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0" windowWidth="20730" windowHeight="1176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G19" i="61"/>
  <c r="F19"/>
  <c r="E19"/>
  <c r="G18"/>
  <c r="F18"/>
  <c r="E18"/>
  <c r="G17"/>
  <c r="F17"/>
  <c r="E17"/>
  <c r="G16"/>
  <c r="F16"/>
  <c r="E16"/>
  <c r="G15"/>
  <c r="F15"/>
  <c r="E15"/>
  <c r="G14"/>
  <c r="F14"/>
  <c r="E14"/>
  <c r="G13"/>
  <c r="F13"/>
  <c r="E13"/>
  <c r="L1"/>
  <c r="K1"/>
  <c r="J1"/>
  <c r="E1"/>
  <c r="C1"/>
  <c r="D86" i="59"/>
  <c r="F85"/>
  <c r="E85"/>
  <c r="D85"/>
  <c r="C85"/>
  <c r="B85"/>
  <c r="F84"/>
  <c r="E84"/>
  <c r="D84"/>
  <c r="C84"/>
  <c r="B84"/>
  <c r="F83"/>
  <c r="E83"/>
  <c r="D83"/>
  <c r="C83"/>
  <c r="B83"/>
  <c r="D82"/>
  <c r="F81"/>
  <c r="E81"/>
  <c r="D81"/>
  <c r="C81"/>
  <c r="B81"/>
  <c r="F80"/>
  <c r="E80"/>
  <c r="D80"/>
  <c r="C80"/>
  <c r="B80"/>
  <c r="F79"/>
  <c r="E79"/>
  <c r="D79"/>
  <c r="C79"/>
  <c r="B79"/>
  <c r="D78"/>
  <c r="V77"/>
  <c r="U77"/>
  <c r="T77"/>
  <c r="S77"/>
  <c r="Q77"/>
  <c r="P77"/>
  <c r="O77"/>
  <c r="N77"/>
  <c r="F77"/>
  <c r="E77"/>
  <c r="D77"/>
  <c r="C77"/>
  <c r="B77"/>
  <c r="Q76"/>
  <c r="P76"/>
  <c r="O76"/>
  <c r="N76"/>
  <c r="F76"/>
  <c r="E76"/>
  <c r="D76"/>
  <c r="C76"/>
  <c r="B76"/>
  <c r="Q75"/>
  <c r="P75"/>
  <c r="O75"/>
  <c r="N75"/>
  <c r="F75"/>
  <c r="E75"/>
  <c r="D75"/>
  <c r="C75"/>
  <c r="B75"/>
  <c r="Q74"/>
  <c r="P74"/>
  <c r="O74"/>
  <c r="N74"/>
  <c r="D74"/>
  <c r="V73"/>
  <c r="U73"/>
  <c r="T73"/>
  <c r="S73"/>
  <c r="Q73"/>
  <c r="P73"/>
  <c r="O73"/>
  <c r="N73"/>
  <c r="F73"/>
  <c r="E73"/>
  <c r="D73"/>
  <c r="C73"/>
  <c r="B73"/>
  <c r="Q72"/>
  <c r="P72"/>
  <c r="O72"/>
  <c r="N72"/>
  <c r="F72"/>
  <c r="E72"/>
  <c r="D72"/>
  <c r="C72"/>
  <c r="B72"/>
  <c r="Q71"/>
  <c r="P71"/>
  <c r="O71"/>
  <c r="N71"/>
  <c r="F71"/>
  <c r="E71"/>
  <c r="D71"/>
  <c r="C71"/>
  <c r="B71"/>
  <c r="Q70"/>
  <c r="P70"/>
  <c r="O70"/>
  <c r="N70"/>
  <c r="D70"/>
  <c r="V69"/>
  <c r="U69"/>
  <c r="T69"/>
  <c r="S69"/>
  <c r="Q69"/>
  <c r="P69"/>
  <c r="O69"/>
  <c r="N69"/>
  <c r="F69"/>
  <c r="E69"/>
  <c r="D69"/>
  <c r="C69"/>
  <c r="B69"/>
  <c r="Q68"/>
  <c r="P68"/>
  <c r="O68"/>
  <c r="N68"/>
  <c r="F68"/>
  <c r="E68"/>
  <c r="D68"/>
  <c r="C68"/>
  <c r="B68"/>
  <c r="Q67"/>
  <c r="P67"/>
  <c r="O67"/>
  <c r="N67"/>
  <c r="F67"/>
  <c r="E67"/>
  <c r="D67"/>
  <c r="C67"/>
  <c r="B67"/>
  <c r="Q66"/>
  <c r="P66"/>
  <c r="O66"/>
  <c r="N66"/>
  <c r="D66"/>
  <c r="V65"/>
  <c r="U65"/>
  <c r="T65"/>
  <c r="S65"/>
  <c r="Q65"/>
  <c r="P65"/>
  <c r="O65"/>
  <c r="N65"/>
  <c r="F65"/>
  <c r="E65"/>
  <c r="D65"/>
  <c r="C65"/>
  <c r="B65"/>
  <c r="Q64"/>
  <c r="P64"/>
  <c r="O64"/>
  <c r="N64"/>
  <c r="F64"/>
  <c r="E64"/>
  <c r="D64"/>
  <c r="C64"/>
  <c r="B64"/>
  <c r="Q63"/>
  <c r="P63"/>
  <c r="O63"/>
  <c r="N63"/>
  <c r="F63"/>
  <c r="E63"/>
  <c r="D63"/>
  <c r="C63"/>
  <c r="B63"/>
  <c r="Q62"/>
  <c r="P62"/>
  <c r="O62"/>
  <c r="N62"/>
  <c r="D62"/>
  <c r="V61"/>
  <c r="U61"/>
  <c r="T61"/>
  <c r="S61"/>
  <c r="Q61"/>
  <c r="P61"/>
  <c r="O61"/>
  <c r="N61"/>
  <c r="F61"/>
  <c r="E61"/>
  <c r="D61"/>
  <c r="C61"/>
  <c r="B61"/>
  <c r="Q60"/>
  <c r="P60"/>
  <c r="O60"/>
  <c r="N60"/>
  <c r="F60"/>
  <c r="E60"/>
  <c r="D60"/>
  <c r="C60"/>
  <c r="B60"/>
  <c r="Q59"/>
  <c r="P59"/>
  <c r="O59"/>
  <c r="N59"/>
  <c r="F59"/>
  <c r="E59"/>
  <c r="D59"/>
  <c r="C59"/>
  <c r="B59"/>
  <c r="Q58"/>
  <c r="P58"/>
  <c r="O58"/>
  <c r="N58"/>
  <c r="D58"/>
  <c r="V57"/>
  <c r="U57"/>
  <c r="T57"/>
  <c r="S57"/>
  <c r="Q57"/>
  <c r="P57"/>
  <c r="O57"/>
  <c r="N57"/>
  <c r="F57"/>
  <c r="E57"/>
  <c r="D57"/>
  <c r="C57"/>
  <c r="B57"/>
  <c r="Q56"/>
  <c r="P56"/>
  <c r="O56"/>
  <c r="N56"/>
  <c r="F56"/>
  <c r="E56"/>
  <c r="D56"/>
  <c r="C56"/>
  <c r="B56"/>
  <c r="Q55"/>
  <c r="P55"/>
  <c r="O55"/>
  <c r="N55"/>
  <c r="F55"/>
  <c r="E55"/>
  <c r="D55"/>
  <c r="C55"/>
  <c r="B55"/>
  <c r="Q54"/>
  <c r="P54"/>
  <c r="O54"/>
  <c r="N54"/>
  <c r="D54"/>
  <c r="V53"/>
  <c r="U53"/>
  <c r="T53"/>
  <c r="S53"/>
  <c r="Q53"/>
  <c r="P53"/>
  <c r="O53"/>
  <c r="N53"/>
  <c r="F53"/>
  <c r="E53"/>
  <c r="D53"/>
  <c r="C53"/>
  <c r="B53"/>
  <c r="Q52"/>
  <c r="P52"/>
  <c r="O52"/>
  <c r="N52"/>
  <c r="F52"/>
  <c r="E52"/>
  <c r="D52"/>
  <c r="C52"/>
  <c r="B52"/>
  <c r="Q51"/>
  <c r="P51"/>
  <c r="O51"/>
  <c r="N51"/>
  <c r="F51"/>
  <c r="E51"/>
  <c r="D51"/>
  <c r="C51"/>
  <c r="B51"/>
  <c r="Q50"/>
  <c r="P50"/>
  <c r="O50"/>
  <c r="N50"/>
  <c r="D50"/>
  <c r="V49"/>
  <c r="U49"/>
  <c r="T49"/>
  <c r="S49"/>
  <c r="Q49"/>
  <c r="P49"/>
  <c r="O49"/>
  <c r="N49"/>
  <c r="F49"/>
  <c r="E49"/>
  <c r="D49"/>
  <c r="C49"/>
  <c r="B49"/>
  <c r="Q48"/>
  <c r="P48"/>
  <c r="O48"/>
  <c r="N48"/>
  <c r="F48"/>
  <c r="E48"/>
  <c r="D48"/>
  <c r="C48"/>
  <c r="B48"/>
  <c r="Q47"/>
  <c r="P47"/>
  <c r="O47"/>
  <c r="N47"/>
  <c r="F47"/>
  <c r="E47"/>
  <c r="D47"/>
  <c r="C47"/>
  <c r="B47"/>
  <c r="Q46"/>
  <c r="P46"/>
  <c r="O46"/>
  <c r="N46"/>
  <c r="D46"/>
  <c r="V45"/>
  <c r="U45"/>
  <c r="T45"/>
  <c r="S45"/>
  <c r="Q45"/>
  <c r="P45"/>
  <c r="O45"/>
  <c r="N45"/>
  <c r="F45"/>
  <c r="E45"/>
  <c r="D45"/>
  <c r="B45"/>
  <c r="Q44"/>
  <c r="P44"/>
  <c r="O44"/>
  <c r="N44"/>
  <c r="F44"/>
  <c r="E44"/>
  <c r="D44"/>
  <c r="C44"/>
  <c r="B44"/>
  <c r="Q43"/>
  <c r="P43"/>
  <c r="O43"/>
  <c r="N43"/>
  <c r="F43"/>
  <c r="E43"/>
  <c r="D43"/>
  <c r="C43"/>
  <c r="B43"/>
  <c r="Q42"/>
  <c r="P42"/>
  <c r="O42"/>
  <c r="N42"/>
  <c r="D42"/>
  <c r="V41"/>
  <c r="U41"/>
  <c r="T41"/>
  <c r="S41"/>
  <c r="Q41"/>
  <c r="P41"/>
  <c r="O41"/>
  <c r="N41"/>
  <c r="F41"/>
  <c r="E41"/>
  <c r="D41"/>
  <c r="C41"/>
  <c r="B41"/>
  <c r="Q40"/>
  <c r="P40"/>
  <c r="O40"/>
  <c r="N40"/>
  <c r="F40"/>
  <c r="E40"/>
  <c r="D40"/>
  <c r="C40"/>
  <c r="B40"/>
  <c r="Q39"/>
  <c r="P39"/>
  <c r="O39"/>
  <c r="N39"/>
  <c r="F39"/>
  <c r="E39"/>
  <c r="D39"/>
  <c r="C39"/>
  <c r="B39"/>
  <c r="Q38"/>
  <c r="P38"/>
  <c r="O38"/>
  <c r="N38"/>
  <c r="D38"/>
  <c r="AH37"/>
  <c r="AG37"/>
  <c r="AF37"/>
  <c r="AE37"/>
  <c r="AD37"/>
  <c r="V37"/>
  <c r="U37"/>
  <c r="T37"/>
  <c r="S37"/>
  <c r="Q37"/>
  <c r="P37"/>
  <c r="O37"/>
  <c r="N37"/>
  <c r="F37"/>
  <c r="E37"/>
  <c r="D37"/>
  <c r="C37"/>
  <c r="B37"/>
  <c r="AH36"/>
  <c r="AG36"/>
  <c r="AF36"/>
  <c r="AE36"/>
  <c r="AD36"/>
  <c r="AB36"/>
  <c r="AA36"/>
  <c r="Z36"/>
  <c r="Y36"/>
  <c r="X36"/>
  <c r="Q36"/>
  <c r="P36"/>
  <c r="O36"/>
  <c r="N36"/>
  <c r="F36"/>
  <c r="E36"/>
  <c r="D36"/>
  <c r="C36"/>
  <c r="B36"/>
  <c r="AH35"/>
  <c r="AG35"/>
  <c r="AF35"/>
  <c r="AE35"/>
  <c r="AD35"/>
  <c r="AB35"/>
  <c r="AA35"/>
  <c r="Z35"/>
  <c r="Y35"/>
  <c r="X35"/>
  <c r="Q35"/>
  <c r="P35"/>
  <c r="O35"/>
  <c r="N35"/>
  <c r="F35"/>
  <c r="E35"/>
  <c r="D35"/>
  <c r="C35"/>
  <c r="B35"/>
  <c r="AH34"/>
  <c r="AG34"/>
  <c r="AF34"/>
  <c r="AE34"/>
  <c r="AD34"/>
  <c r="AB34"/>
  <c r="AA34"/>
  <c r="Z34"/>
  <c r="Y34"/>
  <c r="X34"/>
  <c r="Q34"/>
  <c r="P34"/>
  <c r="O34"/>
  <c r="N34"/>
  <c r="D34"/>
  <c r="AH33"/>
  <c r="AG33"/>
  <c r="AF33"/>
  <c r="AE33"/>
  <c r="AD33"/>
  <c r="AB33"/>
  <c r="AA33"/>
  <c r="Z33"/>
  <c r="Y33"/>
  <c r="X33"/>
  <c r="V33"/>
  <c r="U33"/>
  <c r="T33"/>
  <c r="S33"/>
  <c r="Q33"/>
  <c r="P33"/>
  <c r="O33"/>
  <c r="N33"/>
  <c r="F33"/>
  <c r="E33"/>
  <c r="D33"/>
  <c r="C33"/>
  <c r="B33"/>
  <c r="AH32"/>
  <c r="AG32"/>
  <c r="AF32"/>
  <c r="AE32"/>
  <c r="AD32"/>
  <c r="AB32"/>
  <c r="AA32"/>
  <c r="Z32"/>
  <c r="Y32"/>
  <c r="X32"/>
  <c r="Q32"/>
  <c r="P32"/>
  <c r="O32"/>
  <c r="N32"/>
  <c r="F32"/>
  <c r="E32"/>
  <c r="D32"/>
  <c r="C32"/>
  <c r="B32"/>
  <c r="AH31"/>
  <c r="AG31"/>
  <c r="AF31"/>
  <c r="AE31"/>
  <c r="AD31"/>
  <c r="AB31"/>
  <c r="AA31"/>
  <c r="Z31"/>
  <c r="Y31"/>
  <c r="X31"/>
  <c r="Q31"/>
  <c r="P31"/>
  <c r="O31"/>
  <c r="N31"/>
  <c r="F31"/>
  <c r="E31"/>
  <c r="D31"/>
  <c r="C31"/>
  <c r="B31"/>
  <c r="AH30"/>
  <c r="AG30"/>
  <c r="AF30"/>
  <c r="AE30"/>
  <c r="AD30"/>
  <c r="AB30"/>
  <c r="AA30"/>
  <c r="Z30"/>
  <c r="Y30"/>
  <c r="X30"/>
  <c r="Q30"/>
  <c r="P30"/>
  <c r="O30"/>
  <c r="N30"/>
  <c r="D30"/>
  <c r="AH29"/>
  <c r="AG29"/>
  <c r="AF29"/>
  <c r="AE29"/>
  <c r="AD29"/>
  <c r="AB29"/>
  <c r="AA29"/>
  <c r="Z29"/>
  <c r="Y29"/>
  <c r="X29"/>
  <c r="V29"/>
  <c r="U29"/>
  <c r="T29"/>
  <c r="S29"/>
  <c r="Q29"/>
  <c r="P29"/>
  <c r="O29"/>
  <c r="N29"/>
  <c r="F29"/>
  <c r="E29"/>
  <c r="D29"/>
  <c r="C29"/>
  <c r="B29"/>
  <c r="AH28"/>
  <c r="AG28"/>
  <c r="AF28"/>
  <c r="AE28"/>
  <c r="AD28"/>
  <c r="AB28"/>
  <c r="AA28"/>
  <c r="Z28"/>
  <c r="Y28"/>
  <c r="X28"/>
  <c r="Q28"/>
  <c r="P28"/>
  <c r="O28"/>
  <c r="N28"/>
  <c r="F28"/>
  <c r="E28"/>
  <c r="D28"/>
  <c r="C28"/>
  <c r="B28"/>
  <c r="AH27"/>
  <c r="AG27"/>
  <c r="AF27"/>
  <c r="AE27"/>
  <c r="AD27"/>
  <c r="AB27"/>
  <c r="AA27"/>
  <c r="Z27"/>
  <c r="Y27"/>
  <c r="X27"/>
  <c r="Q27"/>
  <c r="P27"/>
  <c r="O27"/>
  <c r="N27"/>
  <c r="F27"/>
  <c r="E27"/>
  <c r="D27"/>
  <c r="C27"/>
  <c r="B27"/>
  <c r="AH26"/>
  <c r="AG26"/>
  <c r="AF26"/>
  <c r="AE26"/>
  <c r="AD26"/>
  <c r="AB26"/>
  <c r="AA26"/>
  <c r="Z26"/>
  <c r="Y26"/>
  <c r="X26"/>
  <c r="Q26"/>
  <c r="P26"/>
  <c r="O26"/>
  <c r="N26"/>
  <c r="D26"/>
  <c r="AH25"/>
  <c r="AG25"/>
  <c r="AF25"/>
  <c r="AE25"/>
  <c r="AD25"/>
  <c r="AB25"/>
  <c r="AA25"/>
  <c r="Z25"/>
  <c r="Y25"/>
  <c r="X25"/>
  <c r="V25"/>
  <c r="U25"/>
  <c r="T25"/>
  <c r="S25"/>
  <c r="Q25"/>
  <c r="P25"/>
  <c r="O25"/>
  <c r="N25"/>
  <c r="F25"/>
  <c r="E25"/>
  <c r="D25"/>
  <c r="C25"/>
  <c r="B25"/>
  <c r="AH24"/>
  <c r="AG24"/>
  <c r="AF24"/>
  <c r="AE24"/>
  <c r="AD24"/>
  <c r="AB24"/>
  <c r="AA24"/>
  <c r="Z24"/>
  <c r="Y24"/>
  <c r="X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D22"/>
  <c r="AH21"/>
  <c r="AG21"/>
  <c r="AF21"/>
  <c r="AE21"/>
  <c r="AD21"/>
  <c r="AB21"/>
  <c r="AA21"/>
  <c r="Z21"/>
  <c r="Y21"/>
  <c r="X21"/>
  <c r="V21"/>
  <c r="U21"/>
  <c r="T21"/>
  <c r="S21"/>
  <c r="Q21"/>
  <c r="P21"/>
  <c r="O21"/>
  <c r="N21"/>
  <c r="F21"/>
  <c r="E21"/>
  <c r="D21"/>
  <c r="C21"/>
  <c r="B21"/>
  <c r="AH20"/>
  <c r="AG20"/>
  <c r="AF20"/>
  <c r="AE20"/>
  <c r="AD20"/>
  <c r="AB20"/>
  <c r="AA20"/>
  <c r="Z20"/>
  <c r="Y20"/>
  <c r="X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V17"/>
  <c r="U17"/>
  <c r="T17"/>
  <c r="S17"/>
  <c r="Q17"/>
  <c r="P17"/>
  <c r="O17"/>
  <c r="N17"/>
  <c r="F17"/>
  <c r="E17"/>
  <c r="D17"/>
  <c r="C17"/>
  <c r="B17"/>
  <c r="AH16"/>
  <c r="AG16"/>
  <c r="AF16"/>
  <c r="AE16"/>
  <c r="AD16"/>
  <c r="AB16"/>
  <c r="AA16"/>
  <c r="Z16"/>
  <c r="Y16"/>
  <c r="X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V13"/>
  <c r="U13"/>
  <c r="T13"/>
  <c r="S13"/>
  <c r="Q13"/>
  <c r="P13"/>
  <c r="O13"/>
  <c r="N13"/>
  <c r="F13"/>
  <c r="E13"/>
  <c r="D13"/>
  <c r="C13"/>
  <c r="B13"/>
  <c r="AH12"/>
  <c r="AG12"/>
  <c r="AF12"/>
  <c r="AE12"/>
  <c r="AD12"/>
  <c r="AB12"/>
  <c r="AA12"/>
  <c r="Z12"/>
  <c r="Y12"/>
  <c r="X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V9"/>
  <c r="U9"/>
  <c r="T9"/>
  <c r="S9"/>
  <c r="Q9"/>
  <c r="P9"/>
  <c r="O9"/>
  <c r="N9"/>
  <c r="F9"/>
  <c r="E9"/>
  <c r="D9"/>
  <c r="C9"/>
  <c r="B9"/>
  <c r="AH8"/>
  <c r="AG8"/>
  <c r="AF8"/>
  <c r="AE8"/>
  <c r="AD8"/>
  <c r="AB8"/>
  <c r="AA8"/>
  <c r="Z8"/>
  <c r="Y8"/>
  <c r="X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V5"/>
  <c r="U5"/>
  <c r="T5"/>
  <c r="S5"/>
  <c r="Q5"/>
  <c r="P5"/>
  <c r="O5"/>
  <c r="N5"/>
  <c r="F5"/>
  <c r="E5"/>
  <c r="D5"/>
  <c r="C5"/>
  <c r="B5"/>
  <c r="AH3"/>
  <c r="AG3"/>
  <c r="AF3"/>
  <c r="AE3"/>
  <c r="AD3"/>
  <c r="AB3"/>
  <c r="AA3"/>
  <c r="Z3"/>
  <c r="Y3"/>
  <c r="X3"/>
  <c r="L3"/>
  <c r="K3"/>
  <c r="J3"/>
  <c r="I3"/>
  <c r="N104" i="46"/>
  <c r="M15" i="45"/>
  <c r="L15"/>
  <c r="K15"/>
  <c r="J15"/>
  <c r="I15"/>
  <c r="H15"/>
  <c r="G15"/>
  <c r="F15"/>
  <c r="E15"/>
  <c r="D15"/>
  <c r="C15"/>
  <c r="B15"/>
  <c r="H16" i="44"/>
  <c r="H15"/>
  <c r="H14"/>
  <c r="H13"/>
  <c r="H12"/>
  <c r="H11"/>
  <c r="H10"/>
  <c r="H9"/>
  <c r="H8"/>
  <c r="H7"/>
  <c r="H6"/>
  <c r="H5"/>
  <c r="M44" i="47"/>
  <c r="L44"/>
  <c r="J44"/>
  <c r="I44"/>
  <c r="D44"/>
  <c r="B44"/>
  <c r="M43"/>
  <c r="L43"/>
  <c r="J43"/>
  <c r="I43"/>
  <c r="D43"/>
  <c r="M42"/>
  <c r="L42"/>
  <c r="J42"/>
  <c r="I42"/>
  <c r="D42"/>
  <c r="M41"/>
  <c r="L41"/>
  <c r="J41"/>
  <c r="I41"/>
  <c r="D41"/>
  <c r="B41"/>
  <c r="M40"/>
  <c r="L40"/>
  <c r="J40"/>
  <c r="I40"/>
  <c r="D40"/>
  <c r="B40"/>
  <c r="M39"/>
  <c r="L39"/>
  <c r="J39"/>
  <c r="I39"/>
  <c r="D39"/>
  <c r="B39"/>
  <c r="M38"/>
  <c r="L38"/>
  <c r="J38"/>
  <c r="I38"/>
  <c r="D38"/>
  <c r="B38"/>
  <c r="M37"/>
  <c r="L37"/>
  <c r="J37"/>
  <c r="I37"/>
  <c r="G37"/>
  <c r="F37"/>
  <c r="D37"/>
  <c r="B37"/>
  <c r="B35"/>
  <c r="M34"/>
  <c r="L34"/>
  <c r="J34"/>
  <c r="I34"/>
  <c r="D34"/>
  <c r="M33"/>
  <c r="L33"/>
  <c r="J33"/>
  <c r="I33"/>
  <c r="D33"/>
  <c r="B33"/>
  <c r="M32"/>
  <c r="L32"/>
  <c r="J32"/>
  <c r="I32"/>
  <c r="D32"/>
  <c r="M31"/>
  <c r="L31"/>
  <c r="J31"/>
  <c r="I31"/>
  <c r="D31"/>
  <c r="M30"/>
  <c r="L30"/>
  <c r="J30"/>
  <c r="I30"/>
  <c r="D30"/>
  <c r="B30"/>
  <c r="M29"/>
  <c r="L29"/>
  <c r="J29"/>
  <c r="I29"/>
  <c r="D29"/>
  <c r="B29"/>
  <c r="M28"/>
  <c r="L28"/>
  <c r="J28"/>
  <c r="I28"/>
  <c r="D28"/>
  <c r="B28"/>
  <c r="M27"/>
  <c r="L27"/>
  <c r="J27"/>
  <c r="I27"/>
  <c r="D27"/>
  <c r="B27"/>
  <c r="M26"/>
  <c r="L26"/>
  <c r="J26"/>
  <c r="I26"/>
  <c r="G26"/>
  <c r="F26"/>
  <c r="D26"/>
  <c r="B26"/>
  <c r="B24"/>
  <c r="M23"/>
  <c r="L23"/>
  <c r="J23"/>
  <c r="I23"/>
  <c r="D23"/>
  <c r="B23"/>
  <c r="M22"/>
  <c r="L22"/>
  <c r="J22"/>
  <c r="I22"/>
  <c r="D22"/>
  <c r="M21"/>
  <c r="L21"/>
  <c r="J21"/>
  <c r="I21"/>
  <c r="D21"/>
  <c r="B21"/>
  <c r="M20"/>
  <c r="L20"/>
  <c r="J20"/>
  <c r="I20"/>
  <c r="D20"/>
  <c r="M19"/>
  <c r="L19"/>
  <c r="J19"/>
  <c r="I19"/>
  <c r="D19"/>
  <c r="B19"/>
  <c r="M18"/>
  <c r="L18"/>
  <c r="J18"/>
  <c r="I18"/>
  <c r="D18"/>
  <c r="M17"/>
  <c r="L17"/>
  <c r="J17"/>
  <c r="I17"/>
  <c r="D17"/>
  <c r="B17"/>
  <c r="M16"/>
  <c r="L16"/>
  <c r="J16"/>
  <c r="I16"/>
  <c r="D16"/>
  <c r="B16"/>
  <c r="M15"/>
  <c r="L15"/>
  <c r="J15"/>
  <c r="I15"/>
  <c r="G15"/>
  <c r="F15"/>
  <c r="D15"/>
  <c r="B15"/>
  <c r="B13"/>
  <c r="M12"/>
  <c r="L12"/>
  <c r="J12"/>
  <c r="I12"/>
  <c r="D12"/>
  <c r="B12"/>
  <c r="M11"/>
  <c r="L11"/>
  <c r="J11"/>
  <c r="I11"/>
  <c r="D11"/>
  <c r="M10"/>
  <c r="L10"/>
  <c r="J10"/>
  <c r="I10"/>
  <c r="D10"/>
  <c r="B10"/>
  <c r="M9"/>
  <c r="L9"/>
  <c r="J9"/>
  <c r="I9"/>
  <c r="D9"/>
  <c r="M8"/>
  <c r="L8"/>
  <c r="J8"/>
  <c r="I8"/>
  <c r="D8"/>
  <c r="B8"/>
  <c r="M7"/>
  <c r="L7"/>
  <c r="J7"/>
  <c r="I7"/>
  <c r="D7"/>
  <c r="M6"/>
  <c r="L6"/>
  <c r="J6"/>
  <c r="I6"/>
  <c r="D6"/>
  <c r="B6"/>
  <c r="M5"/>
  <c r="L5"/>
  <c r="J5"/>
  <c r="I5"/>
  <c r="D5"/>
  <c r="B5"/>
  <c r="M4"/>
  <c r="L4"/>
  <c r="J4"/>
  <c r="I4"/>
  <c r="G4"/>
  <c r="F4"/>
  <c r="D4"/>
  <c r="B4"/>
  <c r="B2"/>
  <c r="M118" i="43"/>
  <c r="L118"/>
  <c r="K118"/>
  <c r="J118"/>
  <c r="I118"/>
  <c r="H118"/>
  <c r="G118"/>
  <c r="F118"/>
  <c r="E118"/>
  <c r="D118"/>
  <c r="C118"/>
  <c r="B118"/>
  <c r="M117"/>
  <c r="L117"/>
  <c r="K117"/>
  <c r="J117"/>
  <c r="I117"/>
  <c r="H117"/>
  <c r="G117"/>
  <c r="F117"/>
  <c r="E117"/>
  <c r="D117"/>
  <c r="C117"/>
  <c r="B117"/>
  <c r="M116"/>
  <c r="L116"/>
  <c r="K116"/>
  <c r="J116"/>
  <c r="I116"/>
  <c r="H116"/>
  <c r="G116"/>
  <c r="F116"/>
  <c r="E116"/>
  <c r="D116"/>
  <c r="C116"/>
  <c r="B116"/>
  <c r="M115"/>
  <c r="L115"/>
  <c r="K115"/>
  <c r="J115"/>
  <c r="I115"/>
  <c r="H115"/>
  <c r="G115"/>
  <c r="F115"/>
  <c r="E115"/>
  <c r="D115"/>
  <c r="C115"/>
  <c r="B115"/>
  <c r="H113"/>
  <c r="F113"/>
  <c r="D113"/>
  <c r="B113"/>
  <c r="N109"/>
  <c r="M109"/>
  <c r="L109"/>
  <c r="K109"/>
  <c r="J109"/>
  <c r="I109"/>
  <c r="H109"/>
  <c r="G109"/>
  <c r="F109"/>
  <c r="E109"/>
  <c r="D109"/>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1"/>
  <c r="M101"/>
  <c r="L101"/>
  <c r="K101"/>
  <c r="J101"/>
  <c r="I101"/>
  <c r="H101"/>
  <c r="G101"/>
  <c r="F101"/>
  <c r="E101"/>
  <c r="D101"/>
  <c r="C101"/>
  <c r="N100"/>
  <c r="M100"/>
  <c r="L100"/>
  <c r="K100"/>
  <c r="J100"/>
  <c r="I100"/>
  <c r="H100"/>
  <c r="G100"/>
  <c r="F100"/>
  <c r="E100"/>
  <c r="D100"/>
  <c r="C100"/>
  <c r="N99"/>
  <c r="M99"/>
  <c r="L99"/>
  <c r="K99"/>
  <c r="J99"/>
  <c r="I99"/>
  <c r="H99"/>
  <c r="G99"/>
  <c r="F99"/>
  <c r="E99"/>
  <c r="D99"/>
  <c r="C99"/>
  <c r="N88"/>
  <c r="M88"/>
  <c r="K88"/>
  <c r="J88"/>
  <c r="H88"/>
  <c r="D88"/>
  <c r="B88"/>
  <c r="N87"/>
  <c r="M87"/>
  <c r="K87"/>
  <c r="J87"/>
  <c r="H87"/>
  <c r="D87"/>
  <c r="N86"/>
  <c r="M86"/>
  <c r="K86"/>
  <c r="J86"/>
  <c r="H86"/>
  <c r="D86"/>
  <c r="B86"/>
  <c r="N85"/>
  <c r="M85"/>
  <c r="K85"/>
  <c r="J85"/>
  <c r="H85"/>
  <c r="D85"/>
  <c r="B85"/>
  <c r="N84"/>
  <c r="M84"/>
  <c r="K84"/>
  <c r="J84"/>
  <c r="H84"/>
  <c r="D84"/>
  <c r="B84"/>
  <c r="N83"/>
  <c r="M83"/>
  <c r="K83"/>
  <c r="J83"/>
  <c r="H83"/>
  <c r="D83"/>
  <c r="B83"/>
  <c r="N82"/>
  <c r="M82"/>
  <c r="K82"/>
  <c r="J82"/>
  <c r="H82"/>
  <c r="D82"/>
  <c r="B82"/>
  <c r="N81"/>
  <c r="M81"/>
  <c r="K81"/>
  <c r="J81"/>
  <c r="H81"/>
  <c r="F81"/>
  <c r="E81"/>
  <c r="D81"/>
  <c r="B81"/>
  <c r="B79"/>
  <c r="N78"/>
  <c r="M78"/>
  <c r="K78"/>
  <c r="J78"/>
  <c r="H78"/>
  <c r="D78"/>
  <c r="N77"/>
  <c r="M77"/>
  <c r="K77"/>
  <c r="J77"/>
  <c r="H77"/>
  <c r="D77"/>
  <c r="B77"/>
  <c r="N76"/>
  <c r="M76"/>
  <c r="K76"/>
  <c r="J76"/>
  <c r="H76"/>
  <c r="D76"/>
  <c r="N75"/>
  <c r="M75"/>
  <c r="K75"/>
  <c r="J75"/>
  <c r="H75"/>
  <c r="D75"/>
  <c r="B75"/>
  <c r="N74"/>
  <c r="M74"/>
  <c r="K74"/>
  <c r="J74"/>
  <c r="H74"/>
  <c r="D74"/>
  <c r="B74"/>
  <c r="N73"/>
  <c r="M73"/>
  <c r="K73"/>
  <c r="J73"/>
  <c r="H73"/>
  <c r="D73"/>
  <c r="B73"/>
  <c r="N72"/>
  <c r="M72"/>
  <c r="K72"/>
  <c r="J72"/>
  <c r="H72"/>
  <c r="D72"/>
  <c r="B72"/>
  <c r="N71"/>
  <c r="M71"/>
  <c r="K71"/>
  <c r="J71"/>
  <c r="H71"/>
  <c r="D71"/>
  <c r="B71"/>
  <c r="N70"/>
  <c r="M70"/>
  <c r="K70"/>
  <c r="J70"/>
  <c r="H70"/>
  <c r="F70"/>
  <c r="E70"/>
  <c r="D70"/>
  <c r="B70"/>
  <c r="B68"/>
  <c r="N67"/>
  <c r="M67"/>
  <c r="K67"/>
  <c r="J67"/>
  <c r="H67"/>
  <c r="D67"/>
  <c r="B67"/>
  <c r="N66"/>
  <c r="M66"/>
  <c r="K66"/>
  <c r="J66"/>
  <c r="H66"/>
  <c r="D66"/>
  <c r="B66"/>
  <c r="N65"/>
  <c r="M65"/>
  <c r="K65"/>
  <c r="J65"/>
  <c r="H65"/>
  <c r="D65"/>
  <c r="B65"/>
  <c r="N64"/>
  <c r="M64"/>
  <c r="K64"/>
  <c r="J64"/>
  <c r="H64"/>
  <c r="D64"/>
  <c r="N63"/>
  <c r="M63"/>
  <c r="K63"/>
  <c r="J63"/>
  <c r="H63"/>
  <c r="D63"/>
  <c r="B63"/>
  <c r="N62"/>
  <c r="M62"/>
  <c r="K62"/>
  <c r="J62"/>
  <c r="H62"/>
  <c r="D62"/>
  <c r="N61"/>
  <c r="M61"/>
  <c r="K61"/>
  <c r="J61"/>
  <c r="H61"/>
  <c r="D61"/>
  <c r="B61"/>
  <c r="N60"/>
  <c r="M60"/>
  <c r="K60"/>
  <c r="J60"/>
  <c r="H60"/>
  <c r="D60"/>
  <c r="B60"/>
  <c r="N59"/>
  <c r="M59"/>
  <c r="K59"/>
  <c r="J59"/>
  <c r="H59"/>
  <c r="F59"/>
  <c r="E59"/>
  <c r="D59"/>
  <c r="B59"/>
  <c r="B57"/>
  <c r="N56"/>
  <c r="M56"/>
  <c r="K56"/>
  <c r="J56"/>
  <c r="H56"/>
  <c r="D56"/>
  <c r="B56"/>
  <c r="N55"/>
  <c r="M55"/>
  <c r="K55"/>
  <c r="J55"/>
  <c r="H55"/>
  <c r="D55"/>
  <c r="B55"/>
  <c r="N54"/>
  <c r="M54"/>
  <c r="K54"/>
  <c r="J54"/>
  <c r="H54"/>
  <c r="D54"/>
  <c r="B54"/>
  <c r="N53"/>
  <c r="M53"/>
  <c r="K53"/>
  <c r="J53"/>
  <c r="H53"/>
  <c r="D53"/>
  <c r="N52"/>
  <c r="M52"/>
  <c r="K52"/>
  <c r="J52"/>
  <c r="H52"/>
  <c r="D52"/>
  <c r="B52"/>
  <c r="N51"/>
  <c r="M51"/>
  <c r="K51"/>
  <c r="J51"/>
  <c r="H51"/>
  <c r="D51"/>
  <c r="N50"/>
  <c r="M50"/>
  <c r="K50"/>
  <c r="J50"/>
  <c r="H50"/>
  <c r="D50"/>
  <c r="B50"/>
  <c r="N49"/>
  <c r="M49"/>
  <c r="K49"/>
  <c r="J49"/>
  <c r="H49"/>
  <c r="D49"/>
  <c r="B49"/>
  <c r="N48"/>
  <c r="M48"/>
  <c r="K48"/>
  <c r="J48"/>
  <c r="H48"/>
  <c r="F48"/>
  <c r="E48"/>
  <c r="D48"/>
  <c r="B48"/>
  <c r="B46"/>
  <c r="E41"/>
  <c r="C41"/>
  <c r="I39"/>
  <c r="H39"/>
  <c r="G39"/>
  <c r="F39"/>
  <c r="E39"/>
  <c r="C39"/>
  <c r="I38"/>
  <c r="H38"/>
  <c r="G38"/>
  <c r="F38"/>
  <c r="E38"/>
  <c r="C38"/>
  <c r="I37"/>
  <c r="H37"/>
  <c r="G37"/>
  <c r="F37"/>
  <c r="E37"/>
  <c r="C37"/>
  <c r="I36"/>
  <c r="H36"/>
  <c r="G36"/>
  <c r="F36"/>
  <c r="E36"/>
  <c r="C36"/>
  <c r="I35"/>
  <c r="H35"/>
  <c r="G35"/>
  <c r="F35"/>
  <c r="E35"/>
  <c r="C35"/>
  <c r="I34"/>
  <c r="H34"/>
  <c r="G34"/>
  <c r="F34"/>
  <c r="E34"/>
  <c r="C34"/>
  <c r="I33"/>
  <c r="H33"/>
  <c r="G33"/>
  <c r="F33"/>
  <c r="E33"/>
  <c r="C33"/>
  <c r="E30"/>
  <c r="C30"/>
  <c r="E29"/>
  <c r="D29"/>
  <c r="C29"/>
  <c r="P28"/>
  <c r="O28"/>
  <c r="N28"/>
  <c r="M28"/>
  <c r="C27"/>
  <c r="C26"/>
  <c r="P25"/>
  <c r="P24"/>
  <c r="C24"/>
  <c r="P23"/>
  <c r="C23"/>
  <c r="P22"/>
  <c r="J22"/>
  <c r="H22"/>
  <c r="G22"/>
  <c r="F22"/>
  <c r="E22"/>
  <c r="D22"/>
  <c r="P21"/>
  <c r="C21"/>
  <c r="M20"/>
  <c r="J20"/>
  <c r="I20"/>
  <c r="G20"/>
  <c r="E20"/>
  <c r="C20"/>
  <c r="O19"/>
  <c r="M19"/>
  <c r="I19"/>
  <c r="G19"/>
  <c r="C19"/>
  <c r="C18"/>
  <c r="O17"/>
  <c r="N17"/>
  <c r="M17"/>
  <c r="L17"/>
  <c r="K17"/>
  <c r="J17"/>
  <c r="I17"/>
  <c r="H17"/>
  <c r="G17"/>
  <c r="E17"/>
  <c r="D17"/>
  <c r="C17"/>
  <c r="V16"/>
  <c r="T16"/>
  <c r="C16"/>
  <c r="A16"/>
  <c r="V15"/>
  <c r="T15"/>
  <c r="F15"/>
  <c r="E15"/>
  <c r="D15"/>
  <c r="C15"/>
  <c r="V14"/>
  <c r="T14"/>
  <c r="AJ13"/>
  <c r="AI13"/>
  <c r="AH13"/>
  <c r="AG13"/>
  <c r="AF13"/>
  <c r="AE13"/>
  <c r="AD13"/>
  <c r="AC13"/>
  <c r="AB13"/>
  <c r="AA13"/>
  <c r="Z13"/>
  <c r="Y13"/>
  <c r="V13"/>
  <c r="T13"/>
  <c r="AJ12"/>
  <c r="AI12"/>
  <c r="AH12"/>
  <c r="AG12"/>
  <c r="AF12"/>
  <c r="AE12"/>
  <c r="AD12"/>
  <c r="AC12"/>
  <c r="AB12"/>
  <c r="AA12"/>
  <c r="Z12"/>
  <c r="Y12"/>
  <c r="V12"/>
  <c r="T12"/>
  <c r="N12"/>
  <c r="M12"/>
  <c r="C12"/>
  <c r="A12"/>
  <c r="AJ11"/>
  <c r="AI11"/>
  <c r="AH11"/>
  <c r="AG11"/>
  <c r="AF11"/>
  <c r="AE11"/>
  <c r="AD11"/>
  <c r="AC11"/>
  <c r="AB11"/>
  <c r="AA11"/>
  <c r="Z11"/>
  <c r="Y11"/>
  <c r="V11"/>
  <c r="T11"/>
  <c r="N11"/>
  <c r="M11"/>
  <c r="E11"/>
  <c r="C11"/>
  <c r="AJ10"/>
  <c r="AI10"/>
  <c r="AH10"/>
  <c r="AG10"/>
  <c r="AF10"/>
  <c r="AE10"/>
  <c r="AD10"/>
  <c r="AC10"/>
  <c r="AB10"/>
  <c r="AA10"/>
  <c r="Z10"/>
  <c r="Y10"/>
  <c r="V10"/>
  <c r="T10"/>
  <c r="N10"/>
  <c r="M10"/>
  <c r="E10"/>
  <c r="C10"/>
  <c r="AJ9"/>
  <c r="AI9"/>
  <c r="AH9"/>
  <c r="AG9"/>
  <c r="AF9"/>
  <c r="AE9"/>
  <c r="AD9"/>
  <c r="AC9"/>
  <c r="AB9"/>
  <c r="AA9"/>
  <c r="Z9"/>
  <c r="V9"/>
  <c r="T9"/>
  <c r="N9"/>
  <c r="M9"/>
  <c r="E9"/>
  <c r="C9"/>
  <c r="V8"/>
  <c r="T8"/>
  <c r="N8"/>
  <c r="M8"/>
  <c r="E8"/>
  <c r="Z7"/>
  <c r="X7"/>
  <c r="V7"/>
  <c r="T7"/>
  <c r="S7"/>
  <c r="N7"/>
  <c r="M7"/>
  <c r="C7"/>
  <c r="A7"/>
  <c r="V6"/>
  <c r="T6"/>
  <c r="S6"/>
  <c r="N6"/>
  <c r="M6"/>
  <c r="C6"/>
  <c r="V5"/>
  <c r="T5"/>
  <c r="S5"/>
  <c r="N5"/>
  <c r="M5"/>
  <c r="D5"/>
  <c r="C5"/>
  <c r="V4"/>
  <c r="T4"/>
  <c r="S4"/>
  <c r="N4"/>
  <c r="M4"/>
  <c r="V3"/>
  <c r="T3"/>
  <c r="S3"/>
  <c r="N3"/>
  <c r="M3"/>
  <c r="G3"/>
  <c r="B3"/>
  <c r="V2"/>
  <c r="T2"/>
  <c r="S2"/>
  <c r="N2"/>
  <c r="M2"/>
  <c r="I2"/>
  <c r="G2"/>
  <c r="B2"/>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O65"/>
  <c r="N65"/>
  <c r="M65"/>
  <c r="L65"/>
  <c r="K65"/>
  <c r="J65"/>
  <c r="I65"/>
  <c r="H65"/>
  <c r="G65"/>
  <c r="F65"/>
  <c r="E65"/>
  <c r="D65"/>
  <c r="C65"/>
  <c r="O63"/>
  <c r="N63"/>
  <c r="M63"/>
  <c r="L63"/>
  <c r="K63"/>
  <c r="J63"/>
  <c r="I63"/>
  <c r="H63"/>
  <c r="G63"/>
  <c r="F63"/>
  <c r="E63"/>
  <c r="D63"/>
  <c r="C63"/>
  <c r="F61"/>
  <c r="E61"/>
  <c r="G60"/>
  <c r="F60"/>
  <c r="C60"/>
  <c r="B60"/>
  <c r="G59"/>
  <c r="F59"/>
  <c r="C59"/>
  <c r="B59"/>
  <c r="G58"/>
  <c r="F58"/>
  <c r="C58"/>
  <c r="B58"/>
  <c r="G57"/>
  <c r="F57"/>
  <c r="C57"/>
  <c r="B57"/>
  <c r="G56"/>
  <c r="F56"/>
  <c r="C56"/>
  <c r="B56"/>
  <c r="G55"/>
  <c r="F55"/>
  <c r="C55"/>
  <c r="B55"/>
  <c r="G54"/>
  <c r="F54"/>
  <c r="C54"/>
  <c r="B54"/>
  <c r="G53"/>
  <c r="F53"/>
  <c r="C53"/>
  <c r="B53"/>
  <c r="G52"/>
  <c r="F52"/>
  <c r="C52"/>
  <c r="B52"/>
  <c r="F51"/>
  <c r="B51"/>
  <c r="H50"/>
  <c r="J48"/>
  <c r="I48"/>
  <c r="H48"/>
  <c r="G48"/>
  <c r="F48"/>
  <c r="E48"/>
  <c r="J47"/>
  <c r="I47"/>
  <c r="H47"/>
  <c r="G47"/>
  <c r="F47"/>
  <c r="E47"/>
  <c r="J46"/>
  <c r="I46"/>
  <c r="H46"/>
  <c r="G46"/>
  <c r="F46"/>
  <c r="E46"/>
  <c r="R43"/>
  <c r="P43"/>
  <c r="C43"/>
  <c r="V42"/>
  <c r="T42"/>
  <c r="R42"/>
  <c r="P42"/>
  <c r="K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C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B3"/>
  <c r="B2"/>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O70"/>
  <c r="N70"/>
  <c r="M70"/>
  <c r="L70"/>
  <c r="K70"/>
  <c r="J70"/>
  <c r="I70"/>
  <c r="H70"/>
  <c r="G70"/>
  <c r="F70"/>
  <c r="E70"/>
  <c r="D70"/>
  <c r="C70"/>
  <c r="O68"/>
  <c r="N68"/>
  <c r="M68"/>
  <c r="L68"/>
  <c r="K68"/>
  <c r="J68"/>
  <c r="I68"/>
  <c r="H68"/>
  <c r="G68"/>
  <c r="F68"/>
  <c r="E68"/>
  <c r="D68"/>
  <c r="C68"/>
  <c r="F66"/>
  <c r="E66"/>
  <c r="G65"/>
  <c r="F65"/>
  <c r="C65"/>
  <c r="B65"/>
  <c r="G64"/>
  <c r="F64"/>
  <c r="C64"/>
  <c r="B64"/>
  <c r="G63"/>
  <c r="F63"/>
  <c r="C63"/>
  <c r="B63"/>
  <c r="G62"/>
  <c r="F62"/>
  <c r="C62"/>
  <c r="B62"/>
  <c r="G61"/>
  <c r="F61"/>
  <c r="C61"/>
  <c r="B61"/>
  <c r="G60"/>
  <c r="F60"/>
  <c r="C60"/>
  <c r="B60"/>
  <c r="G59"/>
  <c r="F59"/>
  <c r="C59"/>
  <c r="B59"/>
  <c r="G58"/>
  <c r="F58"/>
  <c r="C58"/>
  <c r="B58"/>
  <c r="G57"/>
  <c r="F57"/>
  <c r="C57"/>
  <c r="B57"/>
  <c r="F56"/>
  <c r="B56"/>
  <c r="H55"/>
  <c r="J53"/>
  <c r="I53"/>
  <c r="H53"/>
  <c r="G53"/>
  <c r="F53"/>
  <c r="E53"/>
  <c r="J52"/>
  <c r="I52"/>
  <c r="H52"/>
  <c r="G52"/>
  <c r="F52"/>
  <c r="E52"/>
  <c r="J51"/>
  <c r="I51"/>
  <c r="H51"/>
  <c r="G51"/>
  <c r="F51"/>
  <c r="E51"/>
  <c r="R48"/>
  <c r="P48"/>
  <c r="C48"/>
  <c r="V47"/>
  <c r="T47"/>
  <c r="R47"/>
  <c r="P47"/>
  <c r="K47"/>
  <c r="I47"/>
  <c r="G47"/>
  <c r="E47"/>
  <c r="C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B3"/>
  <c r="B2"/>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K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F2"/>
  <c r="C2"/>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K38"/>
  <c r="I38"/>
  <c r="G38"/>
  <c r="E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B3"/>
  <c r="F2"/>
  <c r="C2"/>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K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F2"/>
  <c r="C2"/>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K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F2"/>
  <c r="C2"/>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F2"/>
  <c r="C2"/>
  <c r="Y527" i="31"/>
  <c r="X527"/>
  <c r="V527"/>
  <c r="U527"/>
  <c r="T527"/>
  <c r="S527"/>
  <c r="R527"/>
  <c r="Q527"/>
  <c r="O527"/>
  <c r="M527"/>
  <c r="K527"/>
  <c r="I527"/>
  <c r="G527"/>
  <c r="E527"/>
  <c r="C527"/>
  <c r="Y526"/>
  <c r="X526"/>
  <c r="V526"/>
  <c r="U526"/>
  <c r="T526"/>
  <c r="S526"/>
  <c r="R526"/>
  <c r="Q526"/>
  <c r="O526"/>
  <c r="M526"/>
  <c r="K526"/>
  <c r="I526"/>
  <c r="G526"/>
  <c r="E526"/>
  <c r="C526"/>
  <c r="Y525"/>
  <c r="X525"/>
  <c r="V525"/>
  <c r="U525"/>
  <c r="T525"/>
  <c r="S525"/>
  <c r="R525"/>
  <c r="Q525"/>
  <c r="O525"/>
  <c r="M525"/>
  <c r="K525"/>
  <c r="I525"/>
  <c r="G525"/>
  <c r="E525"/>
  <c r="C525"/>
  <c r="Y524"/>
  <c r="X524"/>
  <c r="V524"/>
  <c r="U524"/>
  <c r="T524"/>
  <c r="S524"/>
  <c r="R524"/>
  <c r="Q524"/>
  <c r="O524"/>
  <c r="M524"/>
  <c r="K524"/>
  <c r="I524"/>
  <c r="G524"/>
  <c r="E524"/>
  <c r="C524"/>
  <c r="Y523"/>
  <c r="X523"/>
  <c r="V523"/>
  <c r="U523"/>
  <c r="T523"/>
  <c r="S523"/>
  <c r="R523"/>
  <c r="Q523"/>
  <c r="O523"/>
  <c r="M523"/>
  <c r="K523"/>
  <c r="I523"/>
  <c r="G523"/>
  <c r="E523"/>
  <c r="C523"/>
  <c r="Y522"/>
  <c r="X522"/>
  <c r="V522"/>
  <c r="U522"/>
  <c r="T522"/>
  <c r="S522"/>
  <c r="R522"/>
  <c r="Q522"/>
  <c r="O522"/>
  <c r="M522"/>
  <c r="K522"/>
  <c r="I522"/>
  <c r="G522"/>
  <c r="E522"/>
  <c r="C522"/>
  <c r="Y521"/>
  <c r="X521"/>
  <c r="V521"/>
  <c r="U521"/>
  <c r="T521"/>
  <c r="S521"/>
  <c r="R521"/>
  <c r="Q521"/>
  <c r="O521"/>
  <c r="M521"/>
  <c r="K521"/>
  <c r="I521"/>
  <c r="G521"/>
  <c r="E521"/>
  <c r="C521"/>
  <c r="Y520"/>
  <c r="X520"/>
  <c r="V520"/>
  <c r="U520"/>
  <c r="T520"/>
  <c r="S520"/>
  <c r="R520"/>
  <c r="Q520"/>
  <c r="O520"/>
  <c r="M520"/>
  <c r="K520"/>
  <c r="I520"/>
  <c r="G520"/>
  <c r="E520"/>
  <c r="C520"/>
  <c r="Y519"/>
  <c r="X519"/>
  <c r="V519"/>
  <c r="U519"/>
  <c r="T519"/>
  <c r="S519"/>
  <c r="R519"/>
  <c r="Q519"/>
  <c r="O519"/>
  <c r="M519"/>
  <c r="K519"/>
  <c r="I519"/>
  <c r="G519"/>
  <c r="E519"/>
  <c r="C519"/>
  <c r="Y518"/>
  <c r="X518"/>
  <c r="V518"/>
  <c r="U518"/>
  <c r="T518"/>
  <c r="S518"/>
  <c r="R518"/>
  <c r="Q518"/>
  <c r="O518"/>
  <c r="M518"/>
  <c r="K518"/>
  <c r="I518"/>
  <c r="G518"/>
  <c r="E518"/>
  <c r="C518"/>
  <c r="Y517"/>
  <c r="X517"/>
  <c r="V517"/>
  <c r="U517"/>
  <c r="T517"/>
  <c r="S517"/>
  <c r="R517"/>
  <c r="Q517"/>
  <c r="O517"/>
  <c r="M517"/>
  <c r="K517"/>
  <c r="I517"/>
  <c r="G517"/>
  <c r="E517"/>
  <c r="C517"/>
  <c r="Y516"/>
  <c r="X516"/>
  <c r="V516"/>
  <c r="U516"/>
  <c r="T516"/>
  <c r="S516"/>
  <c r="R516"/>
  <c r="Q516"/>
  <c r="O516"/>
  <c r="M516"/>
  <c r="K516"/>
  <c r="I516"/>
  <c r="G516"/>
  <c r="E516"/>
  <c r="C516"/>
  <c r="Y515"/>
  <c r="X515"/>
  <c r="V515"/>
  <c r="U515"/>
  <c r="T515"/>
  <c r="S515"/>
  <c r="R515"/>
  <c r="Q515"/>
  <c r="O515"/>
  <c r="M515"/>
  <c r="K515"/>
  <c r="I515"/>
  <c r="G515"/>
  <c r="E515"/>
  <c r="C515"/>
  <c r="Y514"/>
  <c r="X514"/>
  <c r="V514"/>
  <c r="U514"/>
  <c r="T514"/>
  <c r="S514"/>
  <c r="R514"/>
  <c r="Q514"/>
  <c r="O514"/>
  <c r="M514"/>
  <c r="K514"/>
  <c r="I514"/>
  <c r="G514"/>
  <c r="E514"/>
  <c r="C514"/>
  <c r="Y513"/>
  <c r="X513"/>
  <c r="V513"/>
  <c r="U513"/>
  <c r="T513"/>
  <c r="S513"/>
  <c r="R513"/>
  <c r="Q513"/>
  <c r="O513"/>
  <c r="M513"/>
  <c r="K513"/>
  <c r="I513"/>
  <c r="G513"/>
  <c r="E513"/>
  <c r="C513"/>
  <c r="Y512"/>
  <c r="X512"/>
  <c r="V512"/>
  <c r="U512"/>
  <c r="T512"/>
  <c r="S512"/>
  <c r="R512"/>
  <c r="Q512"/>
  <c r="O512"/>
  <c r="M512"/>
  <c r="K512"/>
  <c r="I512"/>
  <c r="G512"/>
  <c r="E512"/>
  <c r="C512"/>
  <c r="Y511"/>
  <c r="X511"/>
  <c r="V511"/>
  <c r="U511"/>
  <c r="T511"/>
  <c r="S511"/>
  <c r="R511"/>
  <c r="Q511"/>
  <c r="O511"/>
  <c r="M511"/>
  <c r="K511"/>
  <c r="I511"/>
  <c r="G511"/>
  <c r="E511"/>
  <c r="C511"/>
  <c r="Y510"/>
  <c r="X510"/>
  <c r="V510"/>
  <c r="U510"/>
  <c r="T510"/>
  <c r="S510"/>
  <c r="R510"/>
  <c r="Q510"/>
  <c r="O510"/>
  <c r="M510"/>
  <c r="K510"/>
  <c r="I510"/>
  <c r="G510"/>
  <c r="E510"/>
  <c r="C510"/>
  <c r="Y509"/>
  <c r="X509"/>
  <c r="V509"/>
  <c r="U509"/>
  <c r="T509"/>
  <c r="S509"/>
  <c r="R509"/>
  <c r="Q509"/>
  <c r="O509"/>
  <c r="M509"/>
  <c r="K509"/>
  <c r="I509"/>
  <c r="G509"/>
  <c r="E509"/>
  <c r="C509"/>
  <c r="Y508"/>
  <c r="X508"/>
  <c r="V508"/>
  <c r="U508"/>
  <c r="T508"/>
  <c r="S508"/>
  <c r="R508"/>
  <c r="Q508"/>
  <c r="O508"/>
  <c r="M508"/>
  <c r="K508"/>
  <c r="I508"/>
  <c r="G508"/>
  <c r="E508"/>
  <c r="C508"/>
  <c r="Y507"/>
  <c r="X507"/>
  <c r="V507"/>
  <c r="U507"/>
  <c r="T507"/>
  <c r="S507"/>
  <c r="R507"/>
  <c r="Q507"/>
  <c r="O507"/>
  <c r="M507"/>
  <c r="K507"/>
  <c r="I507"/>
  <c r="G507"/>
  <c r="E507"/>
  <c r="C507"/>
  <c r="Y506"/>
  <c r="X506"/>
  <c r="V506"/>
  <c r="U506"/>
  <c r="T506"/>
  <c r="S506"/>
  <c r="R506"/>
  <c r="Q506"/>
  <c r="O506"/>
  <c r="M506"/>
  <c r="K506"/>
  <c r="I506"/>
  <c r="G506"/>
  <c r="E506"/>
  <c r="C506"/>
  <c r="Y505"/>
  <c r="X505"/>
  <c r="V505"/>
  <c r="U505"/>
  <c r="T505"/>
  <c r="S505"/>
  <c r="R505"/>
  <c r="Q505"/>
  <c r="O505"/>
  <c r="M505"/>
  <c r="K505"/>
  <c r="I505"/>
  <c r="G505"/>
  <c r="E505"/>
  <c r="C505"/>
  <c r="Y504"/>
  <c r="X504"/>
  <c r="V504"/>
  <c r="U504"/>
  <c r="T504"/>
  <c r="S504"/>
  <c r="R504"/>
  <c r="Q504"/>
  <c r="O504"/>
  <c r="M504"/>
  <c r="K504"/>
  <c r="I504"/>
  <c r="G504"/>
  <c r="E504"/>
  <c r="C504"/>
  <c r="Y503"/>
  <c r="X503"/>
  <c r="V503"/>
  <c r="U503"/>
  <c r="T503"/>
  <c r="S503"/>
  <c r="R503"/>
  <c r="Q503"/>
  <c r="O503"/>
  <c r="M503"/>
  <c r="K503"/>
  <c r="I503"/>
  <c r="G503"/>
  <c r="E503"/>
  <c r="C503"/>
  <c r="Y502"/>
  <c r="X502"/>
  <c r="V502"/>
  <c r="U502"/>
  <c r="T502"/>
  <c r="S502"/>
  <c r="R502"/>
  <c r="Q502"/>
  <c r="O502"/>
  <c r="M502"/>
  <c r="K502"/>
  <c r="I502"/>
  <c r="G502"/>
  <c r="E502"/>
  <c r="C502"/>
  <c r="Y501"/>
  <c r="X501"/>
  <c r="V501"/>
  <c r="U501"/>
  <c r="T501"/>
  <c r="S501"/>
  <c r="R501"/>
  <c r="Q501"/>
  <c r="O501"/>
  <c r="M501"/>
  <c r="K501"/>
  <c r="I501"/>
  <c r="G501"/>
  <c r="E501"/>
  <c r="C501"/>
  <c r="Y500"/>
  <c r="X500"/>
  <c r="V500"/>
  <c r="U500"/>
  <c r="T500"/>
  <c r="S500"/>
  <c r="R500"/>
  <c r="Q500"/>
  <c r="O500"/>
  <c r="M500"/>
  <c r="K500"/>
  <c r="I500"/>
  <c r="G500"/>
  <c r="E500"/>
  <c r="C500"/>
  <c r="Y499"/>
  <c r="X499"/>
  <c r="V499"/>
  <c r="U499"/>
  <c r="T499"/>
  <c r="S499"/>
  <c r="R499"/>
  <c r="Q499"/>
  <c r="O499"/>
  <c r="M499"/>
  <c r="K499"/>
  <c r="I499"/>
  <c r="G499"/>
  <c r="E499"/>
  <c r="C499"/>
  <c r="Y498"/>
  <c r="X498"/>
  <c r="V498"/>
  <c r="U498"/>
  <c r="T498"/>
  <c r="S498"/>
  <c r="R498"/>
  <c r="Q498"/>
  <c r="O498"/>
  <c r="M498"/>
  <c r="K498"/>
  <c r="I498"/>
  <c r="G498"/>
  <c r="E498"/>
  <c r="C498"/>
  <c r="Y497"/>
  <c r="X497"/>
  <c r="V497"/>
  <c r="U497"/>
  <c r="T497"/>
  <c r="S497"/>
  <c r="R497"/>
  <c r="Q497"/>
  <c r="O497"/>
  <c r="M497"/>
  <c r="K497"/>
  <c r="I497"/>
  <c r="G497"/>
  <c r="E497"/>
  <c r="C497"/>
  <c r="Y496"/>
  <c r="X496"/>
  <c r="V496"/>
  <c r="U496"/>
  <c r="T496"/>
  <c r="S496"/>
  <c r="R496"/>
  <c r="Q496"/>
  <c r="O496"/>
  <c r="M496"/>
  <c r="K496"/>
  <c r="I496"/>
  <c r="G496"/>
  <c r="E496"/>
  <c r="C496"/>
  <c r="Y495"/>
  <c r="X495"/>
  <c r="V495"/>
  <c r="U495"/>
  <c r="T495"/>
  <c r="S495"/>
  <c r="R495"/>
  <c r="Q495"/>
  <c r="O495"/>
  <c r="M495"/>
  <c r="K495"/>
  <c r="I495"/>
  <c r="G495"/>
  <c r="E495"/>
  <c r="C495"/>
  <c r="Y494"/>
  <c r="X494"/>
  <c r="V494"/>
  <c r="U494"/>
  <c r="T494"/>
  <c r="S494"/>
  <c r="R494"/>
  <c r="Q494"/>
  <c r="O494"/>
  <c r="M494"/>
  <c r="K494"/>
  <c r="I494"/>
  <c r="G494"/>
  <c r="E494"/>
  <c r="C494"/>
  <c r="Y493"/>
  <c r="X493"/>
  <c r="V493"/>
  <c r="U493"/>
  <c r="T493"/>
  <c r="S493"/>
  <c r="R493"/>
  <c r="Q493"/>
  <c r="O493"/>
  <c r="M493"/>
  <c r="K493"/>
  <c r="I493"/>
  <c r="G493"/>
  <c r="E493"/>
  <c r="C493"/>
  <c r="Y492"/>
  <c r="X492"/>
  <c r="V492"/>
  <c r="U492"/>
  <c r="T492"/>
  <c r="S492"/>
  <c r="R492"/>
  <c r="Q492"/>
  <c r="O492"/>
  <c r="M492"/>
  <c r="K492"/>
  <c r="I492"/>
  <c r="G492"/>
  <c r="E492"/>
  <c r="C492"/>
  <c r="Y491"/>
  <c r="X491"/>
  <c r="V491"/>
  <c r="U491"/>
  <c r="T491"/>
  <c r="S491"/>
  <c r="R491"/>
  <c r="Q491"/>
  <c r="O491"/>
  <c r="M491"/>
  <c r="K491"/>
  <c r="I491"/>
  <c r="G491"/>
  <c r="E491"/>
  <c r="C491"/>
  <c r="Y490"/>
  <c r="X490"/>
  <c r="V490"/>
  <c r="U490"/>
  <c r="T490"/>
  <c r="S490"/>
  <c r="R490"/>
  <c r="Q490"/>
  <c r="O490"/>
  <c r="M490"/>
  <c r="K490"/>
  <c r="I490"/>
  <c r="G490"/>
  <c r="E490"/>
  <c r="C490"/>
  <c r="Y489"/>
  <c r="X489"/>
  <c r="V489"/>
  <c r="U489"/>
  <c r="T489"/>
  <c r="S489"/>
  <c r="R489"/>
  <c r="Q489"/>
  <c r="O489"/>
  <c r="M489"/>
  <c r="K489"/>
  <c r="I489"/>
  <c r="G489"/>
  <c r="E489"/>
  <c r="C489"/>
  <c r="Y488"/>
  <c r="X488"/>
  <c r="V488"/>
  <c r="U488"/>
  <c r="T488"/>
  <c r="S488"/>
  <c r="R488"/>
  <c r="Q488"/>
  <c r="O488"/>
  <c r="M488"/>
  <c r="K488"/>
  <c r="I488"/>
  <c r="G488"/>
  <c r="E488"/>
  <c r="C488"/>
  <c r="Y487"/>
  <c r="X487"/>
  <c r="V487"/>
  <c r="U487"/>
  <c r="T487"/>
  <c r="S487"/>
  <c r="R487"/>
  <c r="Q487"/>
  <c r="O487"/>
  <c r="M487"/>
  <c r="K487"/>
  <c r="I487"/>
  <c r="G487"/>
  <c r="E487"/>
  <c r="C487"/>
  <c r="Y486"/>
  <c r="X486"/>
  <c r="V486"/>
  <c r="U486"/>
  <c r="T486"/>
  <c r="S486"/>
  <c r="R486"/>
  <c r="Q486"/>
  <c r="O486"/>
  <c r="M486"/>
  <c r="K486"/>
  <c r="I486"/>
  <c r="G486"/>
  <c r="E486"/>
  <c r="C486"/>
  <c r="Y485"/>
  <c r="X485"/>
  <c r="V485"/>
  <c r="U485"/>
  <c r="T485"/>
  <c r="S485"/>
  <c r="R485"/>
  <c r="Q485"/>
  <c r="O485"/>
  <c r="M485"/>
  <c r="K485"/>
  <c r="I485"/>
  <c r="G485"/>
  <c r="E485"/>
  <c r="C485"/>
  <c r="Y484"/>
  <c r="X484"/>
  <c r="V484"/>
  <c r="U484"/>
  <c r="T484"/>
  <c r="S484"/>
  <c r="R484"/>
  <c r="Q484"/>
  <c r="O484"/>
  <c r="M484"/>
  <c r="K484"/>
  <c r="I484"/>
  <c r="G484"/>
  <c r="E484"/>
  <c r="C484"/>
  <c r="Y483"/>
  <c r="X483"/>
  <c r="V483"/>
  <c r="U483"/>
  <c r="T483"/>
  <c r="S483"/>
  <c r="R483"/>
  <c r="Q483"/>
  <c r="O483"/>
  <c r="M483"/>
  <c r="K483"/>
  <c r="I483"/>
  <c r="G483"/>
  <c r="E483"/>
  <c r="C483"/>
  <c r="Y482"/>
  <c r="X482"/>
  <c r="V482"/>
  <c r="U482"/>
  <c r="T482"/>
  <c r="S482"/>
  <c r="R482"/>
  <c r="Q482"/>
  <c r="O482"/>
  <c r="M482"/>
  <c r="K482"/>
  <c r="I482"/>
  <c r="G482"/>
  <c r="E482"/>
  <c r="C482"/>
  <c r="Y481"/>
  <c r="X481"/>
  <c r="V481"/>
  <c r="U481"/>
  <c r="T481"/>
  <c r="S481"/>
  <c r="R481"/>
  <c r="Q481"/>
  <c r="O481"/>
  <c r="M481"/>
  <c r="K481"/>
  <c r="I481"/>
  <c r="G481"/>
  <c r="E481"/>
  <c r="C481"/>
  <c r="Y480"/>
  <c r="X480"/>
  <c r="V480"/>
  <c r="U480"/>
  <c r="T480"/>
  <c r="S480"/>
  <c r="R480"/>
  <c r="Q480"/>
  <c r="O480"/>
  <c r="M480"/>
  <c r="K480"/>
  <c r="I480"/>
  <c r="G480"/>
  <c r="E480"/>
  <c r="C480"/>
  <c r="Y479"/>
  <c r="X479"/>
  <c r="V479"/>
  <c r="U479"/>
  <c r="T479"/>
  <c r="S479"/>
  <c r="R479"/>
  <c r="Q479"/>
  <c r="O479"/>
  <c r="M479"/>
  <c r="K479"/>
  <c r="I479"/>
  <c r="G479"/>
  <c r="E479"/>
  <c r="C479"/>
  <c r="Y478"/>
  <c r="X478"/>
  <c r="V478"/>
  <c r="U478"/>
  <c r="T478"/>
  <c r="S478"/>
  <c r="R478"/>
  <c r="Q478"/>
  <c r="O478"/>
  <c r="M478"/>
  <c r="K478"/>
  <c r="I478"/>
  <c r="G478"/>
  <c r="E478"/>
  <c r="C478"/>
  <c r="Y477"/>
  <c r="X477"/>
  <c r="V477"/>
  <c r="U477"/>
  <c r="T477"/>
  <c r="S477"/>
  <c r="R477"/>
  <c r="Q477"/>
  <c r="O477"/>
  <c r="M477"/>
  <c r="K477"/>
  <c r="I477"/>
  <c r="G477"/>
  <c r="E477"/>
  <c r="C477"/>
  <c r="Y476"/>
  <c r="X476"/>
  <c r="V476"/>
  <c r="U476"/>
  <c r="T476"/>
  <c r="S476"/>
  <c r="R476"/>
  <c r="Q476"/>
  <c r="O476"/>
  <c r="M476"/>
  <c r="K476"/>
  <c r="I476"/>
  <c r="G476"/>
  <c r="E476"/>
  <c r="C476"/>
  <c r="Y475"/>
  <c r="X475"/>
  <c r="V475"/>
  <c r="U475"/>
  <c r="T475"/>
  <c r="S475"/>
  <c r="R475"/>
  <c r="Q475"/>
  <c r="O475"/>
  <c r="M475"/>
  <c r="K475"/>
  <c r="I475"/>
  <c r="G475"/>
  <c r="E475"/>
  <c r="C475"/>
  <c r="Y474"/>
  <c r="X474"/>
  <c r="V474"/>
  <c r="U474"/>
  <c r="T474"/>
  <c r="S474"/>
  <c r="R474"/>
  <c r="Q474"/>
  <c r="O474"/>
  <c r="M474"/>
  <c r="K474"/>
  <c r="I474"/>
  <c r="G474"/>
  <c r="E474"/>
  <c r="C474"/>
  <c r="Y473"/>
  <c r="X473"/>
  <c r="V473"/>
  <c r="U473"/>
  <c r="T473"/>
  <c r="S473"/>
  <c r="R473"/>
  <c r="Q473"/>
  <c r="O473"/>
  <c r="M473"/>
  <c r="K473"/>
  <c r="I473"/>
  <c r="G473"/>
  <c r="E473"/>
  <c r="C473"/>
  <c r="Y472"/>
  <c r="X472"/>
  <c r="V472"/>
  <c r="U472"/>
  <c r="T472"/>
  <c r="S472"/>
  <c r="R472"/>
  <c r="Q472"/>
  <c r="O472"/>
  <c r="M472"/>
  <c r="K472"/>
  <c r="I472"/>
  <c r="G472"/>
  <c r="E472"/>
  <c r="C472"/>
  <c r="Y471"/>
  <c r="X471"/>
  <c r="V471"/>
  <c r="U471"/>
  <c r="T471"/>
  <c r="S471"/>
  <c r="R471"/>
  <c r="Q471"/>
  <c r="O471"/>
  <c r="M471"/>
  <c r="K471"/>
  <c r="I471"/>
  <c r="G471"/>
  <c r="E471"/>
  <c r="C471"/>
  <c r="Y470"/>
  <c r="X470"/>
  <c r="V470"/>
  <c r="U470"/>
  <c r="T470"/>
  <c r="S470"/>
  <c r="R470"/>
  <c r="Q470"/>
  <c r="O470"/>
  <c r="M470"/>
  <c r="K470"/>
  <c r="I470"/>
  <c r="G470"/>
  <c r="E470"/>
  <c r="C470"/>
  <c r="Y469"/>
  <c r="X469"/>
  <c r="V469"/>
  <c r="U469"/>
  <c r="T469"/>
  <c r="S469"/>
  <c r="R469"/>
  <c r="Q469"/>
  <c r="O469"/>
  <c r="M469"/>
  <c r="K469"/>
  <c r="I469"/>
  <c r="G469"/>
  <c r="E469"/>
  <c r="C469"/>
  <c r="Y468"/>
  <c r="X468"/>
  <c r="V468"/>
  <c r="U468"/>
  <c r="T468"/>
  <c r="S468"/>
  <c r="R468"/>
  <c r="Q468"/>
  <c r="O468"/>
  <c r="M468"/>
  <c r="K468"/>
  <c r="I468"/>
  <c r="G468"/>
  <c r="E468"/>
  <c r="C468"/>
  <c r="Y467"/>
  <c r="X467"/>
  <c r="V467"/>
  <c r="U467"/>
  <c r="T467"/>
  <c r="S467"/>
  <c r="R467"/>
  <c r="Q467"/>
  <c r="O467"/>
  <c r="M467"/>
  <c r="K467"/>
  <c r="I467"/>
  <c r="G467"/>
  <c r="E467"/>
  <c r="C467"/>
  <c r="Y466"/>
  <c r="X466"/>
  <c r="V466"/>
  <c r="U466"/>
  <c r="T466"/>
  <c r="S466"/>
  <c r="R466"/>
  <c r="Q466"/>
  <c r="O466"/>
  <c r="M466"/>
  <c r="K466"/>
  <c r="I466"/>
  <c r="G466"/>
  <c r="E466"/>
  <c r="C466"/>
  <c r="Y465"/>
  <c r="X465"/>
  <c r="V465"/>
  <c r="U465"/>
  <c r="T465"/>
  <c r="S465"/>
  <c r="R465"/>
  <c r="Q465"/>
  <c r="O465"/>
  <c r="M465"/>
  <c r="K465"/>
  <c r="I465"/>
  <c r="G465"/>
  <c r="E465"/>
  <c r="C465"/>
  <c r="Y464"/>
  <c r="X464"/>
  <c r="V464"/>
  <c r="U464"/>
  <c r="T464"/>
  <c r="S464"/>
  <c r="R464"/>
  <c r="Q464"/>
  <c r="O464"/>
  <c r="M464"/>
  <c r="K464"/>
  <c r="I464"/>
  <c r="G464"/>
  <c r="E464"/>
  <c r="C464"/>
  <c r="Y463"/>
  <c r="X463"/>
  <c r="V463"/>
  <c r="U463"/>
  <c r="T463"/>
  <c r="S463"/>
  <c r="R463"/>
  <c r="Q463"/>
  <c r="O463"/>
  <c r="M463"/>
  <c r="K463"/>
  <c r="I463"/>
  <c r="G463"/>
  <c r="E463"/>
  <c r="C463"/>
  <c r="Y462"/>
  <c r="X462"/>
  <c r="V462"/>
  <c r="U462"/>
  <c r="T462"/>
  <c r="S462"/>
  <c r="R462"/>
  <c r="Q462"/>
  <c r="O462"/>
  <c r="M462"/>
  <c r="K462"/>
  <c r="I462"/>
  <c r="G462"/>
  <c r="E462"/>
  <c r="C462"/>
  <c r="Y461"/>
  <c r="X461"/>
  <c r="V461"/>
  <c r="U461"/>
  <c r="T461"/>
  <c r="S461"/>
  <c r="R461"/>
  <c r="Q461"/>
  <c r="O461"/>
  <c r="M461"/>
  <c r="K461"/>
  <c r="I461"/>
  <c r="G461"/>
  <c r="E461"/>
  <c r="C461"/>
  <c r="Y460"/>
  <c r="X460"/>
  <c r="V460"/>
  <c r="U460"/>
  <c r="T460"/>
  <c r="S460"/>
  <c r="R460"/>
  <c r="Q460"/>
  <c r="O460"/>
  <c r="M460"/>
  <c r="K460"/>
  <c r="I460"/>
  <c r="G460"/>
  <c r="E460"/>
  <c r="C460"/>
  <c r="Y459"/>
  <c r="X459"/>
  <c r="V459"/>
  <c r="U459"/>
  <c r="T459"/>
  <c r="S459"/>
  <c r="R459"/>
  <c r="Q459"/>
  <c r="O459"/>
  <c r="M459"/>
  <c r="K459"/>
  <c r="I459"/>
  <c r="G459"/>
  <c r="E459"/>
  <c r="C459"/>
  <c r="Y458"/>
  <c r="X458"/>
  <c r="V458"/>
  <c r="U458"/>
  <c r="T458"/>
  <c r="S458"/>
  <c r="R458"/>
  <c r="Q458"/>
  <c r="O458"/>
  <c r="M458"/>
  <c r="K458"/>
  <c r="I458"/>
  <c r="G458"/>
  <c r="E458"/>
  <c r="C458"/>
  <c r="Y457"/>
  <c r="X457"/>
  <c r="V457"/>
  <c r="U457"/>
  <c r="T457"/>
  <c r="S457"/>
  <c r="R457"/>
  <c r="Q457"/>
  <c r="O457"/>
  <c r="M457"/>
  <c r="K457"/>
  <c r="I457"/>
  <c r="G457"/>
  <c r="E457"/>
  <c r="C457"/>
  <c r="Y456"/>
  <c r="X456"/>
  <c r="V456"/>
  <c r="U456"/>
  <c r="T456"/>
  <c r="S456"/>
  <c r="R456"/>
  <c r="Q456"/>
  <c r="O456"/>
  <c r="M456"/>
  <c r="K456"/>
  <c r="I456"/>
  <c r="G456"/>
  <c r="E456"/>
  <c r="C456"/>
  <c r="Y455"/>
  <c r="X455"/>
  <c r="V455"/>
  <c r="U455"/>
  <c r="T455"/>
  <c r="S455"/>
  <c r="R455"/>
  <c r="Q455"/>
  <c r="O455"/>
  <c r="M455"/>
  <c r="K455"/>
  <c r="I455"/>
  <c r="G455"/>
  <c r="E455"/>
  <c r="C455"/>
  <c r="Y454"/>
  <c r="X454"/>
  <c r="V454"/>
  <c r="U454"/>
  <c r="T454"/>
  <c r="S454"/>
  <c r="R454"/>
  <c r="Q454"/>
  <c r="O454"/>
  <c r="M454"/>
  <c r="K454"/>
  <c r="I454"/>
  <c r="G454"/>
  <c r="E454"/>
  <c r="C454"/>
  <c r="Y453"/>
  <c r="X453"/>
  <c r="V453"/>
  <c r="U453"/>
  <c r="T453"/>
  <c r="S453"/>
  <c r="R453"/>
  <c r="Q453"/>
  <c r="O453"/>
  <c r="M453"/>
  <c r="K453"/>
  <c r="I453"/>
  <c r="G453"/>
  <c r="E453"/>
  <c r="C453"/>
  <c r="Y452"/>
  <c r="X452"/>
  <c r="V452"/>
  <c r="U452"/>
  <c r="T452"/>
  <c r="S452"/>
  <c r="R452"/>
  <c r="Q452"/>
  <c r="O452"/>
  <c r="M452"/>
  <c r="K452"/>
  <c r="I452"/>
  <c r="G452"/>
  <c r="E452"/>
  <c r="C452"/>
  <c r="Y451"/>
  <c r="X451"/>
  <c r="V451"/>
  <c r="U451"/>
  <c r="T451"/>
  <c r="S451"/>
  <c r="R451"/>
  <c r="Q451"/>
  <c r="O451"/>
  <c r="M451"/>
  <c r="K451"/>
  <c r="I451"/>
  <c r="G451"/>
  <c r="E451"/>
  <c r="C451"/>
  <c r="Y450"/>
  <c r="X450"/>
  <c r="V450"/>
  <c r="U450"/>
  <c r="T450"/>
  <c r="S450"/>
  <c r="R450"/>
  <c r="Q450"/>
  <c r="O450"/>
  <c r="M450"/>
  <c r="K450"/>
  <c r="I450"/>
  <c r="G450"/>
  <c r="E450"/>
  <c r="C450"/>
  <c r="Y449"/>
  <c r="X449"/>
  <c r="V449"/>
  <c r="U449"/>
  <c r="T449"/>
  <c r="S449"/>
  <c r="R449"/>
  <c r="Q449"/>
  <c r="O449"/>
  <c r="M449"/>
  <c r="K449"/>
  <c r="I449"/>
  <c r="G449"/>
  <c r="E449"/>
  <c r="C449"/>
  <c r="Y448"/>
  <c r="X448"/>
  <c r="V448"/>
  <c r="U448"/>
  <c r="T448"/>
  <c r="S448"/>
  <c r="R448"/>
  <c r="Q448"/>
  <c r="O448"/>
  <c r="M448"/>
  <c r="K448"/>
  <c r="I448"/>
  <c r="G448"/>
  <c r="E448"/>
  <c r="C448"/>
  <c r="Y447"/>
  <c r="X447"/>
  <c r="V447"/>
  <c r="U447"/>
  <c r="T447"/>
  <c r="S447"/>
  <c r="R447"/>
  <c r="Q447"/>
  <c r="O447"/>
  <c r="M447"/>
  <c r="K447"/>
  <c r="I447"/>
  <c r="G447"/>
  <c r="E447"/>
  <c r="C447"/>
  <c r="Y446"/>
  <c r="X446"/>
  <c r="V446"/>
  <c r="U446"/>
  <c r="T446"/>
  <c r="S446"/>
  <c r="R446"/>
  <c r="Q446"/>
  <c r="O446"/>
  <c r="M446"/>
  <c r="K446"/>
  <c r="I446"/>
  <c r="G446"/>
  <c r="E446"/>
  <c r="C446"/>
  <c r="Y445"/>
  <c r="X445"/>
  <c r="V445"/>
  <c r="U445"/>
  <c r="T445"/>
  <c r="S445"/>
  <c r="R445"/>
  <c r="Q445"/>
  <c r="O445"/>
  <c r="M445"/>
  <c r="K445"/>
  <c r="I445"/>
  <c r="G445"/>
  <c r="E445"/>
  <c r="C445"/>
  <c r="Y444"/>
  <c r="X444"/>
  <c r="V444"/>
  <c r="U444"/>
  <c r="T444"/>
  <c r="S444"/>
  <c r="R444"/>
  <c r="Q444"/>
  <c r="O444"/>
  <c r="M444"/>
  <c r="K444"/>
  <c r="I444"/>
  <c r="G444"/>
  <c r="E444"/>
  <c r="C444"/>
  <c r="Y443"/>
  <c r="X443"/>
  <c r="V443"/>
  <c r="U443"/>
  <c r="T443"/>
  <c r="S443"/>
  <c r="R443"/>
  <c r="Q443"/>
  <c r="O443"/>
  <c r="M443"/>
  <c r="K443"/>
  <c r="I443"/>
  <c r="G443"/>
  <c r="E443"/>
  <c r="C443"/>
  <c r="Y442"/>
  <c r="X442"/>
  <c r="V442"/>
  <c r="U442"/>
  <c r="T442"/>
  <c r="S442"/>
  <c r="R442"/>
  <c r="Q442"/>
  <c r="O442"/>
  <c r="M442"/>
  <c r="K442"/>
  <c r="I442"/>
  <c r="G442"/>
  <c r="E442"/>
  <c r="C442"/>
  <c r="Y441"/>
  <c r="X441"/>
  <c r="V441"/>
  <c r="U441"/>
  <c r="T441"/>
  <c r="S441"/>
  <c r="R441"/>
  <c r="Q441"/>
  <c r="O441"/>
  <c r="M441"/>
  <c r="K441"/>
  <c r="I441"/>
  <c r="G441"/>
  <c r="E441"/>
  <c r="C441"/>
  <c r="Y440"/>
  <c r="X440"/>
  <c r="V440"/>
  <c r="U440"/>
  <c r="T440"/>
  <c r="S440"/>
  <c r="R440"/>
  <c r="Q440"/>
  <c r="O440"/>
  <c r="M440"/>
  <c r="K440"/>
  <c r="I440"/>
  <c r="G440"/>
  <c r="E440"/>
  <c r="C440"/>
  <c r="Y439"/>
  <c r="X439"/>
  <c r="V439"/>
  <c r="U439"/>
  <c r="T439"/>
  <c r="S439"/>
  <c r="R439"/>
  <c r="Q439"/>
  <c r="O439"/>
  <c r="M439"/>
  <c r="K439"/>
  <c r="I439"/>
  <c r="G439"/>
  <c r="E439"/>
  <c r="C439"/>
  <c r="Y438"/>
  <c r="X438"/>
  <c r="V438"/>
  <c r="U438"/>
  <c r="T438"/>
  <c r="S438"/>
  <c r="R438"/>
  <c r="Q438"/>
  <c r="O438"/>
  <c r="M438"/>
  <c r="K438"/>
  <c r="I438"/>
  <c r="G438"/>
  <c r="E438"/>
  <c r="C438"/>
  <c r="Y437"/>
  <c r="X437"/>
  <c r="V437"/>
  <c r="U437"/>
  <c r="T437"/>
  <c r="S437"/>
  <c r="R437"/>
  <c r="Q437"/>
  <c r="O437"/>
  <c r="M437"/>
  <c r="K437"/>
  <c r="I437"/>
  <c r="G437"/>
  <c r="E437"/>
  <c r="C437"/>
  <c r="Y436"/>
  <c r="X436"/>
  <c r="V436"/>
  <c r="U436"/>
  <c r="T436"/>
  <c r="S436"/>
  <c r="R436"/>
  <c r="Q436"/>
  <c r="O436"/>
  <c r="M436"/>
  <c r="K436"/>
  <c r="I436"/>
  <c r="G436"/>
  <c r="E436"/>
  <c r="C436"/>
  <c r="Y435"/>
  <c r="X435"/>
  <c r="V435"/>
  <c r="U435"/>
  <c r="T435"/>
  <c r="S435"/>
  <c r="R435"/>
  <c r="Q435"/>
  <c r="O435"/>
  <c r="M435"/>
  <c r="K435"/>
  <c r="I435"/>
  <c r="G435"/>
  <c r="E435"/>
  <c r="C435"/>
  <c r="Y434"/>
  <c r="X434"/>
  <c r="V434"/>
  <c r="U434"/>
  <c r="T434"/>
  <c r="S434"/>
  <c r="R434"/>
  <c r="Q434"/>
  <c r="O434"/>
  <c r="M434"/>
  <c r="K434"/>
  <c r="I434"/>
  <c r="G434"/>
  <c r="E434"/>
  <c r="C434"/>
  <c r="Y433"/>
  <c r="X433"/>
  <c r="V433"/>
  <c r="U433"/>
  <c r="T433"/>
  <c r="S433"/>
  <c r="R433"/>
  <c r="Q433"/>
  <c r="O433"/>
  <c r="M433"/>
  <c r="K433"/>
  <c r="I433"/>
  <c r="G433"/>
  <c r="E433"/>
  <c r="C433"/>
  <c r="Y432"/>
  <c r="X432"/>
  <c r="V432"/>
  <c r="U432"/>
  <c r="T432"/>
  <c r="S432"/>
  <c r="R432"/>
  <c r="Q432"/>
  <c r="O432"/>
  <c r="M432"/>
  <c r="K432"/>
  <c r="I432"/>
  <c r="G432"/>
  <c r="E432"/>
  <c r="C432"/>
  <c r="Y431"/>
  <c r="X431"/>
  <c r="V431"/>
  <c r="U431"/>
  <c r="T431"/>
  <c r="S431"/>
  <c r="R431"/>
  <c r="Q431"/>
  <c r="O431"/>
  <c r="M431"/>
  <c r="K431"/>
  <c r="I431"/>
  <c r="G431"/>
  <c r="E431"/>
  <c r="C431"/>
  <c r="Y430"/>
  <c r="X430"/>
  <c r="V430"/>
  <c r="U430"/>
  <c r="T430"/>
  <c r="S430"/>
  <c r="R430"/>
  <c r="Q430"/>
  <c r="O430"/>
  <c r="M430"/>
  <c r="K430"/>
  <c r="I430"/>
  <c r="G430"/>
  <c r="E430"/>
  <c r="C430"/>
  <c r="Y429"/>
  <c r="X429"/>
  <c r="V429"/>
  <c r="U429"/>
  <c r="T429"/>
  <c r="S429"/>
  <c r="R429"/>
  <c r="Q429"/>
  <c r="O429"/>
  <c r="M429"/>
  <c r="K429"/>
  <c r="I429"/>
  <c r="G429"/>
  <c r="E429"/>
  <c r="C429"/>
  <c r="Y428"/>
  <c r="X428"/>
  <c r="V428"/>
  <c r="U428"/>
  <c r="T428"/>
  <c r="S428"/>
  <c r="R428"/>
  <c r="Q428"/>
  <c r="O428"/>
  <c r="M428"/>
  <c r="K428"/>
  <c r="I428"/>
  <c r="G428"/>
  <c r="E428"/>
  <c r="C428"/>
  <c r="Y427"/>
  <c r="X427"/>
  <c r="V427"/>
  <c r="U427"/>
  <c r="T427"/>
  <c r="S427"/>
  <c r="R427"/>
  <c r="Q427"/>
  <c r="O427"/>
  <c r="M427"/>
  <c r="K427"/>
  <c r="I427"/>
  <c r="G427"/>
  <c r="E427"/>
  <c r="C427"/>
  <c r="Y426"/>
  <c r="X426"/>
  <c r="V426"/>
  <c r="U426"/>
  <c r="T426"/>
  <c r="S426"/>
  <c r="R426"/>
  <c r="Q426"/>
  <c r="O426"/>
  <c r="M426"/>
  <c r="K426"/>
  <c r="I426"/>
  <c r="G426"/>
  <c r="E426"/>
  <c r="C426"/>
  <c r="Y425"/>
  <c r="X425"/>
  <c r="V425"/>
  <c r="U425"/>
  <c r="T425"/>
  <c r="S425"/>
  <c r="R425"/>
  <c r="Q425"/>
  <c r="O425"/>
  <c r="M425"/>
  <c r="K425"/>
  <c r="I425"/>
  <c r="G425"/>
  <c r="E425"/>
  <c r="C425"/>
  <c r="Y424"/>
  <c r="X424"/>
  <c r="V424"/>
  <c r="U424"/>
  <c r="T424"/>
  <c r="S424"/>
  <c r="R424"/>
  <c r="Q424"/>
  <c r="O424"/>
  <c r="M424"/>
  <c r="K424"/>
  <c r="I424"/>
  <c r="G424"/>
  <c r="E424"/>
  <c r="C424"/>
  <c r="Y423"/>
  <c r="X423"/>
  <c r="V423"/>
  <c r="U423"/>
  <c r="T423"/>
  <c r="S423"/>
  <c r="R423"/>
  <c r="Q423"/>
  <c r="O423"/>
  <c r="M423"/>
  <c r="K423"/>
  <c r="I423"/>
  <c r="G423"/>
  <c r="E423"/>
  <c r="C423"/>
  <c r="Y422"/>
  <c r="X422"/>
  <c r="V422"/>
  <c r="U422"/>
  <c r="T422"/>
  <c r="S422"/>
  <c r="R422"/>
  <c r="Q422"/>
  <c r="O422"/>
  <c r="M422"/>
  <c r="K422"/>
  <c r="I422"/>
  <c r="G422"/>
  <c r="E422"/>
  <c r="C422"/>
  <c r="Y421"/>
  <c r="X421"/>
  <c r="V421"/>
  <c r="U421"/>
  <c r="T421"/>
  <c r="S421"/>
  <c r="R421"/>
  <c r="Q421"/>
  <c r="O421"/>
  <c r="M421"/>
  <c r="K421"/>
  <c r="I421"/>
  <c r="G421"/>
  <c r="E421"/>
  <c r="C421"/>
  <c r="Y420"/>
  <c r="X420"/>
  <c r="V420"/>
  <c r="U420"/>
  <c r="T420"/>
  <c r="S420"/>
  <c r="R420"/>
  <c r="Q420"/>
  <c r="O420"/>
  <c r="M420"/>
  <c r="K420"/>
  <c r="I420"/>
  <c r="G420"/>
  <c r="E420"/>
  <c r="C420"/>
  <c r="Y419"/>
  <c r="X419"/>
  <c r="V419"/>
  <c r="U419"/>
  <c r="T419"/>
  <c r="S419"/>
  <c r="R419"/>
  <c r="Q419"/>
  <c r="O419"/>
  <c r="M419"/>
  <c r="K419"/>
  <c r="I419"/>
  <c r="G419"/>
  <c r="E419"/>
  <c r="C419"/>
  <c r="Y418"/>
  <c r="X418"/>
  <c r="V418"/>
  <c r="U418"/>
  <c r="T418"/>
  <c r="S418"/>
  <c r="R418"/>
  <c r="Q418"/>
  <c r="O418"/>
  <c r="M418"/>
  <c r="K418"/>
  <c r="I418"/>
  <c r="G418"/>
  <c r="E418"/>
  <c r="C418"/>
  <c r="Y417"/>
  <c r="X417"/>
  <c r="V417"/>
  <c r="U417"/>
  <c r="T417"/>
  <c r="S417"/>
  <c r="R417"/>
  <c r="Q417"/>
  <c r="O417"/>
  <c r="M417"/>
  <c r="K417"/>
  <c r="I417"/>
  <c r="G417"/>
  <c r="E417"/>
  <c r="C417"/>
  <c r="Y416"/>
  <c r="X416"/>
  <c r="V416"/>
  <c r="U416"/>
  <c r="T416"/>
  <c r="S416"/>
  <c r="R416"/>
  <c r="Q416"/>
  <c r="O416"/>
  <c r="M416"/>
  <c r="K416"/>
  <c r="I416"/>
  <c r="G416"/>
  <c r="E416"/>
  <c r="C416"/>
  <c r="Y415"/>
  <c r="X415"/>
  <c r="V415"/>
  <c r="U415"/>
  <c r="T415"/>
  <c r="S415"/>
  <c r="R415"/>
  <c r="Q415"/>
  <c r="O415"/>
  <c r="M415"/>
  <c r="K415"/>
  <c r="I415"/>
  <c r="G415"/>
  <c r="E415"/>
  <c r="C415"/>
  <c r="Y414"/>
  <c r="X414"/>
  <c r="V414"/>
  <c r="U414"/>
  <c r="T414"/>
  <c r="S414"/>
  <c r="R414"/>
  <c r="Q414"/>
  <c r="O414"/>
  <c r="M414"/>
  <c r="K414"/>
  <c r="I414"/>
  <c r="G414"/>
  <c r="E414"/>
  <c r="C414"/>
  <c r="Y413"/>
  <c r="X413"/>
  <c r="V413"/>
  <c r="U413"/>
  <c r="T413"/>
  <c r="S413"/>
  <c r="R413"/>
  <c r="Q413"/>
  <c r="O413"/>
  <c r="M413"/>
  <c r="K413"/>
  <c r="I413"/>
  <c r="G413"/>
  <c r="E413"/>
  <c r="C413"/>
  <c r="Y412"/>
  <c r="X412"/>
  <c r="V412"/>
  <c r="U412"/>
  <c r="T412"/>
  <c r="S412"/>
  <c r="R412"/>
  <c r="Q412"/>
  <c r="O412"/>
  <c r="M412"/>
  <c r="K412"/>
  <c r="I412"/>
  <c r="G412"/>
  <c r="E412"/>
  <c r="C412"/>
  <c r="Y411"/>
  <c r="X411"/>
  <c r="V411"/>
  <c r="U411"/>
  <c r="T411"/>
  <c r="S411"/>
  <c r="R411"/>
  <c r="Q411"/>
  <c r="O411"/>
  <c r="M411"/>
  <c r="K411"/>
  <c r="I411"/>
  <c r="G411"/>
  <c r="E411"/>
  <c r="C411"/>
  <c r="Y410"/>
  <c r="X410"/>
  <c r="V410"/>
  <c r="U410"/>
  <c r="T410"/>
  <c r="S410"/>
  <c r="R410"/>
  <c r="Q410"/>
  <c r="O410"/>
  <c r="M410"/>
  <c r="K410"/>
  <c r="I410"/>
  <c r="G410"/>
  <c r="E410"/>
  <c r="C410"/>
  <c r="Y409"/>
  <c r="X409"/>
  <c r="V409"/>
  <c r="U409"/>
  <c r="T409"/>
  <c r="S409"/>
  <c r="R409"/>
  <c r="Q409"/>
  <c r="O409"/>
  <c r="M409"/>
  <c r="K409"/>
  <c r="I409"/>
  <c r="G409"/>
  <c r="E409"/>
  <c r="C409"/>
  <c r="Y408"/>
  <c r="X408"/>
  <c r="V408"/>
  <c r="U408"/>
  <c r="T408"/>
  <c r="S408"/>
  <c r="R408"/>
  <c r="Q408"/>
  <c r="O408"/>
  <c r="M408"/>
  <c r="K408"/>
  <c r="I408"/>
  <c r="G408"/>
  <c r="E408"/>
  <c r="C408"/>
  <c r="Y407"/>
  <c r="X407"/>
  <c r="V407"/>
  <c r="U407"/>
  <c r="T407"/>
  <c r="S407"/>
  <c r="R407"/>
  <c r="Q407"/>
  <c r="O407"/>
  <c r="M407"/>
  <c r="K407"/>
  <c r="I407"/>
  <c r="G407"/>
  <c r="E407"/>
  <c r="C407"/>
  <c r="Y406"/>
  <c r="X406"/>
  <c r="V406"/>
  <c r="U406"/>
  <c r="T406"/>
  <c r="S406"/>
  <c r="R406"/>
  <c r="Q406"/>
  <c r="O406"/>
  <c r="M406"/>
  <c r="K406"/>
  <c r="I406"/>
  <c r="G406"/>
  <c r="E406"/>
  <c r="C406"/>
  <c r="Y405"/>
  <c r="X405"/>
  <c r="V405"/>
  <c r="U405"/>
  <c r="T405"/>
  <c r="S405"/>
  <c r="R405"/>
  <c r="Q405"/>
  <c r="O405"/>
  <c r="M405"/>
  <c r="K405"/>
  <c r="I405"/>
  <c r="G405"/>
  <c r="E405"/>
  <c r="C405"/>
  <c r="Y404"/>
  <c r="X404"/>
  <c r="V404"/>
  <c r="U404"/>
  <c r="T404"/>
  <c r="S404"/>
  <c r="R404"/>
  <c r="Q404"/>
  <c r="O404"/>
  <c r="M404"/>
  <c r="K404"/>
  <c r="I404"/>
  <c r="G404"/>
  <c r="E404"/>
  <c r="C404"/>
  <c r="Y403"/>
  <c r="X403"/>
  <c r="V403"/>
  <c r="U403"/>
  <c r="T403"/>
  <c r="S403"/>
  <c r="R403"/>
  <c r="Q403"/>
  <c r="O403"/>
  <c r="M403"/>
  <c r="K403"/>
  <c r="I403"/>
  <c r="G403"/>
  <c r="E403"/>
  <c r="C403"/>
  <c r="Y402"/>
  <c r="X402"/>
  <c r="V402"/>
  <c r="U402"/>
  <c r="T402"/>
  <c r="S402"/>
  <c r="R402"/>
  <c r="Q402"/>
  <c r="O402"/>
  <c r="M402"/>
  <c r="K402"/>
  <c r="I402"/>
  <c r="G402"/>
  <c r="E402"/>
  <c r="C402"/>
  <c r="Y401"/>
  <c r="X401"/>
  <c r="V401"/>
  <c r="U401"/>
  <c r="T401"/>
  <c r="S401"/>
  <c r="R401"/>
  <c r="Q401"/>
  <c r="O401"/>
  <c r="M401"/>
  <c r="K401"/>
  <c r="I401"/>
  <c r="G401"/>
  <c r="E401"/>
  <c r="C401"/>
  <c r="Y400"/>
  <c r="X400"/>
  <c r="V400"/>
  <c r="U400"/>
  <c r="T400"/>
  <c r="S400"/>
  <c r="R400"/>
  <c r="Q400"/>
  <c r="O400"/>
  <c r="M400"/>
  <c r="K400"/>
  <c r="I400"/>
  <c r="G400"/>
  <c r="E400"/>
  <c r="C400"/>
  <c r="Y399"/>
  <c r="X399"/>
  <c r="V399"/>
  <c r="U399"/>
  <c r="T399"/>
  <c r="S399"/>
  <c r="R399"/>
  <c r="Q399"/>
  <c r="O399"/>
  <c r="M399"/>
  <c r="K399"/>
  <c r="I399"/>
  <c r="G399"/>
  <c r="E399"/>
  <c r="C399"/>
  <c r="Y398"/>
  <c r="X398"/>
  <c r="V398"/>
  <c r="U398"/>
  <c r="T398"/>
  <c r="S398"/>
  <c r="R398"/>
  <c r="Q398"/>
  <c r="O398"/>
  <c r="M398"/>
  <c r="K398"/>
  <c r="I398"/>
  <c r="G398"/>
  <c r="E398"/>
  <c r="C398"/>
  <c r="Y397"/>
  <c r="X397"/>
  <c r="V397"/>
  <c r="U397"/>
  <c r="T397"/>
  <c r="S397"/>
  <c r="R397"/>
  <c r="Q397"/>
  <c r="O397"/>
  <c r="M397"/>
  <c r="K397"/>
  <c r="I397"/>
  <c r="G397"/>
  <c r="E397"/>
  <c r="C397"/>
  <c r="Y396"/>
  <c r="X396"/>
  <c r="V396"/>
  <c r="U396"/>
  <c r="T396"/>
  <c r="S396"/>
  <c r="R396"/>
  <c r="Q396"/>
  <c r="O396"/>
  <c r="M396"/>
  <c r="K396"/>
  <c r="I396"/>
  <c r="G396"/>
  <c r="E396"/>
  <c r="C396"/>
  <c r="Y395"/>
  <c r="X395"/>
  <c r="V395"/>
  <c r="U395"/>
  <c r="T395"/>
  <c r="S395"/>
  <c r="R395"/>
  <c r="Q395"/>
  <c r="O395"/>
  <c r="M395"/>
  <c r="K395"/>
  <c r="I395"/>
  <c r="G395"/>
  <c r="E395"/>
  <c r="C395"/>
  <c r="Y394"/>
  <c r="X394"/>
  <c r="V394"/>
  <c r="U394"/>
  <c r="T394"/>
  <c r="S394"/>
  <c r="R394"/>
  <c r="Q394"/>
  <c r="O394"/>
  <c r="M394"/>
  <c r="K394"/>
  <c r="I394"/>
  <c r="G394"/>
  <c r="E394"/>
  <c r="C394"/>
  <c r="Y393"/>
  <c r="X393"/>
  <c r="V393"/>
  <c r="U393"/>
  <c r="T393"/>
  <c r="S393"/>
  <c r="R393"/>
  <c r="Q393"/>
  <c r="O393"/>
  <c r="M393"/>
  <c r="K393"/>
  <c r="I393"/>
  <c r="G393"/>
  <c r="E393"/>
  <c r="C393"/>
  <c r="Y392"/>
  <c r="X392"/>
  <c r="V392"/>
  <c r="U392"/>
  <c r="T392"/>
  <c r="S392"/>
  <c r="R392"/>
  <c r="Q392"/>
  <c r="O392"/>
  <c r="M392"/>
  <c r="K392"/>
  <c r="I392"/>
  <c r="G392"/>
  <c r="E392"/>
  <c r="C392"/>
  <c r="Y391"/>
  <c r="X391"/>
  <c r="V391"/>
  <c r="U391"/>
  <c r="T391"/>
  <c r="S391"/>
  <c r="R391"/>
  <c r="Q391"/>
  <c r="O391"/>
  <c r="M391"/>
  <c r="K391"/>
  <c r="I391"/>
  <c r="G391"/>
  <c r="E391"/>
  <c r="C391"/>
  <c r="Y390"/>
  <c r="X390"/>
  <c r="V390"/>
  <c r="U390"/>
  <c r="T390"/>
  <c r="S390"/>
  <c r="R390"/>
  <c r="Q390"/>
  <c r="O390"/>
  <c r="M390"/>
  <c r="K390"/>
  <c r="I390"/>
  <c r="G390"/>
  <c r="E390"/>
  <c r="C390"/>
  <c r="Y389"/>
  <c r="X389"/>
  <c r="V389"/>
  <c r="U389"/>
  <c r="T389"/>
  <c r="S389"/>
  <c r="R389"/>
  <c r="Q389"/>
  <c r="O389"/>
  <c r="M389"/>
  <c r="K389"/>
  <c r="I389"/>
  <c r="G389"/>
  <c r="E389"/>
  <c r="C389"/>
  <c r="Y388"/>
  <c r="X388"/>
  <c r="V388"/>
  <c r="U388"/>
  <c r="T388"/>
  <c r="S388"/>
  <c r="R388"/>
  <c r="Q388"/>
  <c r="O388"/>
  <c r="M388"/>
  <c r="K388"/>
  <c r="I388"/>
  <c r="G388"/>
  <c r="E388"/>
  <c r="C388"/>
  <c r="Y387"/>
  <c r="X387"/>
  <c r="V387"/>
  <c r="U387"/>
  <c r="T387"/>
  <c r="S387"/>
  <c r="R387"/>
  <c r="Q387"/>
  <c r="O387"/>
  <c r="M387"/>
  <c r="K387"/>
  <c r="I387"/>
  <c r="G387"/>
  <c r="E387"/>
  <c r="C387"/>
  <c r="Y386"/>
  <c r="X386"/>
  <c r="V386"/>
  <c r="U386"/>
  <c r="T386"/>
  <c r="S386"/>
  <c r="R386"/>
  <c r="Q386"/>
  <c r="O386"/>
  <c r="M386"/>
  <c r="K386"/>
  <c r="I386"/>
  <c r="G386"/>
  <c r="E386"/>
  <c r="C386"/>
  <c r="Y385"/>
  <c r="X385"/>
  <c r="V385"/>
  <c r="U385"/>
  <c r="T385"/>
  <c r="S385"/>
  <c r="R385"/>
  <c r="Q385"/>
  <c r="O385"/>
  <c r="M385"/>
  <c r="K385"/>
  <c r="I385"/>
  <c r="G385"/>
  <c r="E385"/>
  <c r="C385"/>
  <c r="Y384"/>
  <c r="X384"/>
  <c r="V384"/>
  <c r="U384"/>
  <c r="T384"/>
  <c r="S384"/>
  <c r="R384"/>
  <c r="Q384"/>
  <c r="O384"/>
  <c r="M384"/>
  <c r="K384"/>
  <c r="I384"/>
  <c r="G384"/>
  <c r="E384"/>
  <c r="C384"/>
  <c r="Y383"/>
  <c r="X383"/>
  <c r="V383"/>
  <c r="U383"/>
  <c r="T383"/>
  <c r="S383"/>
  <c r="R383"/>
  <c r="Q383"/>
  <c r="O383"/>
  <c r="M383"/>
  <c r="K383"/>
  <c r="I383"/>
  <c r="G383"/>
  <c r="E383"/>
  <c r="C383"/>
  <c r="Y382"/>
  <c r="X382"/>
  <c r="V382"/>
  <c r="U382"/>
  <c r="T382"/>
  <c r="S382"/>
  <c r="R382"/>
  <c r="Q382"/>
  <c r="O382"/>
  <c r="M382"/>
  <c r="K382"/>
  <c r="I382"/>
  <c r="G382"/>
  <c r="E382"/>
  <c r="C382"/>
  <c r="Y381"/>
  <c r="X381"/>
  <c r="V381"/>
  <c r="U381"/>
  <c r="T381"/>
  <c r="S381"/>
  <c r="R381"/>
  <c r="Q381"/>
  <c r="O381"/>
  <c r="M381"/>
  <c r="K381"/>
  <c r="I381"/>
  <c r="G381"/>
  <c r="E381"/>
  <c r="C381"/>
  <c r="Y380"/>
  <c r="X380"/>
  <c r="V380"/>
  <c r="U380"/>
  <c r="T380"/>
  <c r="S380"/>
  <c r="R380"/>
  <c r="Q380"/>
  <c r="O380"/>
  <c r="M380"/>
  <c r="K380"/>
  <c r="I380"/>
  <c r="G380"/>
  <c r="E380"/>
  <c r="C380"/>
  <c r="Y379"/>
  <c r="X379"/>
  <c r="V379"/>
  <c r="U379"/>
  <c r="T379"/>
  <c r="S379"/>
  <c r="R379"/>
  <c r="Q379"/>
  <c r="O379"/>
  <c r="M379"/>
  <c r="K379"/>
  <c r="I379"/>
  <c r="G379"/>
  <c r="E379"/>
  <c r="C379"/>
  <c r="Y378"/>
  <c r="X378"/>
  <c r="V378"/>
  <c r="U378"/>
  <c r="T378"/>
  <c r="S378"/>
  <c r="R378"/>
  <c r="Q378"/>
  <c r="O378"/>
  <c r="M378"/>
  <c r="K378"/>
  <c r="I378"/>
  <c r="G378"/>
  <c r="E378"/>
  <c r="C378"/>
  <c r="Y377"/>
  <c r="X377"/>
  <c r="V377"/>
  <c r="U377"/>
  <c r="T377"/>
  <c r="S377"/>
  <c r="R377"/>
  <c r="Q377"/>
  <c r="O377"/>
  <c r="M377"/>
  <c r="K377"/>
  <c r="I377"/>
  <c r="G377"/>
  <c r="E377"/>
  <c r="C377"/>
  <c r="Y376"/>
  <c r="X376"/>
  <c r="V376"/>
  <c r="U376"/>
  <c r="T376"/>
  <c r="S376"/>
  <c r="R376"/>
  <c r="Q376"/>
  <c r="O376"/>
  <c r="M376"/>
  <c r="K376"/>
  <c r="I376"/>
  <c r="G376"/>
  <c r="E376"/>
  <c r="C376"/>
  <c r="Y375"/>
  <c r="X375"/>
  <c r="V375"/>
  <c r="U375"/>
  <c r="T375"/>
  <c r="S375"/>
  <c r="R375"/>
  <c r="Q375"/>
  <c r="O375"/>
  <c r="M375"/>
  <c r="K375"/>
  <c r="I375"/>
  <c r="G375"/>
  <c r="E375"/>
  <c r="C375"/>
  <c r="Y374"/>
  <c r="X374"/>
  <c r="V374"/>
  <c r="U374"/>
  <c r="T374"/>
  <c r="S374"/>
  <c r="R374"/>
  <c r="Q374"/>
  <c r="O374"/>
  <c r="M374"/>
  <c r="K374"/>
  <c r="I374"/>
  <c r="G374"/>
  <c r="E374"/>
  <c r="C374"/>
  <c r="Y373"/>
  <c r="X373"/>
  <c r="V373"/>
  <c r="U373"/>
  <c r="T373"/>
  <c r="S373"/>
  <c r="R373"/>
  <c r="Q373"/>
  <c r="O373"/>
  <c r="M373"/>
  <c r="K373"/>
  <c r="I373"/>
  <c r="G373"/>
  <c r="E373"/>
  <c r="C373"/>
  <c r="Y372"/>
  <c r="X372"/>
  <c r="V372"/>
  <c r="U372"/>
  <c r="T372"/>
  <c r="S372"/>
  <c r="R372"/>
  <c r="Q372"/>
  <c r="O372"/>
  <c r="M372"/>
  <c r="K372"/>
  <c r="I372"/>
  <c r="G372"/>
  <c r="E372"/>
  <c r="C372"/>
  <c r="Y371"/>
  <c r="X371"/>
  <c r="V371"/>
  <c r="U371"/>
  <c r="T371"/>
  <c r="S371"/>
  <c r="R371"/>
  <c r="Q371"/>
  <c r="O371"/>
  <c r="M371"/>
  <c r="K371"/>
  <c r="I371"/>
  <c r="G371"/>
  <c r="E371"/>
  <c r="C371"/>
  <c r="Y370"/>
  <c r="X370"/>
  <c r="V370"/>
  <c r="U370"/>
  <c r="T370"/>
  <c r="S370"/>
  <c r="R370"/>
  <c r="Q370"/>
  <c r="O370"/>
  <c r="M370"/>
  <c r="K370"/>
  <c r="I370"/>
  <c r="G370"/>
  <c r="E370"/>
  <c r="C370"/>
  <c r="Y369"/>
  <c r="X369"/>
  <c r="V369"/>
  <c r="U369"/>
  <c r="T369"/>
  <c r="S369"/>
  <c r="R369"/>
  <c r="Q369"/>
  <c r="O369"/>
  <c r="M369"/>
  <c r="K369"/>
  <c r="I369"/>
  <c r="G369"/>
  <c r="E369"/>
  <c r="C369"/>
  <c r="Y368"/>
  <c r="X368"/>
  <c r="V368"/>
  <c r="U368"/>
  <c r="T368"/>
  <c r="S368"/>
  <c r="R368"/>
  <c r="Q368"/>
  <c r="O368"/>
  <c r="M368"/>
  <c r="K368"/>
  <c r="I368"/>
  <c r="G368"/>
  <c r="E368"/>
  <c r="C368"/>
  <c r="Y367"/>
  <c r="X367"/>
  <c r="V367"/>
  <c r="U367"/>
  <c r="T367"/>
  <c r="S367"/>
  <c r="R367"/>
  <c r="Q367"/>
  <c r="O367"/>
  <c r="M367"/>
  <c r="K367"/>
  <c r="I367"/>
  <c r="G367"/>
  <c r="E367"/>
  <c r="C367"/>
  <c r="Y366"/>
  <c r="X366"/>
  <c r="V366"/>
  <c r="U366"/>
  <c r="T366"/>
  <c r="S366"/>
  <c r="R366"/>
  <c r="Q366"/>
  <c r="O366"/>
  <c r="M366"/>
  <c r="K366"/>
  <c r="I366"/>
  <c r="G366"/>
  <c r="E366"/>
  <c r="C366"/>
  <c r="Y365"/>
  <c r="X365"/>
  <c r="V365"/>
  <c r="U365"/>
  <c r="T365"/>
  <c r="S365"/>
  <c r="R365"/>
  <c r="Q365"/>
  <c r="O365"/>
  <c r="M365"/>
  <c r="K365"/>
  <c r="I365"/>
  <c r="G365"/>
  <c r="E365"/>
  <c r="C365"/>
  <c r="Y364"/>
  <c r="X364"/>
  <c r="V364"/>
  <c r="U364"/>
  <c r="T364"/>
  <c r="S364"/>
  <c r="R364"/>
  <c r="Q364"/>
  <c r="O364"/>
  <c r="M364"/>
  <c r="K364"/>
  <c r="I364"/>
  <c r="G364"/>
  <c r="E364"/>
  <c r="C364"/>
  <c r="Y363"/>
  <c r="X363"/>
  <c r="V363"/>
  <c r="U363"/>
  <c r="T363"/>
  <c r="S363"/>
  <c r="R363"/>
  <c r="Q363"/>
  <c r="O363"/>
  <c r="M363"/>
  <c r="K363"/>
  <c r="I363"/>
  <c r="G363"/>
  <c r="E363"/>
  <c r="C363"/>
  <c r="Y362"/>
  <c r="X362"/>
  <c r="V362"/>
  <c r="U362"/>
  <c r="T362"/>
  <c r="S362"/>
  <c r="R362"/>
  <c r="Q362"/>
  <c r="O362"/>
  <c r="M362"/>
  <c r="K362"/>
  <c r="I362"/>
  <c r="G362"/>
  <c r="E362"/>
  <c r="C362"/>
  <c r="Y361"/>
  <c r="X361"/>
  <c r="V361"/>
  <c r="U361"/>
  <c r="T361"/>
  <c r="S361"/>
  <c r="R361"/>
  <c r="Q361"/>
  <c r="O361"/>
  <c r="M361"/>
  <c r="K361"/>
  <c r="I361"/>
  <c r="G361"/>
  <c r="E361"/>
  <c r="C361"/>
  <c r="Y360"/>
  <c r="X360"/>
  <c r="V360"/>
  <c r="U360"/>
  <c r="T360"/>
  <c r="S360"/>
  <c r="R360"/>
  <c r="Q360"/>
  <c r="O360"/>
  <c r="M360"/>
  <c r="K360"/>
  <c r="I360"/>
  <c r="G360"/>
  <c r="E360"/>
  <c r="C360"/>
  <c r="Y359"/>
  <c r="X359"/>
  <c r="V359"/>
  <c r="U359"/>
  <c r="T359"/>
  <c r="S359"/>
  <c r="R359"/>
  <c r="Q359"/>
  <c r="O359"/>
  <c r="M359"/>
  <c r="K359"/>
  <c r="I359"/>
  <c r="G359"/>
  <c r="E359"/>
  <c r="C359"/>
  <c r="Y358"/>
  <c r="X358"/>
  <c r="V358"/>
  <c r="U358"/>
  <c r="T358"/>
  <c r="S358"/>
  <c r="R358"/>
  <c r="Q358"/>
  <c r="O358"/>
  <c r="M358"/>
  <c r="K358"/>
  <c r="I358"/>
  <c r="G358"/>
  <c r="E358"/>
  <c r="C358"/>
  <c r="Y357"/>
  <c r="X357"/>
  <c r="V357"/>
  <c r="U357"/>
  <c r="T357"/>
  <c r="S357"/>
  <c r="R357"/>
  <c r="Q357"/>
  <c r="O357"/>
  <c r="M357"/>
  <c r="K357"/>
  <c r="I357"/>
  <c r="G357"/>
  <c r="E357"/>
  <c r="C357"/>
  <c r="Y356"/>
  <c r="X356"/>
  <c r="V356"/>
  <c r="U356"/>
  <c r="T356"/>
  <c r="S356"/>
  <c r="R356"/>
  <c r="Q356"/>
  <c r="O356"/>
  <c r="M356"/>
  <c r="K356"/>
  <c r="I356"/>
  <c r="G356"/>
  <c r="E356"/>
  <c r="C356"/>
  <c r="Y355"/>
  <c r="X355"/>
  <c r="V355"/>
  <c r="U355"/>
  <c r="T355"/>
  <c r="S355"/>
  <c r="R355"/>
  <c r="Q355"/>
  <c r="O355"/>
  <c r="M355"/>
  <c r="K355"/>
  <c r="I355"/>
  <c r="G355"/>
  <c r="E355"/>
  <c r="C355"/>
  <c r="Y354"/>
  <c r="X354"/>
  <c r="V354"/>
  <c r="U354"/>
  <c r="T354"/>
  <c r="S354"/>
  <c r="R354"/>
  <c r="Q354"/>
  <c r="O354"/>
  <c r="M354"/>
  <c r="K354"/>
  <c r="I354"/>
  <c r="G354"/>
  <c r="E354"/>
  <c r="C354"/>
  <c r="Y353"/>
  <c r="X353"/>
  <c r="V353"/>
  <c r="U353"/>
  <c r="T353"/>
  <c r="S353"/>
  <c r="R353"/>
  <c r="Q353"/>
  <c r="O353"/>
  <c r="M353"/>
  <c r="K353"/>
  <c r="I353"/>
  <c r="G353"/>
  <c r="E353"/>
  <c r="C353"/>
  <c r="Y352"/>
  <c r="X352"/>
  <c r="V352"/>
  <c r="U352"/>
  <c r="T352"/>
  <c r="S352"/>
  <c r="R352"/>
  <c r="Q352"/>
  <c r="O352"/>
  <c r="M352"/>
  <c r="K352"/>
  <c r="I352"/>
  <c r="G352"/>
  <c r="E352"/>
  <c r="C352"/>
  <c r="Y351"/>
  <c r="X351"/>
  <c r="V351"/>
  <c r="U351"/>
  <c r="T351"/>
  <c r="S351"/>
  <c r="R351"/>
  <c r="Q351"/>
  <c r="O351"/>
  <c r="M351"/>
  <c r="K351"/>
  <c r="I351"/>
  <c r="G351"/>
  <c r="E351"/>
  <c r="C351"/>
  <c r="Y350"/>
  <c r="X350"/>
  <c r="V350"/>
  <c r="U350"/>
  <c r="T350"/>
  <c r="S350"/>
  <c r="R350"/>
  <c r="Q350"/>
  <c r="O350"/>
  <c r="M350"/>
  <c r="K350"/>
  <c r="I350"/>
  <c r="G350"/>
  <c r="E350"/>
  <c r="C350"/>
  <c r="Y349"/>
  <c r="X349"/>
  <c r="V349"/>
  <c r="U349"/>
  <c r="T349"/>
  <c r="S349"/>
  <c r="R349"/>
  <c r="Q349"/>
  <c r="O349"/>
  <c r="M349"/>
  <c r="K349"/>
  <c r="I349"/>
  <c r="G349"/>
  <c r="E349"/>
  <c r="C349"/>
  <c r="Y348"/>
  <c r="X348"/>
  <c r="V348"/>
  <c r="U348"/>
  <c r="T348"/>
  <c r="S348"/>
  <c r="R348"/>
  <c r="Q348"/>
  <c r="O348"/>
  <c r="M348"/>
  <c r="K348"/>
  <c r="I348"/>
  <c r="G348"/>
  <c r="E348"/>
  <c r="C348"/>
  <c r="Y347"/>
  <c r="X347"/>
  <c r="V347"/>
  <c r="U347"/>
  <c r="T347"/>
  <c r="S347"/>
  <c r="R347"/>
  <c r="Q347"/>
  <c r="O347"/>
  <c r="M347"/>
  <c r="K347"/>
  <c r="I347"/>
  <c r="G347"/>
  <c r="E347"/>
  <c r="C347"/>
  <c r="Y346"/>
  <c r="X346"/>
  <c r="V346"/>
  <c r="U346"/>
  <c r="T346"/>
  <c r="S346"/>
  <c r="R346"/>
  <c r="Q346"/>
  <c r="O346"/>
  <c r="M346"/>
  <c r="K346"/>
  <c r="I346"/>
  <c r="G346"/>
  <c r="E346"/>
  <c r="C346"/>
  <c r="Y345"/>
  <c r="X345"/>
  <c r="V345"/>
  <c r="U345"/>
  <c r="T345"/>
  <c r="S345"/>
  <c r="R345"/>
  <c r="Q345"/>
  <c r="O345"/>
  <c r="M345"/>
  <c r="K345"/>
  <c r="I345"/>
  <c r="G345"/>
  <c r="E345"/>
  <c r="C345"/>
  <c r="Y344"/>
  <c r="X344"/>
  <c r="V344"/>
  <c r="U344"/>
  <c r="T344"/>
  <c r="S344"/>
  <c r="R344"/>
  <c r="Q344"/>
  <c r="O344"/>
  <c r="M344"/>
  <c r="K344"/>
  <c r="I344"/>
  <c r="G344"/>
  <c r="E344"/>
  <c r="C344"/>
  <c r="Y343"/>
  <c r="X343"/>
  <c r="V343"/>
  <c r="U343"/>
  <c r="T343"/>
  <c r="S343"/>
  <c r="R343"/>
  <c r="Q343"/>
  <c r="O343"/>
  <c r="M343"/>
  <c r="K343"/>
  <c r="I343"/>
  <c r="G343"/>
  <c r="E343"/>
  <c r="C343"/>
  <c r="Y342"/>
  <c r="X342"/>
  <c r="V342"/>
  <c r="U342"/>
  <c r="T342"/>
  <c r="S342"/>
  <c r="R342"/>
  <c r="Q342"/>
  <c r="O342"/>
  <c r="M342"/>
  <c r="K342"/>
  <c r="I342"/>
  <c r="G342"/>
  <c r="E342"/>
  <c r="C342"/>
  <c r="Y341"/>
  <c r="X341"/>
  <c r="V341"/>
  <c r="U341"/>
  <c r="T341"/>
  <c r="S341"/>
  <c r="R341"/>
  <c r="Q341"/>
  <c r="O341"/>
  <c r="M341"/>
  <c r="K341"/>
  <c r="I341"/>
  <c r="G341"/>
  <c r="E341"/>
  <c r="C341"/>
  <c r="Y340"/>
  <c r="X340"/>
  <c r="V340"/>
  <c r="U340"/>
  <c r="T340"/>
  <c r="S340"/>
  <c r="R340"/>
  <c r="Q340"/>
  <c r="O340"/>
  <c r="M340"/>
  <c r="K340"/>
  <c r="I340"/>
  <c r="G340"/>
  <c r="E340"/>
  <c r="C340"/>
  <c r="Y339"/>
  <c r="X339"/>
  <c r="V339"/>
  <c r="U339"/>
  <c r="T339"/>
  <c r="S339"/>
  <c r="R339"/>
  <c r="Q339"/>
  <c r="O339"/>
  <c r="M339"/>
  <c r="K339"/>
  <c r="I339"/>
  <c r="G339"/>
  <c r="E339"/>
  <c r="C339"/>
  <c r="Y338"/>
  <c r="X338"/>
  <c r="V338"/>
  <c r="U338"/>
  <c r="T338"/>
  <c r="S338"/>
  <c r="R338"/>
  <c r="Q338"/>
  <c r="O338"/>
  <c r="M338"/>
  <c r="K338"/>
  <c r="I338"/>
  <c r="G338"/>
  <c r="E338"/>
  <c r="C338"/>
  <c r="Y337"/>
  <c r="X337"/>
  <c r="V337"/>
  <c r="U337"/>
  <c r="T337"/>
  <c r="S337"/>
  <c r="R337"/>
  <c r="Q337"/>
  <c r="O337"/>
  <c r="M337"/>
  <c r="K337"/>
  <c r="I337"/>
  <c r="G337"/>
  <c r="E337"/>
  <c r="C337"/>
  <c r="Y336"/>
  <c r="X336"/>
  <c r="V336"/>
  <c r="U336"/>
  <c r="T336"/>
  <c r="S336"/>
  <c r="R336"/>
  <c r="Q336"/>
  <c r="O336"/>
  <c r="M336"/>
  <c r="K336"/>
  <c r="I336"/>
  <c r="G336"/>
  <c r="E336"/>
  <c r="C336"/>
  <c r="Y335"/>
  <c r="X335"/>
  <c r="V335"/>
  <c r="U335"/>
  <c r="T335"/>
  <c r="S335"/>
  <c r="R335"/>
  <c r="Q335"/>
  <c r="O335"/>
  <c r="M335"/>
  <c r="K335"/>
  <c r="I335"/>
  <c r="G335"/>
  <c r="E335"/>
  <c r="C335"/>
  <c r="Y334"/>
  <c r="X334"/>
  <c r="V334"/>
  <c r="U334"/>
  <c r="T334"/>
  <c r="S334"/>
  <c r="R334"/>
  <c r="Q334"/>
  <c r="O334"/>
  <c r="M334"/>
  <c r="K334"/>
  <c r="I334"/>
  <c r="G334"/>
  <c r="E334"/>
  <c r="C334"/>
  <c r="Y333"/>
  <c r="X333"/>
  <c r="V333"/>
  <c r="U333"/>
  <c r="T333"/>
  <c r="S333"/>
  <c r="R333"/>
  <c r="Q333"/>
  <c r="O333"/>
  <c r="M333"/>
  <c r="K333"/>
  <c r="I333"/>
  <c r="G333"/>
  <c r="E333"/>
  <c r="C333"/>
  <c r="Y332"/>
  <c r="X332"/>
  <c r="V332"/>
  <c r="U332"/>
  <c r="T332"/>
  <c r="S332"/>
  <c r="R332"/>
  <c r="Q332"/>
  <c r="O332"/>
  <c r="M332"/>
  <c r="K332"/>
  <c r="I332"/>
  <c r="G332"/>
  <c r="E332"/>
  <c r="C332"/>
  <c r="Y331"/>
  <c r="X331"/>
  <c r="V331"/>
  <c r="U331"/>
  <c r="T331"/>
  <c r="S331"/>
  <c r="R331"/>
  <c r="Q331"/>
  <c r="O331"/>
  <c r="M331"/>
  <c r="K331"/>
  <c r="I331"/>
  <c r="G331"/>
  <c r="E331"/>
  <c r="C331"/>
  <c r="Y330"/>
  <c r="X330"/>
  <c r="V330"/>
  <c r="U330"/>
  <c r="T330"/>
  <c r="S330"/>
  <c r="R330"/>
  <c r="Q330"/>
  <c r="O330"/>
  <c r="M330"/>
  <c r="K330"/>
  <c r="I330"/>
  <c r="G330"/>
  <c r="E330"/>
  <c r="C330"/>
  <c r="Y329"/>
  <c r="X329"/>
  <c r="V329"/>
  <c r="U329"/>
  <c r="T329"/>
  <c r="S329"/>
  <c r="R329"/>
  <c r="Q329"/>
  <c r="O329"/>
  <c r="M329"/>
  <c r="K329"/>
  <c r="I329"/>
  <c r="G329"/>
  <c r="E329"/>
  <c r="C329"/>
  <c r="Y328"/>
  <c r="X328"/>
  <c r="V328"/>
  <c r="U328"/>
  <c r="T328"/>
  <c r="S328"/>
  <c r="R328"/>
  <c r="Q328"/>
  <c r="O328"/>
  <c r="M328"/>
  <c r="K328"/>
  <c r="I328"/>
  <c r="G328"/>
  <c r="E328"/>
  <c r="C328"/>
  <c r="Y327"/>
  <c r="X327"/>
  <c r="V327"/>
  <c r="U327"/>
  <c r="T327"/>
  <c r="S327"/>
  <c r="R327"/>
  <c r="Q327"/>
  <c r="O327"/>
  <c r="M327"/>
  <c r="K327"/>
  <c r="I327"/>
  <c r="G327"/>
  <c r="E327"/>
  <c r="C327"/>
  <c r="Y326"/>
  <c r="X326"/>
  <c r="V326"/>
  <c r="U326"/>
  <c r="T326"/>
  <c r="S326"/>
  <c r="R326"/>
  <c r="Q326"/>
  <c r="O326"/>
  <c r="M326"/>
  <c r="K326"/>
  <c r="I326"/>
  <c r="G326"/>
  <c r="E326"/>
  <c r="C326"/>
  <c r="Y325"/>
  <c r="X325"/>
  <c r="V325"/>
  <c r="U325"/>
  <c r="T325"/>
  <c r="S325"/>
  <c r="R325"/>
  <c r="Q325"/>
  <c r="O325"/>
  <c r="M325"/>
  <c r="K325"/>
  <c r="I325"/>
  <c r="G325"/>
  <c r="E325"/>
  <c r="C325"/>
  <c r="Y324"/>
  <c r="X324"/>
  <c r="V324"/>
  <c r="U324"/>
  <c r="T324"/>
  <c r="S324"/>
  <c r="R324"/>
  <c r="Q324"/>
  <c r="O324"/>
  <c r="M324"/>
  <c r="K324"/>
  <c r="I324"/>
  <c r="G324"/>
  <c r="E324"/>
  <c r="C324"/>
  <c r="Y323"/>
  <c r="X323"/>
  <c r="V323"/>
  <c r="U323"/>
  <c r="T323"/>
  <c r="S323"/>
  <c r="R323"/>
  <c r="Q323"/>
  <c r="O323"/>
  <c r="M323"/>
  <c r="K323"/>
  <c r="I323"/>
  <c r="G323"/>
  <c r="E323"/>
  <c r="C323"/>
  <c r="Y322"/>
  <c r="X322"/>
  <c r="V322"/>
  <c r="U322"/>
  <c r="T322"/>
  <c r="S322"/>
  <c r="R322"/>
  <c r="Q322"/>
  <c r="O322"/>
  <c r="M322"/>
  <c r="K322"/>
  <c r="I322"/>
  <c r="G322"/>
  <c r="E322"/>
  <c r="C322"/>
  <c r="Y321"/>
  <c r="X321"/>
  <c r="V321"/>
  <c r="U321"/>
  <c r="T321"/>
  <c r="S321"/>
  <c r="R321"/>
  <c r="Q321"/>
  <c r="O321"/>
  <c r="M321"/>
  <c r="K321"/>
  <c r="I321"/>
  <c r="G321"/>
  <c r="E321"/>
  <c r="C321"/>
  <c r="Y320"/>
  <c r="X320"/>
  <c r="V320"/>
  <c r="U320"/>
  <c r="T320"/>
  <c r="S320"/>
  <c r="R320"/>
  <c r="Q320"/>
  <c r="O320"/>
  <c r="M320"/>
  <c r="K320"/>
  <c r="I320"/>
  <c r="G320"/>
  <c r="E320"/>
  <c r="C320"/>
  <c r="Y319"/>
  <c r="X319"/>
  <c r="V319"/>
  <c r="U319"/>
  <c r="T319"/>
  <c r="S319"/>
  <c r="R319"/>
  <c r="Q319"/>
  <c r="O319"/>
  <c r="M319"/>
  <c r="K319"/>
  <c r="I319"/>
  <c r="G319"/>
  <c r="E319"/>
  <c r="C319"/>
  <c r="Y318"/>
  <c r="X318"/>
  <c r="V318"/>
  <c r="U318"/>
  <c r="T318"/>
  <c r="S318"/>
  <c r="R318"/>
  <c r="Q318"/>
  <c r="O318"/>
  <c r="M318"/>
  <c r="K318"/>
  <c r="I318"/>
  <c r="G318"/>
  <c r="E318"/>
  <c r="C318"/>
  <c r="Y317"/>
  <c r="X317"/>
  <c r="V317"/>
  <c r="U317"/>
  <c r="T317"/>
  <c r="S317"/>
  <c r="R317"/>
  <c r="Q317"/>
  <c r="O317"/>
  <c r="M317"/>
  <c r="K317"/>
  <c r="I317"/>
  <c r="G317"/>
  <c r="E317"/>
  <c r="C317"/>
  <c r="Y316"/>
  <c r="X316"/>
  <c r="V316"/>
  <c r="U316"/>
  <c r="T316"/>
  <c r="S316"/>
  <c r="R316"/>
  <c r="Q316"/>
  <c r="O316"/>
  <c r="M316"/>
  <c r="K316"/>
  <c r="I316"/>
  <c r="G316"/>
  <c r="E316"/>
  <c r="C316"/>
  <c r="Y315"/>
  <c r="X315"/>
  <c r="V315"/>
  <c r="U315"/>
  <c r="T315"/>
  <c r="S315"/>
  <c r="R315"/>
  <c r="Q315"/>
  <c r="O315"/>
  <c r="M315"/>
  <c r="K315"/>
  <c r="I315"/>
  <c r="G315"/>
  <c r="E315"/>
  <c r="C315"/>
  <c r="Y314"/>
  <c r="X314"/>
  <c r="V314"/>
  <c r="U314"/>
  <c r="T314"/>
  <c r="S314"/>
  <c r="R314"/>
  <c r="Q314"/>
  <c r="O314"/>
  <c r="M314"/>
  <c r="K314"/>
  <c r="I314"/>
  <c r="G314"/>
  <c r="E314"/>
  <c r="C314"/>
  <c r="Y313"/>
  <c r="X313"/>
  <c r="V313"/>
  <c r="U313"/>
  <c r="T313"/>
  <c r="S313"/>
  <c r="R313"/>
  <c r="Q313"/>
  <c r="O313"/>
  <c r="M313"/>
  <c r="K313"/>
  <c r="I313"/>
  <c r="G313"/>
  <c r="E313"/>
  <c r="C313"/>
  <c r="Y312"/>
  <c r="X312"/>
  <c r="V312"/>
  <c r="U312"/>
  <c r="T312"/>
  <c r="S312"/>
  <c r="R312"/>
  <c r="Q312"/>
  <c r="O312"/>
  <c r="M312"/>
  <c r="K312"/>
  <c r="I312"/>
  <c r="G312"/>
  <c r="E312"/>
  <c r="C312"/>
  <c r="Y311"/>
  <c r="X311"/>
  <c r="V311"/>
  <c r="U311"/>
  <c r="T311"/>
  <c r="S311"/>
  <c r="R311"/>
  <c r="Q311"/>
  <c r="O311"/>
  <c r="M311"/>
  <c r="K311"/>
  <c r="I311"/>
  <c r="G311"/>
  <c r="E311"/>
  <c r="C311"/>
  <c r="Y310"/>
  <c r="X310"/>
  <c r="V310"/>
  <c r="U310"/>
  <c r="T310"/>
  <c r="S310"/>
  <c r="R310"/>
  <c r="Q310"/>
  <c r="O310"/>
  <c r="M310"/>
  <c r="K310"/>
  <c r="I310"/>
  <c r="G310"/>
  <c r="E310"/>
  <c r="C310"/>
  <c r="Y309"/>
  <c r="X309"/>
  <c r="V309"/>
  <c r="U309"/>
  <c r="T309"/>
  <c r="S309"/>
  <c r="R309"/>
  <c r="Q309"/>
  <c r="O309"/>
  <c r="M309"/>
  <c r="K309"/>
  <c r="I309"/>
  <c r="G309"/>
  <c r="E309"/>
  <c r="C309"/>
  <c r="Y308"/>
  <c r="X308"/>
  <c r="V308"/>
  <c r="U308"/>
  <c r="T308"/>
  <c r="S308"/>
  <c r="R308"/>
  <c r="Q308"/>
  <c r="O308"/>
  <c r="M308"/>
  <c r="K308"/>
  <c r="I308"/>
  <c r="G308"/>
  <c r="E308"/>
  <c r="C308"/>
  <c r="Y307"/>
  <c r="X307"/>
  <c r="V307"/>
  <c r="U307"/>
  <c r="T307"/>
  <c r="S307"/>
  <c r="R307"/>
  <c r="Q307"/>
  <c r="O307"/>
  <c r="M307"/>
  <c r="K307"/>
  <c r="I307"/>
  <c r="G307"/>
  <c r="E307"/>
  <c r="C307"/>
  <c r="Y306"/>
  <c r="X306"/>
  <c r="V306"/>
  <c r="U306"/>
  <c r="T306"/>
  <c r="S306"/>
  <c r="R306"/>
  <c r="Q306"/>
  <c r="O306"/>
  <c r="M306"/>
  <c r="K306"/>
  <c r="I306"/>
  <c r="G306"/>
  <c r="E306"/>
  <c r="C306"/>
  <c r="Y305"/>
  <c r="X305"/>
  <c r="V305"/>
  <c r="U305"/>
  <c r="T305"/>
  <c r="S305"/>
  <c r="R305"/>
  <c r="Q305"/>
  <c r="O305"/>
  <c r="M305"/>
  <c r="K305"/>
  <c r="I305"/>
  <c r="G305"/>
  <c r="E305"/>
  <c r="C305"/>
  <c r="Y304"/>
  <c r="X304"/>
  <c r="V304"/>
  <c r="U304"/>
  <c r="T304"/>
  <c r="S304"/>
  <c r="R304"/>
  <c r="Q304"/>
  <c r="O304"/>
  <c r="M304"/>
  <c r="K304"/>
  <c r="I304"/>
  <c r="G304"/>
  <c r="E304"/>
  <c r="C304"/>
  <c r="Y303"/>
  <c r="X303"/>
  <c r="V303"/>
  <c r="U303"/>
  <c r="T303"/>
  <c r="S303"/>
  <c r="R303"/>
  <c r="Q303"/>
  <c r="O303"/>
  <c r="M303"/>
  <c r="K303"/>
  <c r="I303"/>
  <c r="G303"/>
  <c r="E303"/>
  <c r="C303"/>
  <c r="Y302"/>
  <c r="X302"/>
  <c r="V302"/>
  <c r="U302"/>
  <c r="T302"/>
  <c r="S302"/>
  <c r="R302"/>
  <c r="Q302"/>
  <c r="O302"/>
  <c r="M302"/>
  <c r="K302"/>
  <c r="I302"/>
  <c r="G302"/>
  <c r="E302"/>
  <c r="C302"/>
  <c r="Y301"/>
  <c r="X301"/>
  <c r="V301"/>
  <c r="U301"/>
  <c r="T301"/>
  <c r="S301"/>
  <c r="R301"/>
  <c r="Q301"/>
  <c r="O301"/>
  <c r="M301"/>
  <c r="K301"/>
  <c r="I301"/>
  <c r="G301"/>
  <c r="E301"/>
  <c r="C301"/>
  <c r="Y300"/>
  <c r="X300"/>
  <c r="V300"/>
  <c r="U300"/>
  <c r="T300"/>
  <c r="S300"/>
  <c r="R300"/>
  <c r="Q300"/>
  <c r="O300"/>
  <c r="M300"/>
  <c r="K300"/>
  <c r="I300"/>
  <c r="G300"/>
  <c r="E300"/>
  <c r="C300"/>
  <c r="Y299"/>
  <c r="X299"/>
  <c r="V299"/>
  <c r="U299"/>
  <c r="T299"/>
  <c r="S299"/>
  <c r="R299"/>
  <c r="Q299"/>
  <c r="O299"/>
  <c r="M299"/>
  <c r="K299"/>
  <c r="I299"/>
  <c r="G299"/>
  <c r="E299"/>
  <c r="C299"/>
  <c r="Y298"/>
  <c r="X298"/>
  <c r="V298"/>
  <c r="U298"/>
  <c r="T298"/>
  <c r="S298"/>
  <c r="R298"/>
  <c r="Q298"/>
  <c r="O298"/>
  <c r="M298"/>
  <c r="K298"/>
  <c r="I298"/>
  <c r="G298"/>
  <c r="E298"/>
  <c r="C298"/>
  <c r="Y297"/>
  <c r="X297"/>
  <c r="V297"/>
  <c r="U297"/>
  <c r="T297"/>
  <c r="S297"/>
  <c r="R297"/>
  <c r="Q297"/>
  <c r="O297"/>
  <c r="M297"/>
  <c r="K297"/>
  <c r="I297"/>
  <c r="G297"/>
  <c r="E297"/>
  <c r="C297"/>
  <c r="Y296"/>
  <c r="X296"/>
  <c r="V296"/>
  <c r="U296"/>
  <c r="T296"/>
  <c r="S296"/>
  <c r="R296"/>
  <c r="Q296"/>
  <c r="O296"/>
  <c r="M296"/>
  <c r="K296"/>
  <c r="I296"/>
  <c r="G296"/>
  <c r="E296"/>
  <c r="C296"/>
  <c r="Y295"/>
  <c r="X295"/>
  <c r="V295"/>
  <c r="U295"/>
  <c r="T295"/>
  <c r="S295"/>
  <c r="R295"/>
  <c r="Q295"/>
  <c r="O295"/>
  <c r="M295"/>
  <c r="K295"/>
  <c r="I295"/>
  <c r="G295"/>
  <c r="E295"/>
  <c r="C295"/>
  <c r="Y294"/>
  <c r="X294"/>
  <c r="V294"/>
  <c r="U294"/>
  <c r="T294"/>
  <c r="S294"/>
  <c r="R294"/>
  <c r="Q294"/>
  <c r="O294"/>
  <c r="M294"/>
  <c r="K294"/>
  <c r="I294"/>
  <c r="G294"/>
  <c r="E294"/>
  <c r="C294"/>
  <c r="Y293"/>
  <c r="X293"/>
  <c r="V293"/>
  <c r="U293"/>
  <c r="T293"/>
  <c r="S293"/>
  <c r="R293"/>
  <c r="Q293"/>
  <c r="O293"/>
  <c r="M293"/>
  <c r="K293"/>
  <c r="I293"/>
  <c r="G293"/>
  <c r="E293"/>
  <c r="C293"/>
  <c r="Y292"/>
  <c r="X292"/>
  <c r="V292"/>
  <c r="U292"/>
  <c r="T292"/>
  <c r="S292"/>
  <c r="R292"/>
  <c r="Q292"/>
  <c r="O292"/>
  <c r="M292"/>
  <c r="K292"/>
  <c r="I292"/>
  <c r="G292"/>
  <c r="E292"/>
  <c r="C292"/>
  <c r="Y291"/>
  <c r="X291"/>
  <c r="V291"/>
  <c r="U291"/>
  <c r="T291"/>
  <c r="S291"/>
  <c r="R291"/>
  <c r="Q291"/>
  <c r="O291"/>
  <c r="M291"/>
  <c r="K291"/>
  <c r="I291"/>
  <c r="G291"/>
  <c r="E291"/>
  <c r="C291"/>
  <c r="Y290"/>
  <c r="X290"/>
  <c r="V290"/>
  <c r="U290"/>
  <c r="T290"/>
  <c r="S290"/>
  <c r="R290"/>
  <c r="Q290"/>
  <c r="O290"/>
  <c r="M290"/>
  <c r="K290"/>
  <c r="I290"/>
  <c r="G290"/>
  <c r="E290"/>
  <c r="C290"/>
  <c r="Y289"/>
  <c r="X289"/>
  <c r="V289"/>
  <c r="U289"/>
  <c r="T289"/>
  <c r="S289"/>
  <c r="R289"/>
  <c r="Q289"/>
  <c r="O289"/>
  <c r="M289"/>
  <c r="K289"/>
  <c r="I289"/>
  <c r="G289"/>
  <c r="E289"/>
  <c r="C289"/>
  <c r="Y288"/>
  <c r="X288"/>
  <c r="V288"/>
  <c r="U288"/>
  <c r="T288"/>
  <c r="S288"/>
  <c r="R288"/>
  <c r="Q288"/>
  <c r="O288"/>
  <c r="M288"/>
  <c r="K288"/>
  <c r="I288"/>
  <c r="G288"/>
  <c r="E288"/>
  <c r="C288"/>
  <c r="Y287"/>
  <c r="X287"/>
  <c r="V287"/>
  <c r="U287"/>
  <c r="T287"/>
  <c r="S287"/>
  <c r="R287"/>
  <c r="Q287"/>
  <c r="O287"/>
  <c r="M287"/>
  <c r="K287"/>
  <c r="I287"/>
  <c r="G287"/>
  <c r="E287"/>
  <c r="C287"/>
  <c r="Y286"/>
  <c r="X286"/>
  <c r="V286"/>
  <c r="U286"/>
  <c r="T286"/>
  <c r="S286"/>
  <c r="R286"/>
  <c r="Q286"/>
  <c r="O286"/>
  <c r="M286"/>
  <c r="K286"/>
  <c r="I286"/>
  <c r="G286"/>
  <c r="E286"/>
  <c r="C286"/>
  <c r="Y285"/>
  <c r="X285"/>
  <c r="V285"/>
  <c r="U285"/>
  <c r="T285"/>
  <c r="S285"/>
  <c r="R285"/>
  <c r="Q285"/>
  <c r="O285"/>
  <c r="M285"/>
  <c r="K285"/>
  <c r="I285"/>
  <c r="G285"/>
  <c r="E285"/>
  <c r="C285"/>
  <c r="Y284"/>
  <c r="X284"/>
  <c r="V284"/>
  <c r="U284"/>
  <c r="T284"/>
  <c r="S284"/>
  <c r="R284"/>
  <c r="Q284"/>
  <c r="O284"/>
  <c r="M284"/>
  <c r="K284"/>
  <c r="I284"/>
  <c r="G284"/>
  <c r="E284"/>
  <c r="C284"/>
  <c r="Y283"/>
  <c r="X283"/>
  <c r="V283"/>
  <c r="U283"/>
  <c r="T283"/>
  <c r="S283"/>
  <c r="R283"/>
  <c r="Q283"/>
  <c r="O283"/>
  <c r="M283"/>
  <c r="K283"/>
  <c r="I283"/>
  <c r="G283"/>
  <c r="E283"/>
  <c r="C283"/>
  <c r="Y282"/>
  <c r="X282"/>
  <c r="V282"/>
  <c r="U282"/>
  <c r="T282"/>
  <c r="S282"/>
  <c r="R282"/>
  <c r="Q282"/>
  <c r="O282"/>
  <c r="M282"/>
  <c r="K282"/>
  <c r="I282"/>
  <c r="G282"/>
  <c r="E282"/>
  <c r="C282"/>
  <c r="Y281"/>
  <c r="X281"/>
  <c r="V281"/>
  <c r="U281"/>
  <c r="T281"/>
  <c r="S281"/>
  <c r="R281"/>
  <c r="Q281"/>
  <c r="O281"/>
  <c r="M281"/>
  <c r="K281"/>
  <c r="I281"/>
  <c r="G281"/>
  <c r="E281"/>
  <c r="C281"/>
  <c r="Y280"/>
  <c r="X280"/>
  <c r="V280"/>
  <c r="U280"/>
  <c r="T280"/>
  <c r="S280"/>
  <c r="R280"/>
  <c r="Q280"/>
  <c r="O280"/>
  <c r="M280"/>
  <c r="K280"/>
  <c r="I280"/>
  <c r="G280"/>
  <c r="E280"/>
  <c r="C280"/>
  <c r="Y279"/>
  <c r="X279"/>
  <c r="V279"/>
  <c r="U279"/>
  <c r="T279"/>
  <c r="S279"/>
  <c r="R279"/>
  <c r="Q279"/>
  <c r="O279"/>
  <c r="M279"/>
  <c r="K279"/>
  <c r="I279"/>
  <c r="G279"/>
  <c r="E279"/>
  <c r="C279"/>
  <c r="Y278"/>
  <c r="X278"/>
  <c r="V278"/>
  <c r="U278"/>
  <c r="T278"/>
  <c r="S278"/>
  <c r="R278"/>
  <c r="Q278"/>
  <c r="O278"/>
  <c r="M278"/>
  <c r="K278"/>
  <c r="I278"/>
  <c r="G278"/>
  <c r="E278"/>
  <c r="C278"/>
  <c r="Y277"/>
  <c r="X277"/>
  <c r="V277"/>
  <c r="U277"/>
  <c r="T277"/>
  <c r="S277"/>
  <c r="R277"/>
  <c r="Q277"/>
  <c r="O277"/>
  <c r="M277"/>
  <c r="K277"/>
  <c r="I277"/>
  <c r="G277"/>
  <c r="E277"/>
  <c r="C277"/>
  <c r="Y276"/>
  <c r="X276"/>
  <c r="V276"/>
  <c r="U276"/>
  <c r="T276"/>
  <c r="S276"/>
  <c r="R276"/>
  <c r="Q276"/>
  <c r="O276"/>
  <c r="M276"/>
  <c r="K276"/>
  <c r="I276"/>
  <c r="G276"/>
  <c r="E276"/>
  <c r="C276"/>
  <c r="Y275"/>
  <c r="X275"/>
  <c r="V275"/>
  <c r="U275"/>
  <c r="T275"/>
  <c r="S275"/>
  <c r="R275"/>
  <c r="Q275"/>
  <c r="O275"/>
  <c r="M275"/>
  <c r="K275"/>
  <c r="I275"/>
  <c r="G275"/>
  <c r="E275"/>
  <c r="C275"/>
  <c r="Y274"/>
  <c r="X274"/>
  <c r="V274"/>
  <c r="U274"/>
  <c r="T274"/>
  <c r="S274"/>
  <c r="R274"/>
  <c r="Q274"/>
  <c r="O274"/>
  <c r="M274"/>
  <c r="K274"/>
  <c r="I274"/>
  <c r="G274"/>
  <c r="E274"/>
  <c r="C274"/>
  <c r="Y273"/>
  <c r="X273"/>
  <c r="V273"/>
  <c r="U273"/>
  <c r="T273"/>
  <c r="S273"/>
  <c r="R273"/>
  <c r="Q273"/>
  <c r="O273"/>
  <c r="M273"/>
  <c r="K273"/>
  <c r="I273"/>
  <c r="G273"/>
  <c r="E273"/>
  <c r="C273"/>
  <c r="Y272"/>
  <c r="X272"/>
  <c r="V272"/>
  <c r="U272"/>
  <c r="T272"/>
  <c r="S272"/>
  <c r="R272"/>
  <c r="Q272"/>
  <c r="O272"/>
  <c r="M272"/>
  <c r="K272"/>
  <c r="I272"/>
  <c r="G272"/>
  <c r="E272"/>
  <c r="C272"/>
  <c r="Y271"/>
  <c r="X271"/>
  <c r="V271"/>
  <c r="U271"/>
  <c r="T271"/>
  <c r="S271"/>
  <c r="R271"/>
  <c r="Q271"/>
  <c r="O271"/>
  <c r="M271"/>
  <c r="K271"/>
  <c r="I271"/>
  <c r="G271"/>
  <c r="E271"/>
  <c r="C271"/>
  <c r="Y270"/>
  <c r="X270"/>
  <c r="V270"/>
  <c r="U270"/>
  <c r="T270"/>
  <c r="S270"/>
  <c r="R270"/>
  <c r="Q270"/>
  <c r="O270"/>
  <c r="M270"/>
  <c r="K270"/>
  <c r="I270"/>
  <c r="G270"/>
  <c r="E270"/>
  <c r="C270"/>
  <c r="Y269"/>
  <c r="X269"/>
  <c r="V269"/>
  <c r="U269"/>
  <c r="T269"/>
  <c r="S269"/>
  <c r="R269"/>
  <c r="Q269"/>
  <c r="O269"/>
  <c r="M269"/>
  <c r="K269"/>
  <c r="I269"/>
  <c r="G269"/>
  <c r="E269"/>
  <c r="C269"/>
  <c r="Y268"/>
  <c r="X268"/>
  <c r="V268"/>
  <c r="U268"/>
  <c r="T268"/>
  <c r="S268"/>
  <c r="R268"/>
  <c r="Q268"/>
  <c r="O268"/>
  <c r="M268"/>
  <c r="K268"/>
  <c r="I268"/>
  <c r="G268"/>
  <c r="E268"/>
  <c r="C268"/>
  <c r="Y267"/>
  <c r="X267"/>
  <c r="V267"/>
  <c r="U267"/>
  <c r="T267"/>
  <c r="S267"/>
  <c r="R267"/>
  <c r="Q267"/>
  <c r="O267"/>
  <c r="M267"/>
  <c r="K267"/>
  <c r="I267"/>
  <c r="G267"/>
  <c r="E267"/>
  <c r="C267"/>
  <c r="Y266"/>
  <c r="X266"/>
  <c r="V266"/>
  <c r="U266"/>
  <c r="T266"/>
  <c r="S266"/>
  <c r="R266"/>
  <c r="Q266"/>
  <c r="O266"/>
  <c r="M266"/>
  <c r="K266"/>
  <c r="I266"/>
  <c r="G266"/>
  <c r="E266"/>
  <c r="C266"/>
  <c r="Y265"/>
  <c r="X265"/>
  <c r="V265"/>
  <c r="U265"/>
  <c r="T265"/>
  <c r="S265"/>
  <c r="R265"/>
  <c r="Q265"/>
  <c r="O265"/>
  <c r="M265"/>
  <c r="K265"/>
  <c r="I265"/>
  <c r="G265"/>
  <c r="E265"/>
  <c r="C265"/>
  <c r="Y264"/>
  <c r="X264"/>
  <c r="V264"/>
  <c r="U264"/>
  <c r="T264"/>
  <c r="S264"/>
  <c r="R264"/>
  <c r="Q264"/>
  <c r="O264"/>
  <c r="M264"/>
  <c r="K264"/>
  <c r="I264"/>
  <c r="G264"/>
  <c r="E264"/>
  <c r="C264"/>
  <c r="Y263"/>
  <c r="X263"/>
  <c r="V263"/>
  <c r="U263"/>
  <c r="T263"/>
  <c r="S263"/>
  <c r="R263"/>
  <c r="Q263"/>
  <c r="O263"/>
  <c r="M263"/>
  <c r="K263"/>
  <c r="I263"/>
  <c r="G263"/>
  <c r="E263"/>
  <c r="C263"/>
  <c r="Y262"/>
  <c r="X262"/>
  <c r="V262"/>
  <c r="U262"/>
  <c r="T262"/>
  <c r="S262"/>
  <c r="R262"/>
  <c r="Q262"/>
  <c r="O262"/>
  <c r="M262"/>
  <c r="K262"/>
  <c r="I262"/>
  <c r="G262"/>
  <c r="E262"/>
  <c r="C262"/>
  <c r="Y261"/>
  <c r="X261"/>
  <c r="V261"/>
  <c r="U261"/>
  <c r="T261"/>
  <c r="S261"/>
  <c r="R261"/>
  <c r="Q261"/>
  <c r="O261"/>
  <c r="M261"/>
  <c r="K261"/>
  <c r="I261"/>
  <c r="G261"/>
  <c r="E261"/>
  <c r="C261"/>
  <c r="Y260"/>
  <c r="X260"/>
  <c r="V260"/>
  <c r="U260"/>
  <c r="T260"/>
  <c r="S260"/>
  <c r="R260"/>
  <c r="Q260"/>
  <c r="O260"/>
  <c r="M260"/>
  <c r="K260"/>
  <c r="I260"/>
  <c r="G260"/>
  <c r="E260"/>
  <c r="C260"/>
  <c r="Y259"/>
  <c r="X259"/>
  <c r="V259"/>
  <c r="U259"/>
  <c r="T259"/>
  <c r="S259"/>
  <c r="R259"/>
  <c r="Q259"/>
  <c r="O259"/>
  <c r="M259"/>
  <c r="K259"/>
  <c r="I259"/>
  <c r="G259"/>
  <c r="E259"/>
  <c r="C259"/>
  <c r="Y258"/>
  <c r="X258"/>
  <c r="V258"/>
  <c r="U258"/>
  <c r="T258"/>
  <c r="S258"/>
  <c r="R258"/>
  <c r="Q258"/>
  <c r="O258"/>
  <c r="M258"/>
  <c r="K258"/>
  <c r="I258"/>
  <c r="G258"/>
  <c r="E258"/>
  <c r="C258"/>
  <c r="Y257"/>
  <c r="X257"/>
  <c r="V257"/>
  <c r="U257"/>
  <c r="T257"/>
  <c r="S257"/>
  <c r="R257"/>
  <c r="Q257"/>
  <c r="O257"/>
  <c r="M257"/>
  <c r="K257"/>
  <c r="I257"/>
  <c r="G257"/>
  <c r="E257"/>
  <c r="C257"/>
  <c r="Y256"/>
  <c r="X256"/>
  <c r="V256"/>
  <c r="U256"/>
  <c r="T256"/>
  <c r="S256"/>
  <c r="R256"/>
  <c r="Q256"/>
  <c r="O256"/>
  <c r="M256"/>
  <c r="K256"/>
  <c r="I256"/>
  <c r="G256"/>
  <c r="E256"/>
  <c r="C256"/>
  <c r="Y255"/>
  <c r="X255"/>
  <c r="V255"/>
  <c r="U255"/>
  <c r="T255"/>
  <c r="S255"/>
  <c r="R255"/>
  <c r="Q255"/>
  <c r="O255"/>
  <c r="M255"/>
  <c r="K255"/>
  <c r="I255"/>
  <c r="G255"/>
  <c r="E255"/>
  <c r="C255"/>
  <c r="Y254"/>
  <c r="X254"/>
  <c r="V254"/>
  <c r="U254"/>
  <c r="T254"/>
  <c r="S254"/>
  <c r="R254"/>
  <c r="Q254"/>
  <c r="O254"/>
  <c r="M254"/>
  <c r="K254"/>
  <c r="I254"/>
  <c r="G254"/>
  <c r="E254"/>
  <c r="C254"/>
  <c r="Y253"/>
  <c r="X253"/>
  <c r="V253"/>
  <c r="U253"/>
  <c r="T253"/>
  <c r="S253"/>
  <c r="R253"/>
  <c r="Q253"/>
  <c r="O253"/>
  <c r="M253"/>
  <c r="K253"/>
  <c r="I253"/>
  <c r="G253"/>
  <c r="E253"/>
  <c r="C253"/>
  <c r="Y252"/>
  <c r="X252"/>
  <c r="V252"/>
  <c r="U252"/>
  <c r="T252"/>
  <c r="S252"/>
  <c r="R252"/>
  <c r="Q252"/>
  <c r="O252"/>
  <c r="M252"/>
  <c r="K252"/>
  <c r="I252"/>
  <c r="G252"/>
  <c r="E252"/>
  <c r="C252"/>
  <c r="Y251"/>
  <c r="X251"/>
  <c r="V251"/>
  <c r="U251"/>
  <c r="T251"/>
  <c r="S251"/>
  <c r="R251"/>
  <c r="Q251"/>
  <c r="O251"/>
  <c r="M251"/>
  <c r="K251"/>
  <c r="I251"/>
  <c r="G251"/>
  <c r="E251"/>
  <c r="C251"/>
  <c r="Y250"/>
  <c r="X250"/>
  <c r="V250"/>
  <c r="U250"/>
  <c r="T250"/>
  <c r="S250"/>
  <c r="R250"/>
  <c r="Q250"/>
  <c r="O250"/>
  <c r="M250"/>
  <c r="K250"/>
  <c r="I250"/>
  <c r="G250"/>
  <c r="E250"/>
  <c r="C250"/>
  <c r="Y249"/>
  <c r="X249"/>
  <c r="V249"/>
  <c r="U249"/>
  <c r="T249"/>
  <c r="S249"/>
  <c r="R249"/>
  <c r="Q249"/>
  <c r="O249"/>
  <c r="M249"/>
  <c r="K249"/>
  <c r="I249"/>
  <c r="G249"/>
  <c r="E249"/>
  <c r="C249"/>
  <c r="Y248"/>
  <c r="X248"/>
  <c r="V248"/>
  <c r="U248"/>
  <c r="T248"/>
  <c r="S248"/>
  <c r="R248"/>
  <c r="Q248"/>
  <c r="O248"/>
  <c r="M248"/>
  <c r="K248"/>
  <c r="I248"/>
  <c r="G248"/>
  <c r="E248"/>
  <c r="C248"/>
  <c r="Y247"/>
  <c r="X247"/>
  <c r="V247"/>
  <c r="U247"/>
  <c r="T247"/>
  <c r="S247"/>
  <c r="R247"/>
  <c r="Q247"/>
  <c r="O247"/>
  <c r="M247"/>
  <c r="K247"/>
  <c r="I247"/>
  <c r="G247"/>
  <c r="E247"/>
  <c r="C247"/>
  <c r="Y246"/>
  <c r="X246"/>
  <c r="V246"/>
  <c r="U246"/>
  <c r="T246"/>
  <c r="S246"/>
  <c r="R246"/>
  <c r="Q246"/>
  <c r="O246"/>
  <c r="M246"/>
  <c r="K246"/>
  <c r="I246"/>
  <c r="G246"/>
  <c r="E246"/>
  <c r="C246"/>
  <c r="Y245"/>
  <c r="X245"/>
  <c r="V245"/>
  <c r="U245"/>
  <c r="T245"/>
  <c r="S245"/>
  <c r="R245"/>
  <c r="Q245"/>
  <c r="O245"/>
  <c r="M245"/>
  <c r="K245"/>
  <c r="I245"/>
  <c r="G245"/>
  <c r="E245"/>
  <c r="C245"/>
  <c r="Y244"/>
  <c r="X244"/>
  <c r="V244"/>
  <c r="U244"/>
  <c r="T244"/>
  <c r="S244"/>
  <c r="R244"/>
  <c r="Q244"/>
  <c r="O244"/>
  <c r="M244"/>
  <c r="K244"/>
  <c r="I244"/>
  <c r="G244"/>
  <c r="E244"/>
  <c r="C244"/>
  <c r="Y243"/>
  <c r="X243"/>
  <c r="V243"/>
  <c r="U243"/>
  <c r="T243"/>
  <c r="S243"/>
  <c r="R243"/>
  <c r="Q243"/>
  <c r="O243"/>
  <c r="M243"/>
  <c r="K243"/>
  <c r="I243"/>
  <c r="G243"/>
  <c r="E243"/>
  <c r="C243"/>
  <c r="Y242"/>
  <c r="X242"/>
  <c r="V242"/>
  <c r="U242"/>
  <c r="T242"/>
  <c r="S242"/>
  <c r="R242"/>
  <c r="Q242"/>
  <c r="O242"/>
  <c r="M242"/>
  <c r="K242"/>
  <c r="I242"/>
  <c r="G242"/>
  <c r="E242"/>
  <c r="C242"/>
  <c r="Y241"/>
  <c r="X241"/>
  <c r="V241"/>
  <c r="U241"/>
  <c r="T241"/>
  <c r="S241"/>
  <c r="R241"/>
  <c r="Q241"/>
  <c r="O241"/>
  <c r="M241"/>
  <c r="K241"/>
  <c r="I241"/>
  <c r="G241"/>
  <c r="E241"/>
  <c r="C241"/>
  <c r="Y240"/>
  <c r="X240"/>
  <c r="V240"/>
  <c r="U240"/>
  <c r="T240"/>
  <c r="S240"/>
  <c r="R240"/>
  <c r="Q240"/>
  <c r="O240"/>
  <c r="M240"/>
  <c r="K240"/>
  <c r="I240"/>
  <c r="G240"/>
  <c r="E240"/>
  <c r="C240"/>
  <c r="Y239"/>
  <c r="X239"/>
  <c r="V239"/>
  <c r="U239"/>
  <c r="T239"/>
  <c r="S239"/>
  <c r="R239"/>
  <c r="Q239"/>
  <c r="O239"/>
  <c r="M239"/>
  <c r="K239"/>
  <c r="I239"/>
  <c r="G239"/>
  <c r="E239"/>
  <c r="C239"/>
  <c r="Y238"/>
  <c r="X238"/>
  <c r="V238"/>
  <c r="U238"/>
  <c r="T238"/>
  <c r="S238"/>
  <c r="R238"/>
  <c r="Q238"/>
  <c r="O238"/>
  <c r="M238"/>
  <c r="K238"/>
  <c r="I238"/>
  <c r="G238"/>
  <c r="E238"/>
  <c r="C238"/>
  <c r="Y237"/>
  <c r="X237"/>
  <c r="V237"/>
  <c r="U237"/>
  <c r="T237"/>
  <c r="S237"/>
  <c r="R237"/>
  <c r="Q237"/>
  <c r="O237"/>
  <c r="M237"/>
  <c r="K237"/>
  <c r="I237"/>
  <c r="G237"/>
  <c r="E237"/>
  <c r="C237"/>
  <c r="Y236"/>
  <c r="X236"/>
  <c r="V236"/>
  <c r="U236"/>
  <c r="T236"/>
  <c r="S236"/>
  <c r="R236"/>
  <c r="Q236"/>
  <c r="O236"/>
  <c r="M236"/>
  <c r="K236"/>
  <c r="I236"/>
  <c r="G236"/>
  <c r="E236"/>
  <c r="C236"/>
  <c r="Y235"/>
  <c r="X235"/>
  <c r="V235"/>
  <c r="U235"/>
  <c r="T235"/>
  <c r="S235"/>
  <c r="R235"/>
  <c r="Q235"/>
  <c r="O235"/>
  <c r="M235"/>
  <c r="K235"/>
  <c r="I235"/>
  <c r="G235"/>
  <c r="E235"/>
  <c r="C235"/>
  <c r="Y234"/>
  <c r="X234"/>
  <c r="V234"/>
  <c r="U234"/>
  <c r="T234"/>
  <c r="S234"/>
  <c r="R234"/>
  <c r="Q234"/>
  <c r="O234"/>
  <c r="M234"/>
  <c r="K234"/>
  <c r="I234"/>
  <c r="G234"/>
  <c r="E234"/>
  <c r="C234"/>
  <c r="Y233"/>
  <c r="X233"/>
  <c r="V233"/>
  <c r="U233"/>
  <c r="T233"/>
  <c r="S233"/>
  <c r="R233"/>
  <c r="Q233"/>
  <c r="O233"/>
  <c r="M233"/>
  <c r="K233"/>
  <c r="I233"/>
  <c r="G233"/>
  <c r="E233"/>
  <c r="C233"/>
  <c r="Y232"/>
  <c r="X232"/>
  <c r="V232"/>
  <c r="U232"/>
  <c r="T232"/>
  <c r="S232"/>
  <c r="R232"/>
  <c r="Q232"/>
  <c r="O232"/>
  <c r="M232"/>
  <c r="K232"/>
  <c r="I232"/>
  <c r="G232"/>
  <c r="E232"/>
  <c r="C232"/>
  <c r="Y231"/>
  <c r="X231"/>
  <c r="V231"/>
  <c r="U231"/>
  <c r="T231"/>
  <c r="S231"/>
  <c r="R231"/>
  <c r="Q231"/>
  <c r="O231"/>
  <c r="M231"/>
  <c r="K231"/>
  <c r="I231"/>
  <c r="G231"/>
  <c r="E231"/>
  <c r="C231"/>
  <c r="Y230"/>
  <c r="X230"/>
  <c r="V230"/>
  <c r="U230"/>
  <c r="T230"/>
  <c r="S230"/>
  <c r="R230"/>
  <c r="Q230"/>
  <c r="O230"/>
  <c r="M230"/>
  <c r="K230"/>
  <c r="I230"/>
  <c r="G230"/>
  <c r="E230"/>
  <c r="C230"/>
  <c r="Y229"/>
  <c r="X229"/>
  <c r="V229"/>
  <c r="U229"/>
  <c r="T229"/>
  <c r="S229"/>
  <c r="R229"/>
  <c r="Q229"/>
  <c r="O229"/>
  <c r="M229"/>
  <c r="K229"/>
  <c r="I229"/>
  <c r="G229"/>
  <c r="E229"/>
  <c r="C229"/>
  <c r="Y228"/>
  <c r="X228"/>
  <c r="V228"/>
  <c r="U228"/>
  <c r="T228"/>
  <c r="S228"/>
  <c r="R228"/>
  <c r="Q228"/>
  <c r="O228"/>
  <c r="M228"/>
  <c r="K228"/>
  <c r="I228"/>
  <c r="G228"/>
  <c r="E228"/>
  <c r="C228"/>
  <c r="Y227"/>
  <c r="X227"/>
  <c r="V227"/>
  <c r="U227"/>
  <c r="T227"/>
  <c r="S227"/>
  <c r="R227"/>
  <c r="Q227"/>
  <c r="O227"/>
  <c r="M227"/>
  <c r="K227"/>
  <c r="I227"/>
  <c r="G227"/>
  <c r="E227"/>
  <c r="C227"/>
  <c r="Y226"/>
  <c r="X226"/>
  <c r="V226"/>
  <c r="U226"/>
  <c r="T226"/>
  <c r="S226"/>
  <c r="R226"/>
  <c r="Q226"/>
  <c r="O226"/>
  <c r="M226"/>
  <c r="K226"/>
  <c r="I226"/>
  <c r="G226"/>
  <c r="E226"/>
  <c r="C226"/>
  <c r="Y225"/>
  <c r="X225"/>
  <c r="V225"/>
  <c r="U225"/>
  <c r="T225"/>
  <c r="S225"/>
  <c r="R225"/>
  <c r="Q225"/>
  <c r="O225"/>
  <c r="M225"/>
  <c r="K225"/>
  <c r="I225"/>
  <c r="G225"/>
  <c r="E225"/>
  <c r="C225"/>
  <c r="Y224"/>
  <c r="X224"/>
  <c r="V224"/>
  <c r="U224"/>
  <c r="T224"/>
  <c r="S224"/>
  <c r="R224"/>
  <c r="Q224"/>
  <c r="O224"/>
  <c r="M224"/>
  <c r="K224"/>
  <c r="I224"/>
  <c r="G224"/>
  <c r="E224"/>
  <c r="C224"/>
  <c r="Y223"/>
  <c r="X223"/>
  <c r="V223"/>
  <c r="U223"/>
  <c r="T223"/>
  <c r="S223"/>
  <c r="R223"/>
  <c r="Q223"/>
  <c r="O223"/>
  <c r="M223"/>
  <c r="K223"/>
  <c r="I223"/>
  <c r="G223"/>
  <c r="E223"/>
  <c r="C223"/>
  <c r="Y222"/>
  <c r="X222"/>
  <c r="V222"/>
  <c r="U222"/>
  <c r="T222"/>
  <c r="S222"/>
  <c r="R222"/>
  <c r="Q222"/>
  <c r="O222"/>
  <c r="M222"/>
  <c r="K222"/>
  <c r="I222"/>
  <c r="G222"/>
  <c r="E222"/>
  <c r="C222"/>
  <c r="Y221"/>
  <c r="X221"/>
  <c r="V221"/>
  <c r="U221"/>
  <c r="T221"/>
  <c r="S221"/>
  <c r="R221"/>
  <c r="Q221"/>
  <c r="O221"/>
  <c r="M221"/>
  <c r="K221"/>
  <c r="I221"/>
  <c r="G221"/>
  <c r="E221"/>
  <c r="C221"/>
  <c r="Y220"/>
  <c r="X220"/>
  <c r="V220"/>
  <c r="U220"/>
  <c r="T220"/>
  <c r="S220"/>
  <c r="R220"/>
  <c r="Q220"/>
  <c r="O220"/>
  <c r="M220"/>
  <c r="K220"/>
  <c r="I220"/>
  <c r="G220"/>
  <c r="E220"/>
  <c r="C220"/>
  <c r="Y219"/>
  <c r="X219"/>
  <c r="V219"/>
  <c r="U219"/>
  <c r="T219"/>
  <c r="S219"/>
  <c r="R219"/>
  <c r="Q219"/>
  <c r="O219"/>
  <c r="M219"/>
  <c r="K219"/>
  <c r="I219"/>
  <c r="G219"/>
  <c r="E219"/>
  <c r="C219"/>
  <c r="Y218"/>
  <c r="X218"/>
  <c r="V218"/>
  <c r="U218"/>
  <c r="T218"/>
  <c r="S218"/>
  <c r="R218"/>
  <c r="Q218"/>
  <c r="O218"/>
  <c r="M218"/>
  <c r="K218"/>
  <c r="I218"/>
  <c r="G218"/>
  <c r="E218"/>
  <c r="C218"/>
  <c r="Y217"/>
  <c r="X217"/>
  <c r="V217"/>
  <c r="U217"/>
  <c r="T217"/>
  <c r="S217"/>
  <c r="R217"/>
  <c r="Q217"/>
  <c r="O217"/>
  <c r="M217"/>
  <c r="K217"/>
  <c r="I217"/>
  <c r="G217"/>
  <c r="E217"/>
  <c r="C217"/>
  <c r="Y216"/>
  <c r="X216"/>
  <c r="V216"/>
  <c r="U216"/>
  <c r="T216"/>
  <c r="S216"/>
  <c r="R216"/>
  <c r="Q216"/>
  <c r="O216"/>
  <c r="M216"/>
  <c r="K216"/>
  <c r="I216"/>
  <c r="G216"/>
  <c r="E216"/>
  <c r="C216"/>
  <c r="Y215"/>
  <c r="X215"/>
  <c r="V215"/>
  <c r="U215"/>
  <c r="T215"/>
  <c r="S215"/>
  <c r="R215"/>
  <c r="Q215"/>
  <c r="O215"/>
  <c r="M215"/>
  <c r="K215"/>
  <c r="I215"/>
  <c r="G215"/>
  <c r="E215"/>
  <c r="C215"/>
  <c r="Y214"/>
  <c r="X214"/>
  <c r="V214"/>
  <c r="U214"/>
  <c r="T214"/>
  <c r="S214"/>
  <c r="R214"/>
  <c r="Q214"/>
  <c r="O214"/>
  <c r="M214"/>
  <c r="K214"/>
  <c r="I214"/>
  <c r="G214"/>
  <c r="E214"/>
  <c r="C214"/>
  <c r="Y213"/>
  <c r="X213"/>
  <c r="V213"/>
  <c r="U213"/>
  <c r="T213"/>
  <c r="S213"/>
  <c r="R213"/>
  <c r="Q213"/>
  <c r="O213"/>
  <c r="M213"/>
  <c r="K213"/>
  <c r="I213"/>
  <c r="G213"/>
  <c r="E213"/>
  <c r="C213"/>
  <c r="Y212"/>
  <c r="X212"/>
  <c r="V212"/>
  <c r="U212"/>
  <c r="T212"/>
  <c r="S212"/>
  <c r="R212"/>
  <c r="Q212"/>
  <c r="O212"/>
  <c r="M212"/>
  <c r="K212"/>
  <c r="I212"/>
  <c r="G212"/>
  <c r="E212"/>
  <c r="C212"/>
  <c r="Y211"/>
  <c r="X211"/>
  <c r="V211"/>
  <c r="U211"/>
  <c r="T211"/>
  <c r="S211"/>
  <c r="R211"/>
  <c r="Q211"/>
  <c r="O211"/>
  <c r="M211"/>
  <c r="K211"/>
  <c r="I211"/>
  <c r="G211"/>
  <c r="E211"/>
  <c r="C211"/>
  <c r="Y210"/>
  <c r="X210"/>
  <c r="V210"/>
  <c r="U210"/>
  <c r="T210"/>
  <c r="S210"/>
  <c r="R210"/>
  <c r="Q210"/>
  <c r="O210"/>
  <c r="M210"/>
  <c r="K210"/>
  <c r="I210"/>
  <c r="G210"/>
  <c r="E210"/>
  <c r="C210"/>
  <c r="Y209"/>
  <c r="X209"/>
  <c r="V209"/>
  <c r="U209"/>
  <c r="T209"/>
  <c r="S209"/>
  <c r="R209"/>
  <c r="Q209"/>
  <c r="O209"/>
  <c r="M209"/>
  <c r="K209"/>
  <c r="I209"/>
  <c r="G209"/>
  <c r="E209"/>
  <c r="C209"/>
  <c r="Y208"/>
  <c r="X208"/>
  <c r="V208"/>
  <c r="U208"/>
  <c r="T208"/>
  <c r="S208"/>
  <c r="R208"/>
  <c r="Q208"/>
  <c r="O208"/>
  <c r="M208"/>
  <c r="K208"/>
  <c r="I208"/>
  <c r="G208"/>
  <c r="E208"/>
  <c r="C208"/>
  <c r="Y207"/>
  <c r="X207"/>
  <c r="V207"/>
  <c r="U207"/>
  <c r="T207"/>
  <c r="S207"/>
  <c r="R207"/>
  <c r="Q207"/>
  <c r="O207"/>
  <c r="M207"/>
  <c r="K207"/>
  <c r="I207"/>
  <c r="G207"/>
  <c r="E207"/>
  <c r="C207"/>
  <c r="Y206"/>
  <c r="X206"/>
  <c r="V206"/>
  <c r="U206"/>
  <c r="T206"/>
  <c r="S206"/>
  <c r="R206"/>
  <c r="Q206"/>
  <c r="O206"/>
  <c r="M206"/>
  <c r="K206"/>
  <c r="I206"/>
  <c r="G206"/>
  <c r="E206"/>
  <c r="C206"/>
  <c r="Y205"/>
  <c r="X205"/>
  <c r="V205"/>
  <c r="U205"/>
  <c r="T205"/>
  <c r="S205"/>
  <c r="R205"/>
  <c r="Q205"/>
  <c r="O205"/>
  <c r="M205"/>
  <c r="K205"/>
  <c r="I205"/>
  <c r="G205"/>
  <c r="E205"/>
  <c r="C205"/>
  <c r="Y204"/>
  <c r="X204"/>
  <c r="V204"/>
  <c r="U204"/>
  <c r="T204"/>
  <c r="S204"/>
  <c r="R204"/>
  <c r="Q204"/>
  <c r="O204"/>
  <c r="M204"/>
  <c r="K204"/>
  <c r="I204"/>
  <c r="G204"/>
  <c r="E204"/>
  <c r="C204"/>
  <c r="Y203"/>
  <c r="X203"/>
  <c r="V203"/>
  <c r="U203"/>
  <c r="T203"/>
  <c r="S203"/>
  <c r="R203"/>
  <c r="Q203"/>
  <c r="O203"/>
  <c r="M203"/>
  <c r="K203"/>
  <c r="I203"/>
  <c r="G203"/>
  <c r="E203"/>
  <c r="C203"/>
  <c r="Y202"/>
  <c r="X202"/>
  <c r="V202"/>
  <c r="U202"/>
  <c r="T202"/>
  <c r="S202"/>
  <c r="R202"/>
  <c r="Q202"/>
  <c r="O202"/>
  <c r="M202"/>
  <c r="K202"/>
  <c r="I202"/>
  <c r="G202"/>
  <c r="E202"/>
  <c r="C202"/>
  <c r="Y201"/>
  <c r="X201"/>
  <c r="V201"/>
  <c r="U201"/>
  <c r="T201"/>
  <c r="S201"/>
  <c r="R201"/>
  <c r="Q201"/>
  <c r="O201"/>
  <c r="M201"/>
  <c r="K201"/>
  <c r="I201"/>
  <c r="G201"/>
  <c r="E201"/>
  <c r="C201"/>
  <c r="Y200"/>
  <c r="X200"/>
  <c r="V200"/>
  <c r="U200"/>
  <c r="T200"/>
  <c r="S200"/>
  <c r="R200"/>
  <c r="Q200"/>
  <c r="O200"/>
  <c r="M200"/>
  <c r="K200"/>
  <c r="I200"/>
  <c r="G200"/>
  <c r="E200"/>
  <c r="C200"/>
  <c r="Y199"/>
  <c r="X199"/>
  <c r="V199"/>
  <c r="U199"/>
  <c r="T199"/>
  <c r="S199"/>
  <c r="R199"/>
  <c r="Q199"/>
  <c r="O199"/>
  <c r="M199"/>
  <c r="K199"/>
  <c r="I199"/>
  <c r="G199"/>
  <c r="E199"/>
  <c r="C199"/>
  <c r="Y198"/>
  <c r="X198"/>
  <c r="V198"/>
  <c r="U198"/>
  <c r="T198"/>
  <c r="S198"/>
  <c r="R198"/>
  <c r="Q198"/>
  <c r="O198"/>
  <c r="M198"/>
  <c r="K198"/>
  <c r="I198"/>
  <c r="G198"/>
  <c r="E198"/>
  <c r="C198"/>
  <c r="Y197"/>
  <c r="X197"/>
  <c r="V197"/>
  <c r="U197"/>
  <c r="T197"/>
  <c r="S197"/>
  <c r="R197"/>
  <c r="Q197"/>
  <c r="O197"/>
  <c r="M197"/>
  <c r="K197"/>
  <c r="I197"/>
  <c r="G197"/>
  <c r="E197"/>
  <c r="C197"/>
  <c r="Y196"/>
  <c r="X196"/>
  <c r="V196"/>
  <c r="U196"/>
  <c r="T196"/>
  <c r="S196"/>
  <c r="R196"/>
  <c r="Q196"/>
  <c r="O196"/>
  <c r="M196"/>
  <c r="K196"/>
  <c r="I196"/>
  <c r="G196"/>
  <c r="E196"/>
  <c r="C196"/>
  <c r="Y195"/>
  <c r="X195"/>
  <c r="V195"/>
  <c r="U195"/>
  <c r="T195"/>
  <c r="S195"/>
  <c r="R195"/>
  <c r="Q195"/>
  <c r="O195"/>
  <c r="M195"/>
  <c r="K195"/>
  <c r="I195"/>
  <c r="G195"/>
  <c r="E195"/>
  <c r="C195"/>
  <c r="Y194"/>
  <c r="X194"/>
  <c r="V194"/>
  <c r="U194"/>
  <c r="T194"/>
  <c r="S194"/>
  <c r="R194"/>
  <c r="Q194"/>
  <c r="O194"/>
  <c r="M194"/>
  <c r="K194"/>
  <c r="I194"/>
  <c r="G194"/>
  <c r="E194"/>
  <c r="C194"/>
  <c r="Y193"/>
  <c r="X193"/>
  <c r="V193"/>
  <c r="U193"/>
  <c r="T193"/>
  <c r="S193"/>
  <c r="R193"/>
  <c r="Q193"/>
  <c r="O193"/>
  <c r="M193"/>
  <c r="K193"/>
  <c r="I193"/>
  <c r="G193"/>
  <c r="E193"/>
  <c r="C193"/>
  <c r="Y192"/>
  <c r="X192"/>
  <c r="V192"/>
  <c r="U192"/>
  <c r="T192"/>
  <c r="S192"/>
  <c r="R192"/>
  <c r="Q192"/>
  <c r="O192"/>
  <c r="M192"/>
  <c r="K192"/>
  <c r="I192"/>
  <c r="G192"/>
  <c r="E192"/>
  <c r="C192"/>
  <c r="Y191"/>
  <c r="X191"/>
  <c r="V191"/>
  <c r="U191"/>
  <c r="T191"/>
  <c r="S191"/>
  <c r="R191"/>
  <c r="Q191"/>
  <c r="O191"/>
  <c r="M191"/>
  <c r="K191"/>
  <c r="I191"/>
  <c r="G191"/>
  <c r="E191"/>
  <c r="C191"/>
  <c r="Y190"/>
  <c r="X190"/>
  <c r="V190"/>
  <c r="U190"/>
  <c r="T190"/>
  <c r="S190"/>
  <c r="R190"/>
  <c r="Q190"/>
  <c r="O190"/>
  <c r="M190"/>
  <c r="K190"/>
  <c r="I190"/>
  <c r="G190"/>
  <c r="E190"/>
  <c r="C190"/>
  <c r="Y189"/>
  <c r="X189"/>
  <c r="V189"/>
  <c r="U189"/>
  <c r="T189"/>
  <c r="S189"/>
  <c r="R189"/>
  <c r="Q189"/>
  <c r="O189"/>
  <c r="M189"/>
  <c r="K189"/>
  <c r="I189"/>
  <c r="G189"/>
  <c r="E189"/>
  <c r="C189"/>
  <c r="Y188"/>
  <c r="X188"/>
  <c r="V188"/>
  <c r="U188"/>
  <c r="T188"/>
  <c r="S188"/>
  <c r="R188"/>
  <c r="Q188"/>
  <c r="O188"/>
  <c r="M188"/>
  <c r="K188"/>
  <c r="I188"/>
  <c r="G188"/>
  <c r="E188"/>
  <c r="C188"/>
  <c r="Y187"/>
  <c r="X187"/>
  <c r="V187"/>
  <c r="U187"/>
  <c r="T187"/>
  <c r="S187"/>
  <c r="R187"/>
  <c r="Q187"/>
  <c r="O187"/>
  <c r="M187"/>
  <c r="K187"/>
  <c r="I187"/>
  <c r="G187"/>
  <c r="E187"/>
  <c r="C187"/>
  <c r="Y186"/>
  <c r="X186"/>
  <c r="V186"/>
  <c r="U186"/>
  <c r="T186"/>
  <c r="S186"/>
  <c r="R186"/>
  <c r="Q186"/>
  <c r="O186"/>
  <c r="M186"/>
  <c r="K186"/>
  <c r="I186"/>
  <c r="G186"/>
  <c r="E186"/>
  <c r="C186"/>
  <c r="Y185"/>
  <c r="X185"/>
  <c r="V185"/>
  <c r="U185"/>
  <c r="T185"/>
  <c r="S185"/>
  <c r="R185"/>
  <c r="Q185"/>
  <c r="O185"/>
  <c r="M185"/>
  <c r="K185"/>
  <c r="I185"/>
  <c r="G185"/>
  <c r="E185"/>
  <c r="C185"/>
  <c r="Y184"/>
  <c r="X184"/>
  <c r="V184"/>
  <c r="U184"/>
  <c r="T184"/>
  <c r="S184"/>
  <c r="R184"/>
  <c r="Q184"/>
  <c r="O184"/>
  <c r="M184"/>
  <c r="K184"/>
  <c r="I184"/>
  <c r="G184"/>
  <c r="E184"/>
  <c r="C184"/>
  <c r="Y183"/>
  <c r="X183"/>
  <c r="V183"/>
  <c r="U183"/>
  <c r="T183"/>
  <c r="S183"/>
  <c r="R183"/>
  <c r="Q183"/>
  <c r="O183"/>
  <c r="M183"/>
  <c r="K183"/>
  <c r="I183"/>
  <c r="G183"/>
  <c r="E183"/>
  <c r="C183"/>
  <c r="Y182"/>
  <c r="X182"/>
  <c r="V182"/>
  <c r="U182"/>
  <c r="T182"/>
  <c r="S182"/>
  <c r="R182"/>
  <c r="Q182"/>
  <c r="O182"/>
  <c r="M182"/>
  <c r="K182"/>
  <c r="I182"/>
  <c r="G182"/>
  <c r="E182"/>
  <c r="C182"/>
  <c r="Y181"/>
  <c r="X181"/>
  <c r="V181"/>
  <c r="U181"/>
  <c r="T181"/>
  <c r="S181"/>
  <c r="R181"/>
  <c r="Q181"/>
  <c r="O181"/>
  <c r="M181"/>
  <c r="K181"/>
  <c r="I181"/>
  <c r="G181"/>
  <c r="E181"/>
  <c r="C181"/>
  <c r="Y180"/>
  <c r="X180"/>
  <c r="V180"/>
  <c r="U180"/>
  <c r="T180"/>
  <c r="S180"/>
  <c r="R180"/>
  <c r="Q180"/>
  <c r="O180"/>
  <c r="M180"/>
  <c r="K180"/>
  <c r="I180"/>
  <c r="G180"/>
  <c r="E180"/>
  <c r="C180"/>
  <c r="Y179"/>
  <c r="X179"/>
  <c r="V179"/>
  <c r="U179"/>
  <c r="T179"/>
  <c r="S179"/>
  <c r="R179"/>
  <c r="Q179"/>
  <c r="O179"/>
  <c r="M179"/>
  <c r="K179"/>
  <c r="I179"/>
  <c r="G179"/>
  <c r="E179"/>
  <c r="C179"/>
  <c r="Y178"/>
  <c r="X178"/>
  <c r="V178"/>
  <c r="U178"/>
  <c r="T178"/>
  <c r="S178"/>
  <c r="R178"/>
  <c r="Q178"/>
  <c r="O178"/>
  <c r="M178"/>
  <c r="K178"/>
  <c r="I178"/>
  <c r="G178"/>
  <c r="E178"/>
  <c r="C178"/>
  <c r="Y177"/>
  <c r="X177"/>
  <c r="V177"/>
  <c r="U177"/>
  <c r="T177"/>
  <c r="S177"/>
  <c r="R177"/>
  <c r="Q177"/>
  <c r="O177"/>
  <c r="M177"/>
  <c r="K177"/>
  <c r="I177"/>
  <c r="G177"/>
  <c r="E177"/>
  <c r="C177"/>
  <c r="Y176"/>
  <c r="X176"/>
  <c r="V176"/>
  <c r="U176"/>
  <c r="T176"/>
  <c r="S176"/>
  <c r="R176"/>
  <c r="Q176"/>
  <c r="O176"/>
  <c r="M176"/>
  <c r="K176"/>
  <c r="I176"/>
  <c r="G176"/>
  <c r="E176"/>
  <c r="C176"/>
  <c r="Y175"/>
  <c r="X175"/>
  <c r="V175"/>
  <c r="U175"/>
  <c r="T175"/>
  <c r="S175"/>
  <c r="R175"/>
  <c r="Q175"/>
  <c r="O175"/>
  <c r="M175"/>
  <c r="K175"/>
  <c r="I175"/>
  <c r="G175"/>
  <c r="E175"/>
  <c r="C175"/>
  <c r="Y174"/>
  <c r="X174"/>
  <c r="V174"/>
  <c r="U174"/>
  <c r="T174"/>
  <c r="S174"/>
  <c r="R174"/>
  <c r="Q174"/>
  <c r="O174"/>
  <c r="M174"/>
  <c r="K174"/>
  <c r="I174"/>
  <c r="G174"/>
  <c r="E174"/>
  <c r="C174"/>
  <c r="Y173"/>
  <c r="X173"/>
  <c r="V173"/>
  <c r="U173"/>
  <c r="T173"/>
  <c r="S173"/>
  <c r="R173"/>
  <c r="Q173"/>
  <c r="O173"/>
  <c r="M173"/>
  <c r="K173"/>
  <c r="I173"/>
  <c r="G173"/>
  <c r="E173"/>
  <c r="C173"/>
  <c r="Y172"/>
  <c r="X172"/>
  <c r="V172"/>
  <c r="U172"/>
  <c r="T172"/>
  <c r="S172"/>
  <c r="R172"/>
  <c r="Q172"/>
  <c r="O172"/>
  <c r="M172"/>
  <c r="K172"/>
  <c r="I172"/>
  <c r="G172"/>
  <c r="E172"/>
  <c r="C172"/>
  <c r="Y171"/>
  <c r="X171"/>
  <c r="V171"/>
  <c r="U171"/>
  <c r="T171"/>
  <c r="S171"/>
  <c r="R171"/>
  <c r="Q171"/>
  <c r="O171"/>
  <c r="M171"/>
  <c r="K171"/>
  <c r="I171"/>
  <c r="G171"/>
  <c r="E171"/>
  <c r="C171"/>
  <c r="Y170"/>
  <c r="X170"/>
  <c r="V170"/>
  <c r="U170"/>
  <c r="T170"/>
  <c r="S170"/>
  <c r="R170"/>
  <c r="Q170"/>
  <c r="O170"/>
  <c r="M170"/>
  <c r="K170"/>
  <c r="I170"/>
  <c r="G170"/>
  <c r="E170"/>
  <c r="C170"/>
  <c r="Y169"/>
  <c r="X169"/>
  <c r="V169"/>
  <c r="U169"/>
  <c r="T169"/>
  <c r="S169"/>
  <c r="R169"/>
  <c r="Q169"/>
  <c r="O169"/>
  <c r="M169"/>
  <c r="K169"/>
  <c r="I169"/>
  <c r="G169"/>
  <c r="E169"/>
  <c r="C169"/>
  <c r="Y168"/>
  <c r="X168"/>
  <c r="V168"/>
  <c r="U168"/>
  <c r="T168"/>
  <c r="S168"/>
  <c r="R168"/>
  <c r="Q168"/>
  <c r="O168"/>
  <c r="M168"/>
  <c r="K168"/>
  <c r="I168"/>
  <c r="G168"/>
  <c r="E168"/>
  <c r="C168"/>
  <c r="Y167"/>
  <c r="X167"/>
  <c r="V167"/>
  <c r="U167"/>
  <c r="T167"/>
  <c r="S167"/>
  <c r="R167"/>
  <c r="Q167"/>
  <c r="O167"/>
  <c r="M167"/>
  <c r="K167"/>
  <c r="I167"/>
  <c r="G167"/>
  <c r="E167"/>
  <c r="C167"/>
  <c r="Y166"/>
  <c r="X166"/>
  <c r="V166"/>
  <c r="U166"/>
  <c r="T166"/>
  <c r="S166"/>
  <c r="R166"/>
  <c r="Q166"/>
  <c r="O166"/>
  <c r="M166"/>
  <c r="K166"/>
  <c r="I166"/>
  <c r="G166"/>
  <c r="E166"/>
  <c r="C166"/>
  <c r="Y165"/>
  <c r="X165"/>
  <c r="V165"/>
  <c r="U165"/>
  <c r="T165"/>
  <c r="S165"/>
  <c r="R165"/>
  <c r="Q165"/>
  <c r="O165"/>
  <c r="M165"/>
  <c r="K165"/>
  <c r="I165"/>
  <c r="G165"/>
  <c r="E165"/>
  <c r="C165"/>
  <c r="Y164"/>
  <c r="X164"/>
  <c r="V164"/>
  <c r="U164"/>
  <c r="T164"/>
  <c r="S164"/>
  <c r="R164"/>
  <c r="Q164"/>
  <c r="O164"/>
  <c r="M164"/>
  <c r="K164"/>
  <c r="I164"/>
  <c r="G164"/>
  <c r="E164"/>
  <c r="C164"/>
  <c r="Y163"/>
  <c r="X163"/>
  <c r="V163"/>
  <c r="U163"/>
  <c r="T163"/>
  <c r="S163"/>
  <c r="R163"/>
  <c r="Q163"/>
  <c r="O163"/>
  <c r="M163"/>
  <c r="K163"/>
  <c r="I163"/>
  <c r="G163"/>
  <c r="E163"/>
  <c r="C163"/>
  <c r="Y162"/>
  <c r="X162"/>
  <c r="V162"/>
  <c r="U162"/>
  <c r="T162"/>
  <c r="S162"/>
  <c r="R162"/>
  <c r="Q162"/>
  <c r="O162"/>
  <c r="M162"/>
  <c r="K162"/>
  <c r="I162"/>
  <c r="G162"/>
  <c r="E162"/>
  <c r="C162"/>
  <c r="Y161"/>
  <c r="X161"/>
  <c r="V161"/>
  <c r="U161"/>
  <c r="T161"/>
  <c r="S161"/>
  <c r="R161"/>
  <c r="Q161"/>
  <c r="O161"/>
  <c r="M161"/>
  <c r="K161"/>
  <c r="I161"/>
  <c r="G161"/>
  <c r="E161"/>
  <c r="C161"/>
  <c r="Y160"/>
  <c r="X160"/>
  <c r="V160"/>
  <c r="U160"/>
  <c r="T160"/>
  <c r="S160"/>
  <c r="R160"/>
  <c r="Q160"/>
  <c r="O160"/>
  <c r="M160"/>
  <c r="K160"/>
  <c r="I160"/>
  <c r="G160"/>
  <c r="E160"/>
  <c r="C160"/>
  <c r="Y159"/>
  <c r="X159"/>
  <c r="V159"/>
  <c r="U159"/>
  <c r="T159"/>
  <c r="S159"/>
  <c r="R159"/>
  <c r="Q159"/>
  <c r="O159"/>
  <c r="M159"/>
  <c r="K159"/>
  <c r="I159"/>
  <c r="G159"/>
  <c r="E159"/>
  <c r="C159"/>
  <c r="Y158"/>
  <c r="X158"/>
  <c r="V158"/>
  <c r="U158"/>
  <c r="T158"/>
  <c r="S158"/>
  <c r="R158"/>
  <c r="Q158"/>
  <c r="O158"/>
  <c r="M158"/>
  <c r="K158"/>
  <c r="I158"/>
  <c r="G158"/>
  <c r="E158"/>
  <c r="C158"/>
  <c r="Y157"/>
  <c r="X157"/>
  <c r="V157"/>
  <c r="U157"/>
  <c r="T157"/>
  <c r="S157"/>
  <c r="R157"/>
  <c r="Q157"/>
  <c r="O157"/>
  <c r="M157"/>
  <c r="K157"/>
  <c r="I157"/>
  <c r="G157"/>
  <c r="E157"/>
  <c r="C157"/>
  <c r="Y156"/>
  <c r="X156"/>
  <c r="V156"/>
  <c r="U156"/>
  <c r="T156"/>
  <c r="S156"/>
  <c r="R156"/>
  <c r="Q156"/>
  <c r="O156"/>
  <c r="M156"/>
  <c r="K156"/>
  <c r="I156"/>
  <c r="G156"/>
  <c r="E156"/>
  <c r="C156"/>
  <c r="Y155"/>
  <c r="X155"/>
  <c r="V155"/>
  <c r="U155"/>
  <c r="T155"/>
  <c r="S155"/>
  <c r="R155"/>
  <c r="Q155"/>
  <c r="O155"/>
  <c r="M155"/>
  <c r="K155"/>
  <c r="I155"/>
  <c r="G155"/>
  <c r="E155"/>
  <c r="C155"/>
  <c r="Y154"/>
  <c r="X154"/>
  <c r="V154"/>
  <c r="U154"/>
  <c r="T154"/>
  <c r="S154"/>
  <c r="R154"/>
  <c r="Q154"/>
  <c r="O154"/>
  <c r="M154"/>
  <c r="K154"/>
  <c r="I154"/>
  <c r="G154"/>
  <c r="E154"/>
  <c r="C154"/>
  <c r="Y153"/>
  <c r="X153"/>
  <c r="V153"/>
  <c r="U153"/>
  <c r="T153"/>
  <c r="S153"/>
  <c r="R153"/>
  <c r="Q153"/>
  <c r="O153"/>
  <c r="M153"/>
  <c r="K153"/>
  <c r="I153"/>
  <c r="G153"/>
  <c r="E153"/>
  <c r="C153"/>
  <c r="Y152"/>
  <c r="X152"/>
  <c r="V152"/>
  <c r="U152"/>
  <c r="T152"/>
  <c r="S152"/>
  <c r="R152"/>
  <c r="Q152"/>
  <c r="O152"/>
  <c r="M152"/>
  <c r="K152"/>
  <c r="I152"/>
  <c r="G152"/>
  <c r="E152"/>
  <c r="C152"/>
  <c r="Y151"/>
  <c r="X151"/>
  <c r="V151"/>
  <c r="U151"/>
  <c r="T151"/>
  <c r="S151"/>
  <c r="R151"/>
  <c r="Q151"/>
  <c r="O151"/>
  <c r="M151"/>
  <c r="K151"/>
  <c r="I151"/>
  <c r="G151"/>
  <c r="E151"/>
  <c r="C151"/>
  <c r="Y150"/>
  <c r="X150"/>
  <c r="V150"/>
  <c r="U150"/>
  <c r="T150"/>
  <c r="S150"/>
  <c r="R150"/>
  <c r="Q150"/>
  <c r="O150"/>
  <c r="M150"/>
  <c r="K150"/>
  <c r="I150"/>
  <c r="G150"/>
  <c r="E150"/>
  <c r="C150"/>
  <c r="Y149"/>
  <c r="X149"/>
  <c r="V149"/>
  <c r="U149"/>
  <c r="T149"/>
  <c r="S149"/>
  <c r="R149"/>
  <c r="Q149"/>
  <c r="O149"/>
  <c r="M149"/>
  <c r="K149"/>
  <c r="I149"/>
  <c r="G149"/>
  <c r="E149"/>
  <c r="C149"/>
  <c r="Y148"/>
  <c r="X148"/>
  <c r="V148"/>
  <c r="U148"/>
  <c r="T148"/>
  <c r="S148"/>
  <c r="R148"/>
  <c r="Q148"/>
  <c r="O148"/>
  <c r="M148"/>
  <c r="K148"/>
  <c r="I148"/>
  <c r="G148"/>
  <c r="E148"/>
  <c r="C148"/>
  <c r="Y147"/>
  <c r="X147"/>
  <c r="V147"/>
  <c r="U147"/>
  <c r="T147"/>
  <c r="S147"/>
  <c r="R147"/>
  <c r="Q147"/>
  <c r="O147"/>
  <c r="M147"/>
  <c r="K147"/>
  <c r="I147"/>
  <c r="G147"/>
  <c r="E147"/>
  <c r="C147"/>
  <c r="Y146"/>
  <c r="X146"/>
  <c r="V146"/>
  <c r="U146"/>
  <c r="T146"/>
  <c r="S146"/>
  <c r="R146"/>
  <c r="Q146"/>
  <c r="O146"/>
  <c r="M146"/>
  <c r="K146"/>
  <c r="I146"/>
  <c r="G146"/>
  <c r="E146"/>
  <c r="C146"/>
  <c r="Y145"/>
  <c r="X145"/>
  <c r="V145"/>
  <c r="U145"/>
  <c r="T145"/>
  <c r="S145"/>
  <c r="R145"/>
  <c r="Q145"/>
  <c r="O145"/>
  <c r="M145"/>
  <c r="K145"/>
  <c r="I145"/>
  <c r="G145"/>
  <c r="E145"/>
  <c r="C145"/>
  <c r="Y144"/>
  <c r="X144"/>
  <c r="V144"/>
  <c r="U144"/>
  <c r="T144"/>
  <c r="S144"/>
  <c r="R144"/>
  <c r="Q144"/>
  <c r="O144"/>
  <c r="M144"/>
  <c r="K144"/>
  <c r="I144"/>
  <c r="G144"/>
  <c r="E144"/>
  <c r="C144"/>
  <c r="Y143"/>
  <c r="X143"/>
  <c r="V143"/>
  <c r="U143"/>
  <c r="T143"/>
  <c r="S143"/>
  <c r="R143"/>
  <c r="Q143"/>
  <c r="O143"/>
  <c r="M143"/>
  <c r="K143"/>
  <c r="I143"/>
  <c r="G143"/>
  <c r="E143"/>
  <c r="C143"/>
  <c r="Y142"/>
  <c r="X142"/>
  <c r="V142"/>
  <c r="U142"/>
  <c r="T142"/>
  <c r="S142"/>
  <c r="R142"/>
  <c r="Q142"/>
  <c r="O142"/>
  <c r="M142"/>
  <c r="K142"/>
  <c r="I142"/>
  <c r="G142"/>
  <c r="E142"/>
  <c r="C142"/>
  <c r="Y141"/>
  <c r="X141"/>
  <c r="V141"/>
  <c r="U141"/>
  <c r="T141"/>
  <c r="S141"/>
  <c r="R141"/>
  <c r="Q141"/>
  <c r="O141"/>
  <c r="M141"/>
  <c r="K141"/>
  <c r="I141"/>
  <c r="G141"/>
  <c r="E141"/>
  <c r="C141"/>
  <c r="Y140"/>
  <c r="X140"/>
  <c r="V140"/>
  <c r="U140"/>
  <c r="T140"/>
  <c r="S140"/>
  <c r="R140"/>
  <c r="Q140"/>
  <c r="O140"/>
  <c r="M140"/>
  <c r="K140"/>
  <c r="I140"/>
  <c r="G140"/>
  <c r="E140"/>
  <c r="C140"/>
  <c r="Y139"/>
  <c r="X139"/>
  <c r="V139"/>
  <c r="U139"/>
  <c r="T139"/>
  <c r="S139"/>
  <c r="R139"/>
  <c r="Q139"/>
  <c r="O139"/>
  <c r="M139"/>
  <c r="K139"/>
  <c r="I139"/>
  <c r="G139"/>
  <c r="E139"/>
  <c r="C139"/>
  <c r="Y138"/>
  <c r="X138"/>
  <c r="V138"/>
  <c r="U138"/>
  <c r="T138"/>
  <c r="S138"/>
  <c r="R138"/>
  <c r="Q138"/>
  <c r="O138"/>
  <c r="M138"/>
  <c r="K138"/>
  <c r="I138"/>
  <c r="G138"/>
  <c r="E138"/>
  <c r="C138"/>
  <c r="Y137"/>
  <c r="X137"/>
  <c r="V137"/>
  <c r="U137"/>
  <c r="T137"/>
  <c r="S137"/>
  <c r="R137"/>
  <c r="Q137"/>
  <c r="O137"/>
  <c r="M137"/>
  <c r="K137"/>
  <c r="I137"/>
  <c r="G137"/>
  <c r="E137"/>
  <c r="C137"/>
  <c r="Y136"/>
  <c r="X136"/>
  <c r="V136"/>
  <c r="U136"/>
  <c r="T136"/>
  <c r="S136"/>
  <c r="R136"/>
  <c r="Q136"/>
  <c r="O136"/>
  <c r="M136"/>
  <c r="K136"/>
  <c r="I136"/>
  <c r="G136"/>
  <c r="E136"/>
  <c r="C136"/>
  <c r="Y135"/>
  <c r="X135"/>
  <c r="V135"/>
  <c r="U135"/>
  <c r="T135"/>
  <c r="S135"/>
  <c r="R135"/>
  <c r="Q135"/>
  <c r="O135"/>
  <c r="M135"/>
  <c r="K135"/>
  <c r="I135"/>
  <c r="G135"/>
  <c r="E135"/>
  <c r="C135"/>
  <c r="Y134"/>
  <c r="X134"/>
  <c r="V134"/>
  <c r="U134"/>
  <c r="T134"/>
  <c r="S134"/>
  <c r="R134"/>
  <c r="Q134"/>
  <c r="O134"/>
  <c r="M134"/>
  <c r="K134"/>
  <c r="I134"/>
  <c r="G134"/>
  <c r="E134"/>
  <c r="C134"/>
  <c r="Y133"/>
  <c r="X133"/>
  <c r="V133"/>
  <c r="U133"/>
  <c r="T133"/>
  <c r="S133"/>
  <c r="R133"/>
  <c r="Q133"/>
  <c r="O133"/>
  <c r="M133"/>
  <c r="K133"/>
  <c r="I133"/>
  <c r="G133"/>
  <c r="E133"/>
  <c r="C133"/>
  <c r="Y132"/>
  <c r="X132"/>
  <c r="V132"/>
  <c r="U132"/>
  <c r="T132"/>
  <c r="S132"/>
  <c r="R132"/>
  <c r="Q132"/>
  <c r="O132"/>
  <c r="M132"/>
  <c r="K132"/>
  <c r="I132"/>
  <c r="G132"/>
  <c r="E132"/>
  <c r="C132"/>
  <c r="Y131"/>
  <c r="X131"/>
  <c r="V131"/>
  <c r="U131"/>
  <c r="T131"/>
  <c r="S131"/>
  <c r="R131"/>
  <c r="Q131"/>
  <c r="O131"/>
  <c r="M131"/>
  <c r="K131"/>
  <c r="I131"/>
  <c r="G131"/>
  <c r="E131"/>
  <c r="C131"/>
  <c r="Y130"/>
  <c r="X130"/>
  <c r="V130"/>
  <c r="U130"/>
  <c r="T130"/>
  <c r="S130"/>
  <c r="R130"/>
  <c r="Q130"/>
  <c r="O130"/>
  <c r="M130"/>
  <c r="K130"/>
  <c r="I130"/>
  <c r="G130"/>
  <c r="E130"/>
  <c r="C130"/>
  <c r="Y129"/>
  <c r="X129"/>
  <c r="V129"/>
  <c r="U129"/>
  <c r="T129"/>
  <c r="S129"/>
  <c r="R129"/>
  <c r="Q129"/>
  <c r="O129"/>
  <c r="M129"/>
  <c r="K129"/>
  <c r="I129"/>
  <c r="G129"/>
  <c r="E129"/>
  <c r="C129"/>
  <c r="Y128"/>
  <c r="X128"/>
  <c r="V128"/>
  <c r="U128"/>
  <c r="T128"/>
  <c r="S128"/>
  <c r="R128"/>
  <c r="Q128"/>
  <c r="O128"/>
  <c r="M128"/>
  <c r="K128"/>
  <c r="I128"/>
  <c r="G128"/>
  <c r="E128"/>
  <c r="C128"/>
  <c r="Y127"/>
  <c r="X127"/>
  <c r="V127"/>
  <c r="U127"/>
  <c r="T127"/>
  <c r="S127"/>
  <c r="R127"/>
  <c r="Q127"/>
  <c r="O127"/>
  <c r="M127"/>
  <c r="K127"/>
  <c r="I127"/>
  <c r="G127"/>
  <c r="E127"/>
  <c r="C127"/>
  <c r="Y126"/>
  <c r="X126"/>
  <c r="V126"/>
  <c r="U126"/>
  <c r="T126"/>
  <c r="S126"/>
  <c r="R126"/>
  <c r="Q126"/>
  <c r="O126"/>
  <c r="M126"/>
  <c r="K126"/>
  <c r="I126"/>
  <c r="G126"/>
  <c r="E126"/>
  <c r="C126"/>
  <c r="Y125"/>
  <c r="X125"/>
  <c r="V125"/>
  <c r="U125"/>
  <c r="T125"/>
  <c r="S125"/>
  <c r="R125"/>
  <c r="Q125"/>
  <c r="O125"/>
  <c r="M125"/>
  <c r="K125"/>
  <c r="I125"/>
  <c r="G125"/>
  <c r="E125"/>
  <c r="C125"/>
  <c r="Y124"/>
  <c r="X124"/>
  <c r="V124"/>
  <c r="U124"/>
  <c r="T124"/>
  <c r="S124"/>
  <c r="R124"/>
  <c r="Q124"/>
  <c r="O124"/>
  <c r="M124"/>
  <c r="K124"/>
  <c r="I124"/>
  <c r="G124"/>
  <c r="E124"/>
  <c r="C124"/>
  <c r="Y123"/>
  <c r="X123"/>
  <c r="V123"/>
  <c r="U123"/>
  <c r="T123"/>
  <c r="S123"/>
  <c r="R123"/>
  <c r="Q123"/>
  <c r="O123"/>
  <c r="M123"/>
  <c r="K123"/>
  <c r="I123"/>
  <c r="G123"/>
  <c r="E123"/>
  <c r="C123"/>
  <c r="Y122"/>
  <c r="X122"/>
  <c r="V122"/>
  <c r="U122"/>
  <c r="T122"/>
  <c r="S122"/>
  <c r="R122"/>
  <c r="Q122"/>
  <c r="O122"/>
  <c r="M122"/>
  <c r="K122"/>
  <c r="I122"/>
  <c r="G122"/>
  <c r="E122"/>
  <c r="C122"/>
  <c r="Y121"/>
  <c r="X121"/>
  <c r="V121"/>
  <c r="U121"/>
  <c r="T121"/>
  <c r="S121"/>
  <c r="R121"/>
  <c r="Q121"/>
  <c r="O121"/>
  <c r="M121"/>
  <c r="K121"/>
  <c r="I121"/>
  <c r="G121"/>
  <c r="E121"/>
  <c r="C121"/>
  <c r="Y120"/>
  <c r="X120"/>
  <c r="V120"/>
  <c r="U120"/>
  <c r="T120"/>
  <c r="S120"/>
  <c r="R120"/>
  <c r="Q120"/>
  <c r="O120"/>
  <c r="M120"/>
  <c r="K120"/>
  <c r="I120"/>
  <c r="G120"/>
  <c r="E120"/>
  <c r="C120"/>
  <c r="Y119"/>
  <c r="X119"/>
  <c r="V119"/>
  <c r="U119"/>
  <c r="T119"/>
  <c r="S119"/>
  <c r="R119"/>
  <c r="Q119"/>
  <c r="O119"/>
  <c r="M119"/>
  <c r="K119"/>
  <c r="I119"/>
  <c r="G119"/>
  <c r="E119"/>
  <c r="C119"/>
  <c r="Y118"/>
  <c r="X118"/>
  <c r="V118"/>
  <c r="U118"/>
  <c r="T118"/>
  <c r="S118"/>
  <c r="R118"/>
  <c r="Q118"/>
  <c r="O118"/>
  <c r="M118"/>
  <c r="K118"/>
  <c r="I118"/>
  <c r="G118"/>
  <c r="E118"/>
  <c r="C118"/>
  <c r="Y117"/>
  <c r="X117"/>
  <c r="V117"/>
  <c r="U117"/>
  <c r="T117"/>
  <c r="S117"/>
  <c r="R117"/>
  <c r="Q117"/>
  <c r="O117"/>
  <c r="M117"/>
  <c r="K117"/>
  <c r="I117"/>
  <c r="G117"/>
  <c r="E117"/>
  <c r="C117"/>
  <c r="Y116"/>
  <c r="X116"/>
  <c r="V116"/>
  <c r="U116"/>
  <c r="T116"/>
  <c r="S116"/>
  <c r="R116"/>
  <c r="Q116"/>
  <c r="O116"/>
  <c r="M116"/>
  <c r="K116"/>
  <c r="I116"/>
  <c r="G116"/>
  <c r="E116"/>
  <c r="C116"/>
  <c r="Y115"/>
  <c r="X115"/>
  <c r="V115"/>
  <c r="U115"/>
  <c r="T115"/>
  <c r="S115"/>
  <c r="R115"/>
  <c r="Q115"/>
  <c r="O115"/>
  <c r="M115"/>
  <c r="K115"/>
  <c r="I115"/>
  <c r="G115"/>
  <c r="E115"/>
  <c r="C115"/>
  <c r="Y114"/>
  <c r="X114"/>
  <c r="V114"/>
  <c r="U114"/>
  <c r="T114"/>
  <c r="S114"/>
  <c r="R114"/>
  <c r="Q114"/>
  <c r="O114"/>
  <c r="M114"/>
  <c r="K114"/>
  <c r="I114"/>
  <c r="G114"/>
  <c r="E114"/>
  <c r="C114"/>
  <c r="Y113"/>
  <c r="X113"/>
  <c r="V113"/>
  <c r="U113"/>
  <c r="T113"/>
  <c r="S113"/>
  <c r="R113"/>
  <c r="Q113"/>
  <c r="O113"/>
  <c r="M113"/>
  <c r="K113"/>
  <c r="I113"/>
  <c r="G113"/>
  <c r="E113"/>
  <c r="C113"/>
  <c r="Y112"/>
  <c r="X112"/>
  <c r="V112"/>
  <c r="U112"/>
  <c r="T112"/>
  <c r="S112"/>
  <c r="R112"/>
  <c r="Q112"/>
  <c r="O112"/>
  <c r="M112"/>
  <c r="K112"/>
  <c r="I112"/>
  <c r="G112"/>
  <c r="E112"/>
  <c r="C112"/>
  <c r="Y111"/>
  <c r="X111"/>
  <c r="V111"/>
  <c r="U111"/>
  <c r="T111"/>
  <c r="S111"/>
  <c r="R111"/>
  <c r="Q111"/>
  <c r="O111"/>
  <c r="M111"/>
  <c r="K111"/>
  <c r="I111"/>
  <c r="G111"/>
  <c r="E111"/>
  <c r="C111"/>
  <c r="Y110"/>
  <c r="X110"/>
  <c r="V110"/>
  <c r="U110"/>
  <c r="T110"/>
  <c r="S110"/>
  <c r="R110"/>
  <c r="Q110"/>
  <c r="O110"/>
  <c r="M110"/>
  <c r="K110"/>
  <c r="I110"/>
  <c r="G110"/>
  <c r="E110"/>
  <c r="C110"/>
  <c r="Y109"/>
  <c r="X109"/>
  <c r="V109"/>
  <c r="U109"/>
  <c r="T109"/>
  <c r="S109"/>
  <c r="R109"/>
  <c r="Q109"/>
  <c r="O109"/>
  <c r="M109"/>
  <c r="K109"/>
  <c r="I109"/>
  <c r="G109"/>
  <c r="E109"/>
  <c r="C109"/>
  <c r="Y108"/>
  <c r="X108"/>
  <c r="V108"/>
  <c r="U108"/>
  <c r="T108"/>
  <c r="S108"/>
  <c r="R108"/>
  <c r="Q108"/>
  <c r="O108"/>
  <c r="M108"/>
  <c r="K108"/>
  <c r="I108"/>
  <c r="G108"/>
  <c r="E108"/>
  <c r="C108"/>
  <c r="Y107"/>
  <c r="X107"/>
  <c r="V107"/>
  <c r="U107"/>
  <c r="T107"/>
  <c r="S107"/>
  <c r="R107"/>
  <c r="Q107"/>
  <c r="O107"/>
  <c r="M107"/>
  <c r="K107"/>
  <c r="I107"/>
  <c r="G107"/>
  <c r="E107"/>
  <c r="C107"/>
  <c r="Y106"/>
  <c r="X106"/>
  <c r="V106"/>
  <c r="U106"/>
  <c r="T106"/>
  <c r="S106"/>
  <c r="R106"/>
  <c r="Q106"/>
  <c r="O106"/>
  <c r="M106"/>
  <c r="K106"/>
  <c r="I106"/>
  <c r="G106"/>
  <c r="E106"/>
  <c r="C106"/>
  <c r="Y105"/>
  <c r="X105"/>
  <c r="V105"/>
  <c r="U105"/>
  <c r="T105"/>
  <c r="S105"/>
  <c r="R105"/>
  <c r="Q105"/>
  <c r="O105"/>
  <c r="M105"/>
  <c r="K105"/>
  <c r="I105"/>
  <c r="G105"/>
  <c r="E105"/>
  <c r="C105"/>
  <c r="Y104"/>
  <c r="X104"/>
  <c r="V104"/>
  <c r="U104"/>
  <c r="T104"/>
  <c r="S104"/>
  <c r="R104"/>
  <c r="Q104"/>
  <c r="O104"/>
  <c r="M104"/>
  <c r="K104"/>
  <c r="I104"/>
  <c r="G104"/>
  <c r="E104"/>
  <c r="C104"/>
  <c r="Y103"/>
  <c r="X103"/>
  <c r="V103"/>
  <c r="U103"/>
  <c r="T103"/>
  <c r="S103"/>
  <c r="R103"/>
  <c r="Q103"/>
  <c r="O103"/>
  <c r="M103"/>
  <c r="K103"/>
  <c r="I103"/>
  <c r="G103"/>
  <c r="E103"/>
  <c r="C103"/>
  <c r="Y102"/>
  <c r="X102"/>
  <c r="V102"/>
  <c r="U102"/>
  <c r="T102"/>
  <c r="S102"/>
  <c r="R102"/>
  <c r="Q102"/>
  <c r="O102"/>
  <c r="M102"/>
  <c r="K102"/>
  <c r="I102"/>
  <c r="G102"/>
  <c r="E102"/>
  <c r="C102"/>
  <c r="Y101"/>
  <c r="X101"/>
  <c r="V101"/>
  <c r="U101"/>
  <c r="T101"/>
  <c r="S101"/>
  <c r="R101"/>
  <c r="Q101"/>
  <c r="O101"/>
  <c r="M101"/>
  <c r="K101"/>
  <c r="I101"/>
  <c r="G101"/>
  <c r="E101"/>
  <c r="C101"/>
  <c r="Y100"/>
  <c r="X100"/>
  <c r="V100"/>
  <c r="U100"/>
  <c r="T100"/>
  <c r="S100"/>
  <c r="R100"/>
  <c r="Q100"/>
  <c r="O100"/>
  <c r="M100"/>
  <c r="K100"/>
  <c r="I100"/>
  <c r="G100"/>
  <c r="E100"/>
  <c r="C100"/>
  <c r="Y99"/>
  <c r="X99"/>
  <c r="V99"/>
  <c r="U99"/>
  <c r="T99"/>
  <c r="S99"/>
  <c r="R99"/>
  <c r="Q99"/>
  <c r="O99"/>
  <c r="M99"/>
  <c r="K99"/>
  <c r="I99"/>
  <c r="G99"/>
  <c r="E99"/>
  <c r="C99"/>
  <c r="Y98"/>
  <c r="X98"/>
  <c r="V98"/>
  <c r="U98"/>
  <c r="T98"/>
  <c r="S98"/>
  <c r="R98"/>
  <c r="Q98"/>
  <c r="O98"/>
  <c r="M98"/>
  <c r="K98"/>
  <c r="I98"/>
  <c r="G98"/>
  <c r="E98"/>
  <c r="C98"/>
  <c r="Y97"/>
  <c r="X97"/>
  <c r="V97"/>
  <c r="U97"/>
  <c r="T97"/>
  <c r="S97"/>
  <c r="R97"/>
  <c r="Q97"/>
  <c r="O97"/>
  <c r="M97"/>
  <c r="K97"/>
  <c r="I97"/>
  <c r="G97"/>
  <c r="E97"/>
  <c r="C97"/>
  <c r="Y96"/>
  <c r="X96"/>
  <c r="V96"/>
  <c r="U96"/>
  <c r="T96"/>
  <c r="S96"/>
  <c r="R96"/>
  <c r="Q96"/>
  <c r="O96"/>
  <c r="M96"/>
  <c r="K96"/>
  <c r="I96"/>
  <c r="G96"/>
  <c r="E96"/>
  <c r="C96"/>
  <c r="Y95"/>
  <c r="X95"/>
  <c r="V95"/>
  <c r="U95"/>
  <c r="T95"/>
  <c r="S95"/>
  <c r="R95"/>
  <c r="Q95"/>
  <c r="O95"/>
  <c r="M95"/>
  <c r="K95"/>
  <c r="I95"/>
  <c r="G95"/>
  <c r="E95"/>
  <c r="C95"/>
  <c r="Y94"/>
  <c r="X94"/>
  <c r="V94"/>
  <c r="U94"/>
  <c r="T94"/>
  <c r="S94"/>
  <c r="R94"/>
  <c r="Q94"/>
  <c r="O94"/>
  <c r="M94"/>
  <c r="K94"/>
  <c r="I94"/>
  <c r="G94"/>
  <c r="E94"/>
  <c r="C94"/>
  <c r="Y93"/>
  <c r="X93"/>
  <c r="V93"/>
  <c r="U93"/>
  <c r="T93"/>
  <c r="S93"/>
  <c r="R93"/>
  <c r="Q93"/>
  <c r="O93"/>
  <c r="M93"/>
  <c r="K93"/>
  <c r="I93"/>
  <c r="G93"/>
  <c r="E93"/>
  <c r="C93"/>
  <c r="Y92"/>
  <c r="X92"/>
  <c r="V92"/>
  <c r="U92"/>
  <c r="T92"/>
  <c r="S92"/>
  <c r="R92"/>
  <c r="Q92"/>
  <c r="O92"/>
  <c r="M92"/>
  <c r="K92"/>
  <c r="I92"/>
  <c r="G92"/>
  <c r="E92"/>
  <c r="C92"/>
  <c r="Y91"/>
  <c r="X91"/>
  <c r="V91"/>
  <c r="U91"/>
  <c r="T91"/>
  <c r="S91"/>
  <c r="R91"/>
  <c r="Q91"/>
  <c r="O91"/>
  <c r="M91"/>
  <c r="K91"/>
  <c r="I91"/>
  <c r="G91"/>
  <c r="E91"/>
  <c r="C91"/>
  <c r="Y90"/>
  <c r="X90"/>
  <c r="V90"/>
  <c r="U90"/>
  <c r="T90"/>
  <c r="S90"/>
  <c r="R90"/>
  <c r="Q90"/>
  <c r="O90"/>
  <c r="M90"/>
  <c r="K90"/>
  <c r="I90"/>
  <c r="G90"/>
  <c r="E90"/>
  <c r="C90"/>
  <c r="Y89"/>
  <c r="X89"/>
  <c r="V89"/>
  <c r="U89"/>
  <c r="T89"/>
  <c r="S89"/>
  <c r="R89"/>
  <c r="Q89"/>
  <c r="O89"/>
  <c r="M89"/>
  <c r="K89"/>
  <c r="I89"/>
  <c r="G89"/>
  <c r="E89"/>
  <c r="C89"/>
  <c r="Y88"/>
  <c r="X88"/>
  <c r="V88"/>
  <c r="U88"/>
  <c r="T88"/>
  <c r="S88"/>
  <c r="R88"/>
  <c r="Q88"/>
  <c r="O88"/>
  <c r="M88"/>
  <c r="K88"/>
  <c r="I88"/>
  <c r="G88"/>
  <c r="E88"/>
  <c r="C88"/>
  <c r="Y87"/>
  <c r="X87"/>
  <c r="V87"/>
  <c r="U87"/>
  <c r="T87"/>
  <c r="S87"/>
  <c r="R87"/>
  <c r="Q87"/>
  <c r="O87"/>
  <c r="M87"/>
  <c r="K87"/>
  <c r="I87"/>
  <c r="G87"/>
  <c r="E87"/>
  <c r="C87"/>
  <c r="Y86"/>
  <c r="X86"/>
  <c r="V86"/>
  <c r="U86"/>
  <c r="T86"/>
  <c r="S86"/>
  <c r="R86"/>
  <c r="Q86"/>
  <c r="O86"/>
  <c r="M86"/>
  <c r="K86"/>
  <c r="I86"/>
  <c r="G86"/>
  <c r="E86"/>
  <c r="C86"/>
  <c r="Y85"/>
  <c r="X85"/>
  <c r="V85"/>
  <c r="U85"/>
  <c r="T85"/>
  <c r="S85"/>
  <c r="R85"/>
  <c r="Q85"/>
  <c r="O85"/>
  <c r="M85"/>
  <c r="K85"/>
  <c r="I85"/>
  <c r="G85"/>
  <c r="E85"/>
  <c r="C85"/>
  <c r="Y84"/>
  <c r="X84"/>
  <c r="V84"/>
  <c r="U84"/>
  <c r="T84"/>
  <c r="S84"/>
  <c r="R84"/>
  <c r="Q84"/>
  <c r="O84"/>
  <c r="M84"/>
  <c r="K84"/>
  <c r="I84"/>
  <c r="G84"/>
  <c r="E84"/>
  <c r="C84"/>
  <c r="Y83"/>
  <c r="X83"/>
  <c r="V83"/>
  <c r="U83"/>
  <c r="T83"/>
  <c r="S83"/>
  <c r="R83"/>
  <c r="Q83"/>
  <c r="O83"/>
  <c r="M83"/>
  <c r="K83"/>
  <c r="I83"/>
  <c r="G83"/>
  <c r="E83"/>
  <c r="C83"/>
  <c r="Y82"/>
  <c r="X82"/>
  <c r="V82"/>
  <c r="U82"/>
  <c r="T82"/>
  <c r="S82"/>
  <c r="R82"/>
  <c r="Q82"/>
  <c r="O82"/>
  <c r="M82"/>
  <c r="K82"/>
  <c r="I82"/>
  <c r="G82"/>
  <c r="E82"/>
  <c r="C82"/>
  <c r="Y81"/>
  <c r="X81"/>
  <c r="V81"/>
  <c r="U81"/>
  <c r="T81"/>
  <c r="S81"/>
  <c r="R81"/>
  <c r="Q81"/>
  <c r="O81"/>
  <c r="M81"/>
  <c r="K81"/>
  <c r="I81"/>
  <c r="G81"/>
  <c r="E81"/>
  <c r="C81"/>
  <c r="Y80"/>
  <c r="X80"/>
  <c r="V80"/>
  <c r="U80"/>
  <c r="T80"/>
  <c r="S80"/>
  <c r="R80"/>
  <c r="Q80"/>
  <c r="O80"/>
  <c r="M80"/>
  <c r="K80"/>
  <c r="I80"/>
  <c r="G80"/>
  <c r="E80"/>
  <c r="C80"/>
  <c r="Y79"/>
  <c r="X79"/>
  <c r="V79"/>
  <c r="U79"/>
  <c r="T79"/>
  <c r="S79"/>
  <c r="R79"/>
  <c r="Q79"/>
  <c r="O79"/>
  <c r="M79"/>
  <c r="K79"/>
  <c r="I79"/>
  <c r="G79"/>
  <c r="E79"/>
  <c r="C79"/>
  <c r="Y78"/>
  <c r="X78"/>
  <c r="V78"/>
  <c r="U78"/>
  <c r="T78"/>
  <c r="S78"/>
  <c r="R78"/>
  <c r="Q78"/>
  <c r="O78"/>
  <c r="M78"/>
  <c r="K78"/>
  <c r="I78"/>
  <c r="G78"/>
  <c r="E78"/>
  <c r="C78"/>
  <c r="Y77"/>
  <c r="X77"/>
  <c r="V77"/>
  <c r="U77"/>
  <c r="T77"/>
  <c r="S77"/>
  <c r="R77"/>
  <c r="Q77"/>
  <c r="O77"/>
  <c r="M77"/>
  <c r="K77"/>
  <c r="I77"/>
  <c r="G77"/>
  <c r="E77"/>
  <c r="C77"/>
  <c r="Y76"/>
  <c r="X76"/>
  <c r="V76"/>
  <c r="U76"/>
  <c r="T76"/>
  <c r="S76"/>
  <c r="R76"/>
  <c r="Q76"/>
  <c r="O76"/>
  <c r="M76"/>
  <c r="K76"/>
  <c r="I76"/>
  <c r="G76"/>
  <c r="E76"/>
  <c r="C76"/>
  <c r="Y75"/>
  <c r="X75"/>
  <c r="V75"/>
  <c r="U75"/>
  <c r="T75"/>
  <c r="S75"/>
  <c r="R75"/>
  <c r="Q75"/>
  <c r="O75"/>
  <c r="M75"/>
  <c r="K75"/>
  <c r="I75"/>
  <c r="G75"/>
  <c r="E75"/>
  <c r="C75"/>
  <c r="Y74"/>
  <c r="X74"/>
  <c r="V74"/>
  <c r="U74"/>
  <c r="T74"/>
  <c r="S74"/>
  <c r="R74"/>
  <c r="Q74"/>
  <c r="O74"/>
  <c r="M74"/>
  <c r="K74"/>
  <c r="I74"/>
  <c r="G74"/>
  <c r="E74"/>
  <c r="C74"/>
  <c r="Y73"/>
  <c r="X73"/>
  <c r="V73"/>
  <c r="U73"/>
  <c r="T73"/>
  <c r="S73"/>
  <c r="R73"/>
  <c r="Q73"/>
  <c r="O73"/>
  <c r="M73"/>
  <c r="K73"/>
  <c r="I73"/>
  <c r="G73"/>
  <c r="E73"/>
  <c r="C73"/>
  <c r="Y72"/>
  <c r="X72"/>
  <c r="V72"/>
  <c r="U72"/>
  <c r="T72"/>
  <c r="S72"/>
  <c r="R72"/>
  <c r="Q72"/>
  <c r="O72"/>
  <c r="M72"/>
  <c r="K72"/>
  <c r="I72"/>
  <c r="G72"/>
  <c r="E72"/>
  <c r="C72"/>
  <c r="Y71"/>
  <c r="X71"/>
  <c r="V71"/>
  <c r="U71"/>
  <c r="T71"/>
  <c r="S71"/>
  <c r="R71"/>
  <c r="Q71"/>
  <c r="O71"/>
  <c r="M71"/>
  <c r="K71"/>
  <c r="I71"/>
  <c r="G71"/>
  <c r="E71"/>
  <c r="C71"/>
  <c r="Y70"/>
  <c r="X70"/>
  <c r="V70"/>
  <c r="U70"/>
  <c r="T70"/>
  <c r="S70"/>
  <c r="R70"/>
  <c r="Q70"/>
  <c r="O70"/>
  <c r="M70"/>
  <c r="K70"/>
  <c r="I70"/>
  <c r="G70"/>
  <c r="E70"/>
  <c r="C70"/>
  <c r="Y69"/>
  <c r="X69"/>
  <c r="V69"/>
  <c r="U69"/>
  <c r="T69"/>
  <c r="S69"/>
  <c r="R69"/>
  <c r="Q69"/>
  <c r="O69"/>
  <c r="M69"/>
  <c r="K69"/>
  <c r="I69"/>
  <c r="G69"/>
  <c r="E69"/>
  <c r="C69"/>
  <c r="Y68"/>
  <c r="X68"/>
  <c r="V68"/>
  <c r="U68"/>
  <c r="T68"/>
  <c r="S68"/>
  <c r="R68"/>
  <c r="Q68"/>
  <c r="O68"/>
  <c r="M68"/>
  <c r="K68"/>
  <c r="I68"/>
  <c r="G68"/>
  <c r="E68"/>
  <c r="C68"/>
  <c r="Y67"/>
  <c r="X67"/>
  <c r="V67"/>
  <c r="U67"/>
  <c r="T67"/>
  <c r="S67"/>
  <c r="R67"/>
  <c r="Q67"/>
  <c r="O67"/>
  <c r="M67"/>
  <c r="K67"/>
  <c r="I67"/>
  <c r="G67"/>
  <c r="E67"/>
  <c r="C67"/>
  <c r="Y66"/>
  <c r="X66"/>
  <c r="V66"/>
  <c r="U66"/>
  <c r="T66"/>
  <c r="S66"/>
  <c r="R66"/>
  <c r="Q66"/>
  <c r="O66"/>
  <c r="M66"/>
  <c r="K66"/>
  <c r="I66"/>
  <c r="G66"/>
  <c r="E66"/>
  <c r="C66"/>
  <c r="Y65"/>
  <c r="X65"/>
  <c r="V65"/>
  <c r="U65"/>
  <c r="T65"/>
  <c r="S65"/>
  <c r="R65"/>
  <c r="Q65"/>
  <c r="O65"/>
  <c r="M65"/>
  <c r="K65"/>
  <c r="I65"/>
  <c r="G65"/>
  <c r="E65"/>
  <c r="C65"/>
  <c r="Y64"/>
  <c r="X64"/>
  <c r="V64"/>
  <c r="U64"/>
  <c r="T64"/>
  <c r="S64"/>
  <c r="R64"/>
  <c r="Q64"/>
  <c r="O64"/>
  <c r="M64"/>
  <c r="K64"/>
  <c r="I64"/>
  <c r="G64"/>
  <c r="E64"/>
  <c r="C64"/>
  <c r="Y63"/>
  <c r="X63"/>
  <c r="V63"/>
  <c r="U63"/>
  <c r="T63"/>
  <c r="S63"/>
  <c r="R63"/>
  <c r="Q63"/>
  <c r="O63"/>
  <c r="M63"/>
  <c r="K63"/>
  <c r="I63"/>
  <c r="G63"/>
  <c r="E63"/>
  <c r="C63"/>
  <c r="Y62"/>
  <c r="X62"/>
  <c r="V62"/>
  <c r="U62"/>
  <c r="T62"/>
  <c r="S62"/>
  <c r="R62"/>
  <c r="Q62"/>
  <c r="O62"/>
  <c r="M62"/>
  <c r="K62"/>
  <c r="I62"/>
  <c r="G62"/>
  <c r="E62"/>
  <c r="C62"/>
  <c r="Y61"/>
  <c r="X61"/>
  <c r="V61"/>
  <c r="U61"/>
  <c r="T61"/>
  <c r="S61"/>
  <c r="R61"/>
  <c r="Q61"/>
  <c r="O61"/>
  <c r="M61"/>
  <c r="K61"/>
  <c r="I61"/>
  <c r="G61"/>
  <c r="E61"/>
  <c r="C61"/>
  <c r="Y60"/>
  <c r="X60"/>
  <c r="V60"/>
  <c r="U60"/>
  <c r="T60"/>
  <c r="S60"/>
  <c r="R60"/>
  <c r="Q60"/>
  <c r="O60"/>
  <c r="M60"/>
  <c r="K60"/>
  <c r="I60"/>
  <c r="G60"/>
  <c r="E60"/>
  <c r="C60"/>
  <c r="Y59"/>
  <c r="X59"/>
  <c r="V59"/>
  <c r="U59"/>
  <c r="T59"/>
  <c r="S59"/>
  <c r="R59"/>
  <c r="Q59"/>
  <c r="O59"/>
  <c r="M59"/>
  <c r="K59"/>
  <c r="I59"/>
  <c r="G59"/>
  <c r="E59"/>
  <c r="C59"/>
  <c r="Y58"/>
  <c r="X58"/>
  <c r="V58"/>
  <c r="U58"/>
  <c r="T58"/>
  <c r="S58"/>
  <c r="R58"/>
  <c r="Q58"/>
  <c r="O58"/>
  <c r="M58"/>
  <c r="K58"/>
  <c r="I58"/>
  <c r="G58"/>
  <c r="E58"/>
  <c r="C58"/>
  <c r="Y57"/>
  <c r="X57"/>
  <c r="V57"/>
  <c r="U57"/>
  <c r="T57"/>
  <c r="S57"/>
  <c r="R57"/>
  <c r="Q57"/>
  <c r="O57"/>
  <c r="M57"/>
  <c r="K57"/>
  <c r="I57"/>
  <c r="G57"/>
  <c r="E57"/>
  <c r="C57"/>
  <c r="Y56"/>
  <c r="X56"/>
  <c r="V56"/>
  <c r="U56"/>
  <c r="T56"/>
  <c r="S56"/>
  <c r="R56"/>
  <c r="Q56"/>
  <c r="O56"/>
  <c r="M56"/>
  <c r="K56"/>
  <c r="I56"/>
  <c r="G56"/>
  <c r="E56"/>
  <c r="C56"/>
  <c r="Y55"/>
  <c r="X55"/>
  <c r="V55"/>
  <c r="U55"/>
  <c r="T55"/>
  <c r="S55"/>
  <c r="R55"/>
  <c r="Q55"/>
  <c r="O55"/>
  <c r="M55"/>
  <c r="K55"/>
  <c r="I55"/>
  <c r="G55"/>
  <c r="E55"/>
  <c r="C55"/>
  <c r="Y54"/>
  <c r="X54"/>
  <c r="V54"/>
  <c r="U54"/>
  <c r="T54"/>
  <c r="S54"/>
  <c r="R54"/>
  <c r="Q54"/>
  <c r="O54"/>
  <c r="M54"/>
  <c r="K54"/>
  <c r="I54"/>
  <c r="G54"/>
  <c r="E54"/>
  <c r="C54"/>
  <c r="Y53"/>
  <c r="X53"/>
  <c r="V53"/>
  <c r="U53"/>
  <c r="T53"/>
  <c r="S53"/>
  <c r="R53"/>
  <c r="Q53"/>
  <c r="O53"/>
  <c r="M53"/>
  <c r="K53"/>
  <c r="I53"/>
  <c r="G53"/>
  <c r="E53"/>
  <c r="C53"/>
  <c r="Y52"/>
  <c r="X52"/>
  <c r="V52"/>
  <c r="U52"/>
  <c r="T52"/>
  <c r="S52"/>
  <c r="R52"/>
  <c r="Q52"/>
  <c r="O52"/>
  <c r="M52"/>
  <c r="K52"/>
  <c r="I52"/>
  <c r="G52"/>
  <c r="E52"/>
  <c r="C52"/>
  <c r="Y51"/>
  <c r="X51"/>
  <c r="V51"/>
  <c r="U51"/>
  <c r="T51"/>
  <c r="S51"/>
  <c r="R51"/>
  <c r="Q51"/>
  <c r="O51"/>
  <c r="M51"/>
  <c r="K51"/>
  <c r="I51"/>
  <c r="G51"/>
  <c r="E51"/>
  <c r="C51"/>
  <c r="Y50"/>
  <c r="X50"/>
  <c r="V50"/>
  <c r="U50"/>
  <c r="T50"/>
  <c r="S50"/>
  <c r="R50"/>
  <c r="Q50"/>
  <c r="O50"/>
  <c r="M50"/>
  <c r="K50"/>
  <c r="I50"/>
  <c r="G50"/>
  <c r="E50"/>
  <c r="C50"/>
  <c r="Y49"/>
  <c r="X49"/>
  <c r="V49"/>
  <c r="U49"/>
  <c r="T49"/>
  <c r="S49"/>
  <c r="R49"/>
  <c r="Q49"/>
  <c r="O49"/>
  <c r="M49"/>
  <c r="K49"/>
  <c r="I49"/>
  <c r="G49"/>
  <c r="E49"/>
  <c r="C49"/>
  <c r="Y48"/>
  <c r="X48"/>
  <c r="V48"/>
  <c r="U48"/>
  <c r="T48"/>
  <c r="S48"/>
  <c r="R48"/>
  <c r="Q48"/>
  <c r="O48"/>
  <c r="M48"/>
  <c r="K48"/>
  <c r="I48"/>
  <c r="G48"/>
  <c r="E48"/>
  <c r="C48"/>
  <c r="Y47"/>
  <c r="X47"/>
  <c r="V47"/>
  <c r="U47"/>
  <c r="T47"/>
  <c r="S47"/>
  <c r="R47"/>
  <c r="Q47"/>
  <c r="O47"/>
  <c r="M47"/>
  <c r="K47"/>
  <c r="I47"/>
  <c r="G47"/>
  <c r="E47"/>
  <c r="C47"/>
  <c r="Y46"/>
  <c r="X46"/>
  <c r="V46"/>
  <c r="U46"/>
  <c r="T46"/>
  <c r="S46"/>
  <c r="R46"/>
  <c r="Q46"/>
  <c r="O46"/>
  <c r="M46"/>
  <c r="K46"/>
  <c r="I46"/>
  <c r="G46"/>
  <c r="E46"/>
  <c r="C46"/>
  <c r="Y45"/>
  <c r="X45"/>
  <c r="V45"/>
  <c r="U45"/>
  <c r="T45"/>
  <c r="S45"/>
  <c r="R45"/>
  <c r="Q45"/>
  <c r="O45"/>
  <c r="M45"/>
  <c r="K45"/>
  <c r="I45"/>
  <c r="G45"/>
  <c r="E45"/>
  <c r="C45"/>
  <c r="Y44"/>
  <c r="X44"/>
  <c r="V44"/>
  <c r="U44"/>
  <c r="T44"/>
  <c r="S44"/>
  <c r="R44"/>
  <c r="Q44"/>
  <c r="O44"/>
  <c r="M44"/>
  <c r="K44"/>
  <c r="I44"/>
  <c r="G44"/>
  <c r="E44"/>
  <c r="C44"/>
  <c r="Y43"/>
  <c r="X43"/>
  <c r="V43"/>
  <c r="U43"/>
  <c r="T43"/>
  <c r="S43"/>
  <c r="R43"/>
  <c r="Q43"/>
  <c r="O43"/>
  <c r="M43"/>
  <c r="K43"/>
  <c r="I43"/>
  <c r="G43"/>
  <c r="E43"/>
  <c r="C43"/>
  <c r="Y42"/>
  <c r="X42"/>
  <c r="V42"/>
  <c r="U42"/>
  <c r="T42"/>
  <c r="S42"/>
  <c r="R42"/>
  <c r="Q42"/>
  <c r="O42"/>
  <c r="M42"/>
  <c r="K42"/>
  <c r="I42"/>
  <c r="G42"/>
  <c r="E42"/>
  <c r="C42"/>
  <c r="Y41"/>
  <c r="X41"/>
  <c r="V41"/>
  <c r="U41"/>
  <c r="T41"/>
  <c r="S41"/>
  <c r="R41"/>
  <c r="Q41"/>
  <c r="O41"/>
  <c r="M41"/>
  <c r="K41"/>
  <c r="I41"/>
  <c r="G41"/>
  <c r="E41"/>
  <c r="C41"/>
  <c r="Y40"/>
  <c r="X40"/>
  <c r="V40"/>
  <c r="U40"/>
  <c r="T40"/>
  <c r="S40"/>
  <c r="R40"/>
  <c r="Q40"/>
  <c r="O40"/>
  <c r="M40"/>
  <c r="K40"/>
  <c r="I40"/>
  <c r="G40"/>
  <c r="E40"/>
  <c r="C40"/>
  <c r="Y39"/>
  <c r="X39"/>
  <c r="V39"/>
  <c r="U39"/>
  <c r="T39"/>
  <c r="S39"/>
  <c r="R39"/>
  <c r="Q39"/>
  <c r="O39"/>
  <c r="M39"/>
  <c r="K39"/>
  <c r="I39"/>
  <c r="G39"/>
  <c r="E39"/>
  <c r="C39"/>
  <c r="Y38"/>
  <c r="X38"/>
  <c r="V38"/>
  <c r="U38"/>
  <c r="T38"/>
  <c r="S38"/>
  <c r="R38"/>
  <c r="Q38"/>
  <c r="O38"/>
  <c r="M38"/>
  <c r="K38"/>
  <c r="I38"/>
  <c r="G38"/>
  <c r="E38"/>
  <c r="C38"/>
  <c r="Y37"/>
  <c r="X37"/>
  <c r="V37"/>
  <c r="U37"/>
  <c r="T37"/>
  <c r="S37"/>
  <c r="R37"/>
  <c r="Q37"/>
  <c r="O37"/>
  <c r="M37"/>
  <c r="K37"/>
  <c r="I37"/>
  <c r="G37"/>
  <c r="E37"/>
  <c r="C37"/>
  <c r="Y36"/>
  <c r="X36"/>
  <c r="V36"/>
  <c r="U36"/>
  <c r="T36"/>
  <c r="S36"/>
  <c r="R36"/>
  <c r="Q36"/>
  <c r="O36"/>
  <c r="M36"/>
  <c r="K36"/>
  <c r="I36"/>
  <c r="G36"/>
  <c r="E36"/>
  <c r="C36"/>
  <c r="Y35"/>
  <c r="X35"/>
  <c r="V35"/>
  <c r="U35"/>
  <c r="T35"/>
  <c r="S35"/>
  <c r="R35"/>
  <c r="Q35"/>
  <c r="O35"/>
  <c r="M35"/>
  <c r="K35"/>
  <c r="I35"/>
  <c r="G35"/>
  <c r="E35"/>
  <c r="C35"/>
  <c r="Y34"/>
  <c r="X34"/>
  <c r="V34"/>
  <c r="U34"/>
  <c r="T34"/>
  <c r="S34"/>
  <c r="R34"/>
  <c r="Q34"/>
  <c r="O34"/>
  <c r="M34"/>
  <c r="K34"/>
  <c r="I34"/>
  <c r="G34"/>
  <c r="E34"/>
  <c r="C34"/>
  <c r="Y33"/>
  <c r="X33"/>
  <c r="V33"/>
  <c r="U33"/>
  <c r="T33"/>
  <c r="S33"/>
  <c r="R33"/>
  <c r="Q33"/>
  <c r="O33"/>
  <c r="M33"/>
  <c r="K33"/>
  <c r="I33"/>
  <c r="G33"/>
  <c r="E33"/>
  <c r="C33"/>
  <c r="Y32"/>
  <c r="X32"/>
  <c r="V32"/>
  <c r="U32"/>
  <c r="T32"/>
  <c r="S32"/>
  <c r="R32"/>
  <c r="Q32"/>
  <c r="O32"/>
  <c r="M32"/>
  <c r="K32"/>
  <c r="I32"/>
  <c r="G32"/>
  <c r="E32"/>
  <c r="C32"/>
  <c r="Y31"/>
  <c r="X31"/>
  <c r="V31"/>
  <c r="U31"/>
  <c r="T31"/>
  <c r="S31"/>
  <c r="R31"/>
  <c r="Q31"/>
  <c r="O31"/>
  <c r="M31"/>
  <c r="K31"/>
  <c r="I31"/>
  <c r="G31"/>
  <c r="E31"/>
  <c r="C31"/>
  <c r="Y30"/>
  <c r="X30"/>
  <c r="V30"/>
  <c r="U30"/>
  <c r="T30"/>
  <c r="S30"/>
  <c r="R30"/>
  <c r="Q30"/>
  <c r="O30"/>
  <c r="M30"/>
  <c r="K30"/>
  <c r="I30"/>
  <c r="G30"/>
  <c r="E30"/>
  <c r="C30"/>
  <c r="Y29"/>
  <c r="X29"/>
  <c r="V29"/>
  <c r="U29"/>
  <c r="T29"/>
  <c r="S29"/>
  <c r="R29"/>
  <c r="Q29"/>
  <c r="O29"/>
  <c r="M29"/>
  <c r="K29"/>
  <c r="I29"/>
  <c r="G29"/>
  <c r="E29"/>
  <c r="C29"/>
  <c r="Y28"/>
  <c r="X28"/>
  <c r="V28"/>
  <c r="U28"/>
  <c r="T28"/>
  <c r="S28"/>
  <c r="R28"/>
  <c r="Q28"/>
  <c r="O28"/>
  <c r="M28"/>
  <c r="K28"/>
  <c r="I28"/>
  <c r="G28"/>
  <c r="E28"/>
  <c r="C28"/>
  <c r="Y27"/>
  <c r="X27"/>
  <c r="V27"/>
  <c r="U27"/>
  <c r="T27"/>
  <c r="S27"/>
  <c r="B27"/>
  <c r="P26"/>
  <c r="N26"/>
  <c r="L26"/>
  <c r="J26"/>
  <c r="H26"/>
  <c r="F26"/>
  <c r="D26"/>
  <c r="Y25"/>
  <c r="X25"/>
  <c r="V25"/>
  <c r="U25"/>
  <c r="T25"/>
  <c r="S25"/>
  <c r="R25"/>
  <c r="B25"/>
  <c r="I23"/>
  <c r="C23"/>
  <c r="B23"/>
  <c r="B24" s="1"/>
  <c r="B3" s="1"/>
  <c r="C35" i="57" s="1"/>
  <c r="I125" s="1"/>
  <c r="S15" i="31"/>
  <c r="R15"/>
  <c r="Q15"/>
  <c r="P15"/>
  <c r="O15"/>
  <c r="N15"/>
  <c r="M15"/>
  <c r="L15"/>
  <c r="K15"/>
  <c r="J15"/>
  <c r="I15"/>
  <c r="H15"/>
  <c r="G15"/>
  <c r="F15"/>
  <c r="E15"/>
  <c r="D15"/>
  <c r="S13"/>
  <c r="R13"/>
  <c r="Q13"/>
  <c r="P13"/>
  <c r="O13"/>
  <c r="N13"/>
  <c r="M13"/>
  <c r="L13"/>
  <c r="K13"/>
  <c r="J13"/>
  <c r="I13"/>
  <c r="H13"/>
  <c r="G13"/>
  <c r="F13"/>
  <c r="E13"/>
  <c r="D13"/>
  <c r="S11"/>
  <c r="R11"/>
  <c r="Q11"/>
  <c r="P11"/>
  <c r="O11"/>
  <c r="N11"/>
  <c r="M11"/>
  <c r="L11"/>
  <c r="K11"/>
  <c r="J11"/>
  <c r="I11"/>
  <c r="H11"/>
  <c r="G11"/>
  <c r="F11"/>
  <c r="E11"/>
  <c r="D11"/>
  <c r="S9"/>
  <c r="R9"/>
  <c r="Q9"/>
  <c r="P9"/>
  <c r="O9"/>
  <c r="N9"/>
  <c r="M9"/>
  <c r="L9"/>
  <c r="K9"/>
  <c r="J9"/>
  <c r="I9"/>
  <c r="H9"/>
  <c r="G9"/>
  <c r="F9"/>
  <c r="E9"/>
  <c r="D9"/>
  <c r="S5"/>
  <c r="R5"/>
  <c r="Q5"/>
  <c r="P5"/>
  <c r="O5"/>
  <c r="N5"/>
  <c r="M5"/>
  <c r="L5"/>
  <c r="K5"/>
  <c r="J5"/>
  <c r="I5"/>
  <c r="H5"/>
  <c r="G5"/>
  <c r="F5"/>
  <c r="E5"/>
  <c r="D5"/>
  <c r="C5"/>
  <c r="C2"/>
  <c r="B2"/>
  <c r="R43" i="63"/>
  <c r="R41"/>
  <c r="C41"/>
  <c r="R40"/>
  <c r="C40"/>
  <c r="E39"/>
  <c r="D39"/>
  <c r="C39"/>
  <c r="E38"/>
  <c r="D38"/>
  <c r="C38"/>
  <c r="F36"/>
  <c r="R35"/>
  <c r="U34"/>
  <c r="R34"/>
  <c r="R33"/>
  <c r="E32"/>
  <c r="D32"/>
  <c r="C32"/>
  <c r="C30"/>
  <c r="E29"/>
  <c r="D29"/>
  <c r="C29"/>
  <c r="R27"/>
  <c r="C27"/>
  <c r="E26"/>
  <c r="D26"/>
  <c r="C26"/>
  <c r="R25"/>
  <c r="R24"/>
  <c r="M24"/>
  <c r="R23"/>
  <c r="E23"/>
  <c r="D23"/>
  <c r="C23"/>
  <c r="R22"/>
  <c r="R21"/>
  <c r="R19"/>
  <c r="N19"/>
  <c r="R18"/>
  <c r="D18"/>
  <c r="R17"/>
  <c r="D17"/>
  <c r="R16"/>
  <c r="D16"/>
  <c r="D15"/>
  <c r="R14"/>
  <c r="N14"/>
  <c r="M14"/>
  <c r="D14"/>
  <c r="R13"/>
  <c r="R12"/>
  <c r="D12"/>
  <c r="R11"/>
  <c r="E11"/>
  <c r="D11"/>
  <c r="R10"/>
  <c r="D10"/>
  <c r="R9"/>
  <c r="D9"/>
  <c r="R8"/>
  <c r="R7"/>
  <c r="E7"/>
  <c r="D7"/>
  <c r="U5"/>
  <c r="R5"/>
  <c r="R4"/>
  <c r="R3"/>
  <c r="B3"/>
  <c r="B2"/>
  <c r="F31" i="12"/>
  <c r="C31"/>
  <c r="C29"/>
  <c r="D28" s="1"/>
  <c r="F28"/>
  <c r="C30" s="1"/>
  <c r="C28" s="1"/>
  <c r="C32" s="1"/>
  <c r="C27"/>
  <c r="C26"/>
  <c r="F25"/>
  <c r="D25"/>
  <c r="C25"/>
  <c r="F24"/>
  <c r="C24"/>
  <c r="F23"/>
  <c r="C23"/>
  <c r="F22"/>
  <c r="C22"/>
  <c r="C21"/>
  <c r="E20"/>
  <c r="D20"/>
  <c r="C20"/>
  <c r="E19"/>
  <c r="D19"/>
  <c r="C19"/>
  <c r="C18"/>
  <c r="E17"/>
  <c r="D17"/>
  <c r="C17"/>
  <c r="C16"/>
  <c r="F15"/>
  <c r="C15"/>
  <c r="E14"/>
  <c r="D14"/>
  <c r="C14"/>
  <c r="F13"/>
  <c r="C13"/>
  <c r="F12"/>
  <c r="C12"/>
  <c r="F11"/>
  <c r="C11"/>
  <c r="C8"/>
  <c r="C7"/>
  <c r="C4"/>
  <c r="C2"/>
  <c r="F50" i="11"/>
  <c r="F48"/>
  <c r="C48"/>
  <c r="C47"/>
  <c r="D45"/>
  <c r="C44"/>
  <c r="C43"/>
  <c r="C42"/>
  <c r="G41"/>
  <c r="F41"/>
  <c r="D41"/>
  <c r="C41"/>
  <c r="F40"/>
  <c r="C40"/>
  <c r="F39"/>
  <c r="C39"/>
  <c r="F38"/>
  <c r="C38"/>
  <c r="E37"/>
  <c r="D37"/>
  <c r="C37"/>
  <c r="F36"/>
  <c r="C36"/>
  <c r="F35"/>
  <c r="C35"/>
  <c r="F34"/>
  <c r="C34"/>
  <c r="C33"/>
  <c r="F30"/>
  <c r="C30"/>
  <c r="C29"/>
  <c r="D27" s="1"/>
  <c r="C28"/>
  <c r="C27" s="1"/>
  <c r="F27"/>
  <c r="F45" s="1"/>
  <c r="C26"/>
  <c r="C25"/>
  <c r="C24"/>
  <c r="C23"/>
  <c r="G22"/>
  <c r="F22"/>
  <c r="D22"/>
  <c r="C22"/>
  <c r="F21"/>
  <c r="C21"/>
  <c r="F20"/>
  <c r="C20"/>
  <c r="E19"/>
  <c r="D19"/>
  <c r="C19"/>
  <c r="E10"/>
  <c r="D10"/>
  <c r="C10"/>
  <c r="E9"/>
  <c r="D9"/>
  <c r="C9"/>
  <c r="C8"/>
  <c r="F7"/>
  <c r="C7"/>
  <c r="C6"/>
  <c r="C5"/>
  <c r="F2"/>
  <c r="C2"/>
  <c r="P73" i="15"/>
  <c r="Q72"/>
  <c r="P72"/>
  <c r="F72"/>
  <c r="Q71"/>
  <c r="Q70"/>
  <c r="F70"/>
  <c r="Q69"/>
  <c r="F69"/>
  <c r="F67"/>
  <c r="F66"/>
  <c r="F65"/>
  <c r="F64"/>
  <c r="F63"/>
  <c r="C63"/>
  <c r="F62"/>
  <c r="C62"/>
  <c r="L61"/>
  <c r="Q64" s="1"/>
  <c r="J61"/>
  <c r="F61"/>
  <c r="C61"/>
  <c r="P60"/>
  <c r="N60"/>
  <c r="M60"/>
  <c r="L60"/>
  <c r="K60"/>
  <c r="J60"/>
  <c r="F60"/>
  <c r="C60"/>
  <c r="Q59"/>
  <c r="P59"/>
  <c r="L59"/>
  <c r="J59"/>
  <c r="Q58"/>
  <c r="J58"/>
  <c r="Q57"/>
  <c r="L57"/>
  <c r="Q56"/>
  <c r="J56"/>
  <c r="Q55"/>
  <c r="I55"/>
  <c r="J54"/>
  <c r="J52"/>
  <c r="F52"/>
  <c r="P51"/>
  <c r="J51"/>
  <c r="F51"/>
  <c r="Q50"/>
  <c r="J50"/>
  <c r="C50"/>
  <c r="Q49"/>
  <c r="L49"/>
  <c r="Q48"/>
  <c r="M48"/>
  <c r="L48"/>
  <c r="L47"/>
  <c r="D47"/>
  <c r="Q46"/>
  <c r="F43"/>
  <c r="F42"/>
  <c r="F41"/>
  <c r="F40"/>
  <c r="F38"/>
  <c r="F37"/>
  <c r="F36"/>
  <c r="J35"/>
  <c r="F35"/>
  <c r="F34"/>
  <c r="C34"/>
  <c r="F33"/>
  <c r="C33"/>
  <c r="F32"/>
  <c r="C32"/>
  <c r="F31"/>
  <c r="C31"/>
  <c r="M29"/>
  <c r="M28"/>
  <c r="F28"/>
  <c r="C28"/>
  <c r="M27"/>
  <c r="C27"/>
  <c r="M26"/>
  <c r="F26"/>
  <c r="C26"/>
  <c r="C29" s="1"/>
  <c r="M24"/>
  <c r="F24"/>
  <c r="D24"/>
  <c r="C24"/>
  <c r="M23"/>
  <c r="F23"/>
  <c r="D23"/>
  <c r="C23"/>
  <c r="M22"/>
  <c r="D22"/>
  <c r="M21"/>
  <c r="F21"/>
  <c r="C21"/>
  <c r="M20"/>
  <c r="J20"/>
  <c r="F20"/>
  <c r="C20"/>
  <c r="M19"/>
  <c r="J19"/>
  <c r="C19"/>
  <c r="M18"/>
  <c r="J18"/>
  <c r="F18"/>
  <c r="C18"/>
  <c r="M17"/>
  <c r="J17"/>
  <c r="F17"/>
  <c r="C17"/>
  <c r="F16"/>
  <c r="C16"/>
  <c r="J15"/>
  <c r="F15"/>
  <c r="C15"/>
  <c r="C14"/>
  <c r="F13"/>
  <c r="M9"/>
  <c r="F9"/>
  <c r="M8"/>
  <c r="F8"/>
  <c r="M7"/>
  <c r="F7"/>
  <c r="M6"/>
  <c r="J6"/>
  <c r="F6"/>
  <c r="C6"/>
  <c r="C2"/>
  <c r="G1"/>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I47"/>
  <c r="G47"/>
  <c r="E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I37"/>
  <c r="H37"/>
  <c r="G37"/>
  <c r="F37"/>
  <c r="E37"/>
  <c r="C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C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I5"/>
  <c r="G5"/>
  <c r="D3"/>
  <c r="B3"/>
  <c r="F2"/>
  <c r="C2"/>
  <c r="B2"/>
  <c r="A136" i="57"/>
  <c r="A135"/>
  <c r="D134"/>
  <c r="A133"/>
  <c r="D132"/>
  <c r="A131"/>
  <c r="A129"/>
  <c r="D128"/>
  <c r="D127"/>
  <c r="A127"/>
  <c r="F126"/>
  <c r="D126"/>
  <c r="G125"/>
  <c r="F125"/>
  <c r="E125"/>
  <c r="D125"/>
  <c r="B125"/>
  <c r="A125"/>
  <c r="D120"/>
  <c r="C120"/>
  <c r="A120"/>
  <c r="F119"/>
  <c r="D119"/>
  <c r="D118"/>
  <c r="C118"/>
  <c r="A118"/>
  <c r="I116"/>
  <c r="D133" s="1"/>
  <c r="H116"/>
  <c r="F116"/>
  <c r="C116"/>
  <c r="A116"/>
  <c r="I115"/>
  <c r="D115"/>
  <c r="C115"/>
  <c r="I114"/>
  <c r="D131" s="1"/>
  <c r="H114"/>
  <c r="F114"/>
  <c r="D114"/>
  <c r="C114"/>
  <c r="D113"/>
  <c r="C113"/>
  <c r="H112"/>
  <c r="F112"/>
  <c r="D112"/>
  <c r="C112"/>
  <c r="I110"/>
  <c r="H110"/>
  <c r="C110"/>
  <c r="I109"/>
  <c r="H109"/>
  <c r="L108"/>
  <c r="I108"/>
  <c r="H108"/>
  <c r="I107"/>
  <c r="H107"/>
  <c r="B107"/>
  <c r="B105"/>
  <c r="H104"/>
  <c r="H103"/>
  <c r="B103"/>
  <c r="D102"/>
  <c r="C102"/>
  <c r="C96"/>
  <c r="D95"/>
  <c r="C94"/>
  <c r="C93"/>
  <c r="E92"/>
  <c r="D91"/>
  <c r="C91"/>
  <c r="C89"/>
  <c r="D80"/>
  <c r="H79"/>
  <c r="D79"/>
  <c r="C79"/>
  <c r="C78"/>
  <c r="C76"/>
  <c r="D70"/>
  <c r="K63"/>
  <c r="K61"/>
  <c r="F61"/>
  <c r="E61"/>
  <c r="K59"/>
  <c r="O58"/>
  <c r="N58"/>
  <c r="L58"/>
  <c r="K58"/>
  <c r="F58"/>
  <c r="P57"/>
  <c r="O57"/>
  <c r="L57"/>
  <c r="K57"/>
  <c r="I57"/>
  <c r="F57"/>
  <c r="P56"/>
  <c r="O56"/>
  <c r="F56"/>
  <c r="P55"/>
  <c r="O55"/>
  <c r="F55"/>
  <c r="P54"/>
  <c r="O54"/>
  <c r="F54"/>
  <c r="L51"/>
  <c r="F50"/>
  <c r="E50"/>
  <c r="N49"/>
  <c r="D37"/>
  <c r="C37"/>
  <c r="D36"/>
  <c r="C36"/>
  <c r="D34"/>
  <c r="C34"/>
  <c r="H125" s="1"/>
  <c r="C33"/>
  <c r="D29"/>
  <c r="D28"/>
  <c r="D27"/>
  <c r="C25"/>
  <c r="C24"/>
  <c r="H19"/>
  <c r="D18"/>
  <c r="C18"/>
  <c r="D17"/>
  <c r="C17"/>
  <c r="M4"/>
  <c r="L4"/>
  <c r="A132" i="9"/>
  <c r="A131"/>
  <c r="D130"/>
  <c r="D129"/>
  <c r="D12" i="52" s="1"/>
  <c r="A129" i="9"/>
  <c r="D127"/>
  <c r="H14" i="62" s="1"/>
  <c r="B7" s="1"/>
  <c r="A127" i="9"/>
  <c r="A125"/>
  <c r="D124"/>
  <c r="D123"/>
  <c r="A123"/>
  <c r="C121"/>
  <c r="B121"/>
  <c r="A121"/>
  <c r="F117"/>
  <c r="D116"/>
  <c r="C116"/>
  <c r="A116"/>
  <c r="D115"/>
  <c r="I114"/>
  <c r="H114"/>
  <c r="F114"/>
  <c r="D114"/>
  <c r="C114"/>
  <c r="A114"/>
  <c r="I113"/>
  <c r="D128" s="1"/>
  <c r="D11" i="52" s="1"/>
  <c r="I112" i="9"/>
  <c r="H112"/>
  <c r="F112"/>
  <c r="C112"/>
  <c r="A112"/>
  <c r="D111"/>
  <c r="C111"/>
  <c r="H110"/>
  <c r="F110"/>
  <c r="D110"/>
  <c r="C110"/>
  <c r="D109"/>
  <c r="C109"/>
  <c r="I108"/>
  <c r="H108"/>
  <c r="D108"/>
  <c r="C108"/>
  <c r="I107"/>
  <c r="H107"/>
  <c r="L106"/>
  <c r="I106"/>
  <c r="H106"/>
  <c r="C106"/>
  <c r="I105"/>
  <c r="H105"/>
  <c r="B103"/>
  <c r="H102"/>
  <c r="H101"/>
  <c r="F101"/>
  <c r="B101"/>
  <c r="D100"/>
  <c r="C100"/>
  <c r="C94"/>
  <c r="D93"/>
  <c r="C92"/>
  <c r="C91"/>
  <c r="E90"/>
  <c r="D89"/>
  <c r="C89"/>
  <c r="C87"/>
  <c r="D78"/>
  <c r="H77"/>
  <c r="D77"/>
  <c r="C77"/>
  <c r="C76"/>
  <c r="C74"/>
  <c r="M68"/>
  <c r="N68" s="1"/>
  <c r="D68"/>
  <c r="M67"/>
  <c r="N67" s="1"/>
  <c r="M66"/>
  <c r="N66" s="1"/>
  <c r="N65"/>
  <c r="M65"/>
  <c r="M64"/>
  <c r="N64" s="1"/>
  <c r="K61"/>
  <c r="K59"/>
  <c r="F59"/>
  <c r="E59"/>
  <c r="D59"/>
  <c r="N55" s="1"/>
  <c r="K57"/>
  <c r="O56"/>
  <c r="N56"/>
  <c r="L56"/>
  <c r="K56"/>
  <c r="F56"/>
  <c r="D56"/>
  <c r="P55"/>
  <c r="O55"/>
  <c r="L55"/>
  <c r="K55"/>
  <c r="I55"/>
  <c r="F55"/>
  <c r="D55"/>
  <c r="P54"/>
  <c r="O54"/>
  <c r="N54"/>
  <c r="F54"/>
  <c r="P53"/>
  <c r="O53"/>
  <c r="N53"/>
  <c r="F53"/>
  <c r="P52"/>
  <c r="O52"/>
  <c r="F52"/>
  <c r="N49"/>
  <c r="M63" s="1"/>
  <c r="N63" s="1"/>
  <c r="N69" s="1"/>
  <c r="O69" s="1"/>
  <c r="L49"/>
  <c r="F48"/>
  <c r="E48"/>
  <c r="N47"/>
  <c r="N46"/>
  <c r="F33"/>
  <c r="D32"/>
  <c r="B32"/>
  <c r="D29"/>
  <c r="D28"/>
  <c r="D27"/>
  <c r="C25"/>
  <c r="C24"/>
  <c r="H19"/>
  <c r="D18"/>
  <c r="C18"/>
  <c r="D17"/>
  <c r="C17"/>
  <c r="M4"/>
  <c r="L4"/>
  <c r="A2"/>
  <c r="F23" i="62"/>
  <c r="E23"/>
  <c r="F22"/>
  <c r="E22"/>
  <c r="F21"/>
  <c r="E21"/>
  <c r="F20"/>
  <c r="E20"/>
  <c r="F19"/>
  <c r="E19"/>
  <c r="F18"/>
  <c r="E18"/>
  <c r="F17"/>
  <c r="E17"/>
  <c r="F16"/>
  <c r="E16"/>
  <c r="F15"/>
  <c r="E15"/>
  <c r="C14"/>
  <c r="B14"/>
  <c r="B3"/>
  <c r="B2"/>
  <c r="B1"/>
  <c r="C24" i="20"/>
  <c r="C22"/>
  <c r="C21"/>
  <c r="G20"/>
  <c r="C20"/>
  <c r="G19"/>
  <c r="G18"/>
  <c r="C18"/>
  <c r="C17"/>
  <c r="G16"/>
  <c r="C16"/>
  <c r="G15"/>
  <c r="C15"/>
  <c r="B41" i="1"/>
  <c r="A41"/>
  <c r="E40"/>
  <c r="A40"/>
  <c r="A39"/>
  <c r="A38"/>
  <c r="A37"/>
  <c r="A35"/>
  <c r="B34"/>
  <c r="E31"/>
  <c r="F30"/>
  <c r="A30"/>
  <c r="E29"/>
  <c r="B26"/>
  <c r="B25"/>
  <c r="B24"/>
  <c r="J23"/>
  <c r="J22"/>
  <c r="J21"/>
  <c r="J20"/>
  <c r="D20"/>
  <c r="F19"/>
  <c r="E19"/>
  <c r="D19"/>
  <c r="J18"/>
  <c r="F18"/>
  <c r="E18"/>
  <c r="D18"/>
  <c r="E15"/>
  <c r="B14"/>
  <c r="B13"/>
  <c r="B6"/>
  <c r="B5"/>
  <c r="B2"/>
  <c r="E31" i="4"/>
  <c r="F16"/>
  <c r="J15"/>
  <c r="J14"/>
  <c r="J13"/>
  <c r="G8"/>
  <c r="C7"/>
  <c r="I6"/>
  <c r="I5"/>
  <c r="E3"/>
  <c r="B5" i="55" s="1"/>
  <c r="B55" i="60" s="1"/>
  <c r="C3" i="4"/>
  <c r="B4" i="55" s="1"/>
  <c r="B53" i="60" s="1"/>
  <c r="I1" i="4"/>
  <c r="B1"/>
  <c r="C53" i="10"/>
  <c r="C51"/>
  <c r="B51"/>
  <c r="H16" i="48"/>
  <c r="D16"/>
  <c r="D15"/>
  <c r="B2"/>
  <c r="F15" s="1"/>
  <c r="H15" s="1"/>
  <c r="A19" i="55"/>
  <c r="A18"/>
  <c r="A16"/>
  <c r="A15"/>
  <c r="A14"/>
  <c r="A13"/>
  <c r="A5"/>
  <c r="A4"/>
  <c r="A14" i="52"/>
  <c r="D13"/>
  <c r="A12"/>
  <c r="D10"/>
  <c r="A10"/>
  <c r="A8"/>
  <c r="D7"/>
  <c r="D6"/>
  <c r="A6"/>
  <c r="C4"/>
  <c r="B4"/>
  <c r="A4"/>
  <c r="D2"/>
  <c r="A1"/>
  <c r="B45" i="50"/>
  <c r="D43"/>
  <c r="D42"/>
  <c r="C42"/>
  <c r="B42"/>
  <c r="D41"/>
  <c r="B63" i="60" s="1"/>
  <c r="D40" i="50"/>
  <c r="D39"/>
  <c r="C39"/>
  <c r="B39"/>
  <c r="C36"/>
  <c r="B36"/>
  <c r="D35"/>
  <c r="C35"/>
  <c r="D34"/>
  <c r="C34"/>
  <c r="D33"/>
  <c r="C33"/>
  <c r="D32"/>
  <c r="D31"/>
  <c r="B31"/>
  <c r="D21"/>
  <c r="D22" s="1"/>
  <c r="B35" i="60" s="1"/>
  <c r="C21" i="50"/>
  <c r="B21"/>
  <c r="D20"/>
  <c r="D19"/>
  <c r="D18"/>
  <c r="C18"/>
  <c r="B18"/>
  <c r="C15"/>
  <c r="B15"/>
  <c r="D14"/>
  <c r="C14"/>
  <c r="D13"/>
  <c r="C13"/>
  <c r="D12"/>
  <c r="C12"/>
  <c r="D11"/>
  <c r="D10"/>
  <c r="C10"/>
  <c r="B10"/>
  <c r="C7"/>
  <c r="C6"/>
  <c r="B6"/>
  <c r="A4"/>
  <c r="A2"/>
  <c r="A18" i="54"/>
  <c r="A16"/>
  <c r="A14"/>
  <c r="A13"/>
  <c r="A10"/>
  <c r="A8"/>
  <c r="A6"/>
  <c r="A4"/>
  <c r="A3"/>
  <c r="B21" i="49"/>
  <c r="B12"/>
  <c r="B9"/>
  <c r="B68" i="60"/>
  <c r="B67"/>
  <c r="B66"/>
  <c r="B65"/>
  <c r="B64"/>
  <c r="B61"/>
  <c r="B60"/>
  <c r="B59"/>
  <c r="B58"/>
  <c r="B57"/>
  <c r="B56"/>
  <c r="B54"/>
  <c r="B52"/>
  <c r="B51"/>
  <c r="B50"/>
  <c r="B49"/>
  <c r="B48"/>
  <c r="B47"/>
  <c r="B46"/>
  <c r="B45"/>
  <c r="B44"/>
  <c r="B43"/>
  <c r="B36"/>
  <c r="B32"/>
  <c r="B31"/>
  <c r="B28"/>
  <c r="B27"/>
  <c r="B26"/>
  <c r="B25"/>
  <c r="B24"/>
  <c r="B23"/>
  <c r="B20"/>
  <c r="B18"/>
  <c r="B17"/>
  <c r="B16"/>
  <c r="B15"/>
  <c r="B14"/>
  <c r="B13"/>
  <c r="B12"/>
  <c r="B10"/>
  <c r="B9"/>
  <c r="B8"/>
  <c r="B7"/>
  <c r="B6"/>
  <c r="B5"/>
  <c r="B3"/>
  <c r="B2"/>
  <c r="F4" i="61"/>
  <c r="C20" i="57"/>
  <c r="D20"/>
  <c r="D5" i="61"/>
  <c r="G1" s="1"/>
  <c r="D20" i="9"/>
  <c r="F3" i="61"/>
  <c r="E2" i="21"/>
  <c r="D4" i="61"/>
  <c r="H23" i="31"/>
  <c r="E2" i="33"/>
  <c r="E2" i="37"/>
  <c r="F6" i="61"/>
  <c r="D19" i="9"/>
  <c r="E2" i="35"/>
  <c r="D7" i="61"/>
  <c r="C19" i="57"/>
  <c r="F5" i="61"/>
  <c r="E2" i="11"/>
  <c r="D6" i="61"/>
  <c r="E2" i="34"/>
  <c r="F7" i="61"/>
  <c r="D19" i="57"/>
  <c r="D3" i="61"/>
  <c r="E2" i="36"/>
  <c r="C31" i="11" l="1"/>
  <c r="J14" i="15"/>
  <c r="C13"/>
  <c r="Q47"/>
  <c r="C36"/>
  <c r="C58"/>
  <c r="C65" s="1"/>
  <c r="B2" i="12"/>
  <c r="B3"/>
  <c r="C46" i="11"/>
  <c r="C45" s="1"/>
  <c r="C49" s="1"/>
  <c r="C51" s="1"/>
  <c r="B2" i="34"/>
  <c r="B3" s="1"/>
  <c r="B2" i="37"/>
  <c r="B3" s="1"/>
  <c r="B2" i="35"/>
  <c r="D103" i="57"/>
  <c r="D104"/>
  <c r="B2" i="33"/>
  <c r="B3" s="1"/>
  <c r="B2" i="36"/>
  <c r="B3" s="1"/>
  <c r="D101" i="9"/>
  <c r="D102"/>
  <c r="C103" i="57"/>
  <c r="D22"/>
  <c r="G19"/>
  <c r="C104"/>
  <c r="G20"/>
  <c r="I1" i="61"/>
  <c r="B31" i="1" s="1"/>
  <c r="C7" i="62"/>
  <c r="D7"/>
  <c r="C107" i="57"/>
  <c r="H126"/>
  <c r="D110"/>
  <c r="I104"/>
  <c r="D111"/>
  <c r="I105"/>
  <c r="C108"/>
  <c r="B33" i="60"/>
  <c r="B4" i="48"/>
  <c r="D4" s="1"/>
  <c r="B5"/>
  <c r="D5" s="1"/>
  <c r="B6"/>
  <c r="D6" s="1"/>
  <c r="B7"/>
  <c r="D7" s="1"/>
  <c r="B8"/>
  <c r="D8" s="1"/>
  <c r="B9"/>
  <c r="D9" s="1"/>
  <c r="B10"/>
  <c r="D10" s="1"/>
  <c r="B11"/>
  <c r="D11" s="1"/>
  <c r="B12"/>
  <c r="D12" s="1"/>
  <c r="B13"/>
  <c r="D13" s="1"/>
  <c r="B14"/>
  <c r="D14" s="1"/>
  <c r="I14" i="62"/>
  <c r="B8" s="1"/>
  <c r="N51" i="57"/>
  <c r="B18" i="49"/>
  <c r="B4" i="60" s="1"/>
  <c r="F4" i="48"/>
  <c r="H4" s="1"/>
  <c r="F5"/>
  <c r="H5" s="1"/>
  <c r="F6"/>
  <c r="H6" s="1"/>
  <c r="F7"/>
  <c r="H7" s="1"/>
  <c r="F8"/>
  <c r="H8" s="1"/>
  <c r="F9"/>
  <c r="H9" s="1"/>
  <c r="F10"/>
  <c r="H10" s="1"/>
  <c r="F11"/>
  <c r="H11" s="1"/>
  <c r="F12"/>
  <c r="H12" s="1"/>
  <c r="F13"/>
  <c r="H13" s="1"/>
  <c r="F14"/>
  <c r="H14" s="1"/>
  <c r="J22" i="15" l="1"/>
  <c r="J13"/>
  <c r="J23" s="1"/>
  <c r="C56" i="11"/>
  <c r="C57" s="1"/>
  <c r="C52"/>
  <c r="Q68" i="15"/>
  <c r="C57"/>
  <c r="C66" s="1"/>
  <c r="J34"/>
  <c r="C37"/>
  <c r="D116" i="57"/>
  <c r="D117" s="1"/>
  <c r="I113" s="1"/>
  <c r="D130" s="1"/>
  <c r="D121"/>
  <c r="I117" s="1"/>
  <c r="I112"/>
  <c r="D129" s="1"/>
  <c r="D47"/>
  <c r="N50"/>
  <c r="C105"/>
  <c r="C106"/>
  <c r="C8" i="62"/>
  <c r="D8"/>
  <c r="M68" i="57"/>
  <c r="N68" s="1"/>
  <c r="M66"/>
  <c r="N66" s="1"/>
  <c r="M65"/>
  <c r="N65" s="1"/>
  <c r="N71" s="1"/>
  <c r="O71" s="1"/>
  <c r="M67"/>
  <c r="N67" s="1"/>
  <c r="M70"/>
  <c r="N70" s="1"/>
  <c r="M69"/>
  <c r="N69" s="1"/>
  <c r="F11" i="15"/>
  <c r="M11"/>
  <c r="J10" s="1"/>
  <c r="J5" s="1"/>
  <c r="B3" i="11" l="1"/>
  <c r="B2"/>
  <c r="C10" i="15"/>
  <c r="C5" s="1"/>
  <c r="C54"/>
  <c r="C49" s="1"/>
  <c r="J24"/>
  <c r="J16" s="1"/>
  <c r="J25" s="1"/>
  <c r="J26"/>
  <c r="J29" s="1"/>
  <c r="D61" i="57"/>
  <c r="N57" s="1"/>
  <c r="C95"/>
  <c r="C88" s="1"/>
  <c r="C87"/>
  <c r="C97" s="1"/>
  <c r="D57"/>
  <c r="N55" s="1"/>
  <c r="C80"/>
  <c r="C75" s="1"/>
  <c r="D54"/>
  <c r="C74"/>
  <c r="C66"/>
  <c r="C65" s="1"/>
  <c r="C69" s="1"/>
  <c r="C70" s="1"/>
  <c r="D56" s="1"/>
  <c r="D55"/>
  <c r="D50" s="1"/>
  <c r="N54" s="1"/>
  <c r="C98" l="1"/>
  <c r="E98" s="1"/>
  <c r="E99" s="1"/>
  <c r="C99"/>
  <c r="D60" s="1"/>
  <c r="D58" s="1"/>
  <c r="N56" s="1"/>
  <c r="C38" i="15"/>
  <c r="C30" s="1"/>
  <c r="C39" s="1"/>
  <c r="O59" i="57"/>
  <c r="C81"/>
  <c r="C67" i="15"/>
  <c r="C59" s="1"/>
  <c r="C68" s="1"/>
  <c r="C69" s="1"/>
  <c r="C72" l="1"/>
  <c r="C40"/>
  <c r="C47" s="1"/>
  <c r="Q67"/>
  <c r="Q66" s="1"/>
  <c r="J38"/>
  <c r="J39" s="1"/>
  <c r="Q59" i="57"/>
  <c r="O60"/>
  <c r="O61"/>
  <c r="C82"/>
  <c r="E82" s="1"/>
  <c r="E83" s="1"/>
  <c r="C83"/>
  <c r="O62" l="1"/>
  <c r="O63"/>
  <c r="Q54" i="15"/>
  <c r="Q60" s="1"/>
  <c r="Q45"/>
  <c r="Q51" s="1"/>
  <c r="L52"/>
  <c r="B2"/>
  <c r="Q63"/>
  <c r="Q73" s="1"/>
  <c r="C43"/>
  <c r="J41"/>
  <c r="B3"/>
  <c r="C19" i="9"/>
  <c r="C20"/>
  <c r="C102" l="1"/>
  <c r="G20"/>
  <c r="C101"/>
  <c r="G19"/>
  <c r="D22"/>
  <c r="L58" i="15"/>
  <c r="Q65"/>
  <c r="D35" i="9"/>
  <c r="D34" s="1"/>
  <c r="J42" i="15"/>
  <c r="C32" i="9" l="1"/>
  <c r="E14" i="62"/>
  <c r="D14" s="1"/>
  <c r="I121" i="9" l="1"/>
  <c r="C35"/>
  <c r="G121" s="1"/>
  <c r="G14" i="62"/>
  <c r="B6" s="1"/>
  <c r="F14"/>
  <c r="B5"/>
  <c r="C34" i="9" l="1"/>
  <c r="E121" s="1"/>
  <c r="D121" s="1"/>
  <c r="D6" i="62"/>
  <c r="C6"/>
  <c r="H121" i="9"/>
  <c r="I103"/>
  <c r="D107"/>
  <c r="C104"/>
  <c r="I4" i="52"/>
  <c r="C5" i="62"/>
  <c r="D5"/>
  <c r="G4" i="52"/>
  <c r="B41" i="60" s="1"/>
  <c r="F121" i="9"/>
  <c r="E4" i="52" l="1"/>
  <c r="B38" i="60" s="1"/>
  <c r="F4" i="52"/>
  <c r="B40" i="60" s="1"/>
  <c r="F122" i="9"/>
  <c r="F5" i="52" s="1"/>
  <c r="B42" i="60" s="1"/>
  <c r="D122" i="9"/>
  <c r="D5" i="52" s="1"/>
  <c r="B39" i="60" s="1"/>
  <c r="D4" i="52"/>
  <c r="B37" i="60" s="1"/>
  <c r="H122" i="9"/>
  <c r="H5" i="52" s="1"/>
  <c r="C103" i="9"/>
  <c r="D106"/>
  <c r="D112" s="1"/>
  <c r="I102"/>
  <c r="H4" i="52"/>
  <c r="D30" i="50"/>
  <c r="D9"/>
  <c r="B21" i="60" s="1"/>
  <c r="D113" i="9" l="1"/>
  <c r="D117"/>
  <c r="I110"/>
  <c r="D28" i="50"/>
  <c r="D29" s="1"/>
  <c r="D7"/>
  <c r="D45" i="9"/>
  <c r="N48"/>
  <c r="B19" i="60" l="1"/>
  <c r="D8" i="50"/>
  <c r="B22" i="60" s="1"/>
  <c r="D38" i="50"/>
  <c r="B62" i="60" s="1"/>
  <c r="I111" i="9"/>
  <c r="C93"/>
  <c r="C86" s="1"/>
  <c r="C85"/>
  <c r="C78"/>
  <c r="C73" s="1"/>
  <c r="D52"/>
  <c r="C72"/>
  <c r="C79" s="1"/>
  <c r="C64"/>
  <c r="C63" s="1"/>
  <c r="C67" s="1"/>
  <c r="C68" s="1"/>
  <c r="D54" s="1"/>
  <c r="D53"/>
  <c r="D48" s="1"/>
  <c r="N52" s="1"/>
  <c r="O57" s="1"/>
  <c r="I115"/>
  <c r="D23" i="50" s="1"/>
  <c r="B34" i="60" s="1"/>
  <c r="D44" i="50"/>
  <c r="D15"/>
  <c r="D125" i="9"/>
  <c r="D8" i="52" s="1"/>
  <c r="D36" i="50"/>
  <c r="D37" s="1"/>
  <c r="C95" i="9" l="1"/>
  <c r="C96" s="1"/>
  <c r="D126"/>
  <c r="D9" i="52" s="1"/>
  <c r="D17" i="50"/>
  <c r="C80" i="9"/>
  <c r="E80" s="1"/>
  <c r="E81" s="1"/>
  <c r="C81"/>
  <c r="D16" i="50"/>
  <c r="B30" i="60" s="1"/>
  <c r="B29"/>
  <c r="O59" i="9"/>
  <c r="Q57"/>
  <c r="O58"/>
  <c r="E96" l="1"/>
  <c r="E97" s="1"/>
  <c r="C97"/>
  <c r="D58" s="1"/>
  <c r="O60"/>
  <c r="O6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<sst xmlns="http://schemas.openxmlformats.org/spreadsheetml/2006/main" count="7028" uniqueCount="2485">
  <si>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</si>
  <si>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</si>
  <si>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</si>
  <si>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</si>
  <si>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</si>
  <si>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</si>
  <si>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</si>
  <si>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</si>
  <si>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</si>
  <si>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</si>
  <si>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</si>
  <si>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</si>
  <si>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</si>
  <si>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</si>
  <si>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</si>
  <si>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</si>
  <si>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</si>
  <si>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</si>
  <si>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</si>
  <si>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</si>
  <si>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</si>
  <si>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</si>
  <si>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</si>
  <si>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</si>
  <si>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</si>
  <si>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</si>
  <si>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</si>
  <si>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</si>
  <si>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</si>
  <si>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</si>
  <si>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</si>
  <si>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</si>
  <si>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</si>
  <si>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</si>
  <si>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</si>
  <si>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</si>
  <si>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</si>
  <si>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</si>
  <si>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</si>
  <si>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</si>
  <si>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</si>
  <si>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</si>
  <si>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</si>
  <si>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</si>
  <si>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</si>
  <si>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</si>
  <si>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</si>
  <si>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</si>
  <si>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</si>
  <si>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</si>
  <si>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</si>
  <si>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</si>
  <si>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</si>
  <si>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</si>
  <si>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</si>
  <si>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</si>
  <si>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</si>
  <si>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</si>
  <si>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</si>
  <si>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</si>
  <si>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</si>
  <si>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</si>
  <si>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</si>
  <si>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</si>
  <si>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</si>
  <si>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</si>
  <si>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</si>
  <si>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</si>
  <si>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</si>
  <si>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</si>
  <si>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</si>
  <si>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</si>
  <si>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</si>
  <si>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</si>
  <si>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</si>
  <si>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</si>
  <si>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</si>
  <si>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</si>
  <si>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</si>
  <si>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</si>
  <si>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</si>
  <si>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</si>
  <si>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</si>
  <si>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</si>
  <si>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</si>
  <si>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</si>
  <si>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</si>
  <si>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</si>
  <si>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</si>
  <si>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</si>
  <si>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</si>
  <si>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</si>
  <si>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</si>
  <si>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</si>
  <si>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</si>
  <si>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22992645039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</si>
  <si>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</si>
  <si>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</si>
  <si>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</si>
  <si>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</si>
  <si>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</si>
  <si>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</si>
  <si>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</si>
  <si>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</si>
  <si>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</si>
  <si>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</si>
  <si>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</si>
  <si>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</si>
  <si>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</si>
  <si>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</si>
  <si>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</si>
  <si>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22992645039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</si>
  <si>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</si>
  <si>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</si>
  <si>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</si>
  <si>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</si>
  <si>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</si>
  <si>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</si>
  <si>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</si>
  <si>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</si>
  <si>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</si>
  <si>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</si>
  <si>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</si>
  <si>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</si>
  <si>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</si>
  <si>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22992645039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</si>
  <si>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</si>
  <si>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</si>
  <si>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</si>
  <si>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</si>
  <si>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</si>
  <si>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</si>
  <si>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</si>
  <si>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</si>
  <si>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</si>
  <si>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</si>
  <si>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</si>
  <si>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</si>
  <si>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</si>
  <si>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</si>
  <si>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</si>
  <si>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</si>
  <si>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</si>
  <si>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</si>
  <si>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</si>
  <si>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</si>
  <si>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</si>
  <si>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</si>
  <si>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</si>
  <si>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</si>
  <si>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</si>
  <si>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</si>
  <si>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</si>
  <si>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</si>
  <si>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</si>
  <si>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</si>
  <si>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</si>
  <si>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</si>
  <si>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</si>
  <si>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</si>
  <si>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</si>
  <si>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</si>
  <si>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</si>
  <si>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</si>
  <si>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</si>
  <si>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</si>
  <si>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</si>
  <si>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</si>
  <si>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</si>
  <si>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</si>
  <si>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</si>
  <si>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</si>
  <si>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</si>
  <si>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</si>
  <si>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</si>
  <si>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</si>
  <si>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</si>
  <si>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</si>
  <si>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</si>
  <si>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</si>
  <si>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</si>
  <si>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</si>
  <si>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</si>
  <si>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</si>
  <si>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</si>
  <si>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</si>
  <si>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</si>
  <si>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</si>
  <si>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</si>
  <si>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</si>
  <si>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</si>
  <si>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</si>
  <si>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</si>
  <si>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</si>
  <si>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</si>
  <si>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</si>
  <si>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</si>
  <si>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</si>
  <si>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</si>
  <si>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</si>
  <si>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</si>
  <si>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</si>
  <si>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</si>
  <si>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</si>
  <si>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</si>
  <si>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</si>
  <si>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</si>
  <si>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</si>
  <si>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</si>
  <si>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</si>
  <si>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</si>
  <si>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</si>
  <si>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</si>
  <si>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</si>
  <si>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</si>
  <si>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</si>
  <si>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</si>
  <si>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</si>
  <si>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</si>
  <si>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</si>
  <si>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</si>
  <si>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</si>
  <si>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</si>
  <si>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</si>
  <si>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</si>
  <si>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</si>
  <si>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</si>
  <si>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</si>
  <si>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</si>
  <si>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</si>
  <si>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</si>
  <si>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</si>
  <si>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</si>
  <si>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</si>
  <si>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</si>
  <si>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</si>
  <si>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</si>
  <si>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</si>
  <si>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</si>
  <si>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</si>
  <si>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</si>
  <si>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</si>
  <si>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</si>
  <si>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</si>
  <si>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</si>
  <si>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</si>
  <si>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</si>
  <si>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</si>
  <si>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</si>
  <si>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</si>
  <si>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</si>
  <si>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</si>
  <si>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</si>
  <si>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</si>
  <si>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</si>
  <si>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</si>
  <si>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</si>
  <si>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</si>
  <si>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</si>
  <si>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</si>
  <si>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</si>
  <si>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</si>
  <si>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</si>
  <si>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</si>
  <si>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</si>
  <si>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</si>
  <si>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</si>
  <si>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</si>
  <si>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</si>
  <si>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</si>
  <si>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</si>
  <si>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</si>
  <si>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</si>
  <si>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</si>
  <si>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</si>
  <si>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</si>
  <si>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</si>
  <si>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</si>
  <si>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</si>
  <si>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</si>
  <si>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</si>
  <si>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</si>
  <si>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</si>
  <si>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</si>
  <si>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</si>
  <si>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</si>
  <si>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</si>
  <si>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</si>
  <si>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</si>
  <si>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</si>
  <si>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</si>
  <si>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</si>
  <si>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</si>
  <si>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</si>
  <si>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</si>
  <si>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</si>
  <si>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</si>
  <si>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</si>
  <si>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</si>
  <si>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</si>
  <si>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</si>
  <si>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</si>
  <si>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</si>
  <si>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</si>
  <si>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</si>
  <si>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</si>
  <si>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</si>
  <si>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</si>
  <si>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</si>
  <si>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</si>
  <si>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</si>
  <si>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</si>
  <si>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</si>
  <si>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</si>
  <si>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</si>
  <si>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</si>
  <si>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</si>
  <si>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</si>
  <si>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</si>
  <si>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</si>
  <si>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</si>
  <si>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</si>
  <si>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</si>
  <si>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</si>
  <si>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</si>
  <si>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</si>
  <si>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</si>
  <si>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</si>
  <si>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</si>
  <si>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</si>
  <si>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</si>
  <si>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</si>
  <si>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</si>
  <si>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</si>
  <si>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</si>
  <si>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</si>
  <si>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</si>
  <si>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</si>
  <si>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</si>
  <si>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</si>
  <si>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</si>
  <si>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</si>
  <si>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</si>
  <si>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</si>
  <si>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</si>
  <si>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</si>
  <si>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</si>
  <si>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</si>
  <si>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</si>
  <si>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</si>
  <si>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</si>
  <si>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</si>
  <si>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</si>
  <si>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</si>
  <si>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</si>
  <si>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</si>
  <si>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</si>
  <si>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</si>
  <si>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</si>
  <si>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</si>
  <si>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</si>
  <si>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</si>
  <si>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</si>
  <si>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</si>
  <si>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</si>
  <si>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</si>
  <si>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</si>
  <si>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</si>
  <si>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</si>
  <si>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</si>
  <si>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</si>
  <si>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</si>
  <si>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</si>
  <si>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</si>
  <si>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</si>
  <si>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</si>
  <si>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</si>
  <si>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</si>
  <si>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</si>
  <si>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</si>
  <si>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</si>
  <si>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</si>
  <si>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</si>
  <si>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</si>
  <si>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</si>
  <si>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</si>
  <si>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</si>
  <si>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</si>
  <si>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</si>
  <si>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</si>
  <si>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</si>
  <si>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</si>
  <si>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</si>
  <si>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</si>
  <si>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</si>
  <si>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</si>
  <si>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</si>
  <si>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</si>
  <si>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</si>
  <si>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</si>
  <si>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</si>
  <si>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</si>
  <si>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</si>
  <si>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</si>
  <si>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</si>
  <si>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</si>
  <si>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</si>
  <si>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</si>
  <si>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</si>
  <si>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</si>
  <si>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</si>
  <si>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</si>
  <si>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</si>
  <si>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</si>
  <si>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</si>
  <si>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</si>
  <si>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</si>
  <si>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</si>
  <si>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</si>
  <si>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</si>
  <si>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</si>
  <si>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</si>
  <si>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</si>
  <si>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</si>
  <si>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</si>
  <si>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</si>
  <si>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</si>
  <si>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</si>
  <si>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</si>
  <si>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</si>
  <si>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</si>
  <si>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</si>
  <si>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</si>
  <si>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</si>
  <si>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</si>
  <si>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</si>
  <si>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</si>
  <si>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</si>
  <si>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</si>
  <si>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</si>
  <si>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</si>
  <si>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</si>
  <si>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</si>
  <si>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</si>
  <si>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</si>
  <si>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</si>
  <si>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</si>
  <si>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</si>
  <si>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</si>
  <si>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</si>
  <si>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</si>
  <si>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</si>
  <si>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</si>
  <si>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</si>
  <si>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</si>
  <si>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</si>
  <si>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</si>
  <si>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</si>
  <si>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</si>
  <si>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</si>
  <si>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</si>
  <si>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</si>
  <si>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</si>
  <si>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</si>
  <si>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</si>
  <si>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</si>
  <si>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</si>
  <si>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</si>
  <si>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</si>
  <si>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</si>
  <si>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</si>
  <si>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</si>
  <si>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</si>
  <si>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</si>
  <si>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</si>
  <si>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</si>
  <si>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</si>
  <si>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</si>
  <si>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</si>
  <si>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</si>
  <si>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</si>
  <si>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</si>
  <si>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</si>
  <si>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</si>
  <si>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</si>
  <si>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</si>
  <si>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</si>
  <si>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</si>
  <si>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</si>
  <si>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</si>
  <si>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</si>
  <si>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</si>
  <si>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</si>
  <si>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</si>
  <si>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</si>
  <si>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</si>
  <si>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</si>
  <si>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</si>
  <si>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</si>
  <si>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</si>
  <si>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</si>
  <si>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</si>
  <si>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</si>
  <si>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</si>
  <si>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</si>
  <si>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</si>
  <si>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</si>
  <si>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</si>
  <si>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</si>
  <si>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</si>
  <si>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</si>
  <si>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</si>
  <si>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</si>
  <si>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</si>
  <si>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</si>
  <si>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</si>
  <si>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</si>
  <si>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</si>
  <si>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</si>
  <si>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</si>
  <si>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</si>
  <si>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</si>
  <si>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</si>
  <si>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</si>
  <si>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</si>
  <si>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</si>
  <si>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</si>
  <si>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</si>
  <si>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</si>
  <si>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</si>
  <si>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</si>
  <si>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</si>
  <si>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</si>
  <si>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</si>
  <si>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</si>
  <si>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</si>
  <si>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</si>
  <si>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</si>
  <si>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</si>
  <si>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</si>
  <si>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</si>
  <si>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</si>
  <si>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</si>
  <si>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</si>
  <si>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</si>
  <si>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</si>
  <si>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</si>
  <si>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</si>
  <si>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</si>
  <si>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</si>
  <si>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</si>
  <si>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</si>
  <si>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</si>
  <si>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</si>
  <si>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</si>
  <si>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</si>
  <si>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</si>
  <si>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</si>
  <si>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</si>
  <si>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</si>
  <si>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</si>
  <si>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</si>
  <si>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</si>
  <si>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</si>
  <si>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</si>
  <si>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</si>
  <si>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</si>
  <si>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</si>
  <si>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</si>
  <si>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</si>
  <si>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</si>
  <si>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</si>
  <si>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</si>
  <si>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</si>
  <si>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</si>
  <si>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</si>
  <si>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</si>
  <si>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</si>
  <si>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</si>
  <si>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</si>
  <si>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</si>
  <si>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</si>
  <si>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</si>
  <si>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</si>
  <si>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</si>
  <si>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</si>
  <si>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</si>
  <si>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</si>
  <si>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</si>
  <si>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</si>
  <si>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</si>
  <si>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</si>
  <si>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</si>
  <si>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</si>
  <si>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</si>
  <si>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</si>
  <si>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</si>
  <si>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</si>
  <si>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</si>
  <si>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</si>
  <si>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</si>
  <si>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</si>
  <si>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</si>
  <si>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</si>
  <si>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</si>
  <si>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</si>
  <si>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</si>
  <si>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</si>
  <si>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</si>
  <si>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</si>
  <si>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</si>
  <si>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</si>
  <si>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</si>
  <si>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</si>
  <si>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</si>
  <si>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</si>
  <si>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</si>
  <si>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</si>
  <si>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</si>
  <si>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</si>
  <si>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</si>
  <si>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</si>
  <si>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</si>
  <si>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</si>
  <si>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</si>
  <si>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</si>
  <si>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</si>
  <si>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</si>
  <si>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</si>
  <si>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</si>
  <si>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</si>
  <si>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</si>
  <si>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</si>
  <si>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</si>
  <si>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</si>
  <si>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</si>
  <si>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</si>
  <si>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</si>
  <si>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</si>
  <si>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</si>
  <si>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</si>
  <si>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</si>
  <si>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</si>
  <si>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</si>
  <si>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</si>
  <si>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</si>
  <si>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</si>
  <si>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</si>
  <si>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</si>
  <si>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</si>
  <si>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</si>
  <si>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</si>
  <si>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</si>
  <si>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</si>
  <si>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</si>
  <si>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</si>
  <si>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</si>
  <si>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</si>
  <si>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</si>
  <si>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</si>
  <si>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</si>
  <si>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</si>
  <si>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</si>
  <si>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</si>
  <si>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</si>
  <si>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</si>
  <si>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</si>
  <si>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</si>
  <si>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</si>
  <si>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</si>
  <si>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</si>
  <si>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</si>
  <si>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</si>
  <si>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</si>
  <si>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</si>
  <si>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</si>
  <si>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</si>
  <si>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</si>
  <si>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</si>
  <si>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</si>
  <si>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</si>
  <si>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</si>
  <si>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</si>
  <si>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</si>
  <si>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</si>
  <si>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</si>
  <si>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</si>
  <si>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</si>
  <si>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</si>
  <si>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</si>
  <si>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</si>
  <si>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</si>
  <si>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</si>
  <si>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</si>
  <si>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</si>
  <si>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</si>
  <si>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</si>
  <si>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</si>
  <si>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</si>
  <si>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</si>
  <si>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</si>
  <si>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</si>
  <si>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</si>
  <si>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</si>
  <si>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</si>
  <si>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</si>
  <si>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</si>
  <si>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</si>
  <si>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</si>
  <si>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</si>
  <si>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</si>
  <si>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</si>
  <si>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</si>
  <si>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</si>
  <si>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</si>
  <si>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</si>
  <si>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</si>
  <si>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</si>
  <si>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</si>
  <si>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</si>
  <si>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</si>
  <si>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</si>
  <si>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</si>
  <si>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</si>
  <si>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</si>
  <si>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</si>
  <si>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</si>
  <si>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</si>
  <si>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</si>
  <si>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</si>
  <si>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</si>
  <si>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</si>
  <si>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</si>
  <si>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</si>
  <si>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</si>
  <si>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</si>
  <si>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</si>
  <si>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</si>
  <si>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</si>
  <si>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</si>
  <si>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</si>
  <si>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</si>
  <si>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</si>
  <si>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</si>
  <si>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</si>
  <si>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</si>
  <si>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</si>
  <si>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</si>
  <si>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</si>
  <si>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</si>
  <si>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</si>
  <si>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</si>
  <si>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</si>
  <si>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</si>
  <si>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</si>
  <si>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</si>
  <si>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</si>
  <si>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</si>
  <si>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</si>
  <si>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</si>
  <si>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</si>
  <si>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</si>
  <si>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</si>
  <si>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</si>
  <si>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</si>
  <si>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</si>
  <si>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</si>
  <si>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</si>
  <si>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</si>
  <si>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</si>
  <si>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</si>
  <si>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</si>
  <si>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</si>
  <si>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</si>
  <si>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</si>
  <si>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</si>
  <si>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</si>
  <si>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</si>
  <si>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</si>
  <si>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</si>
  <si>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</si>
  <si>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</si>
  <si>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</si>
  <si>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</si>
  <si>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</si>
  <si>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</si>
  <si>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</si>
  <si>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</si>
  <si>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</si>
  <si>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</si>
  <si>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</si>
  <si>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</si>
  <si>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</si>
  <si>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</si>
  <si>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</si>
  <si>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</si>
  <si>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</si>
  <si>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</si>
  <si>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</si>
  <si>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</si>
  <si>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</si>
  <si>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</si>
  <si>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</si>
  <si>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22992645039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</si>
  <si>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</si>
  <si>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</si>
  <si>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</si>
  <si>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</si>
  <si>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22992645039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</si>
  <si>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</si>
  <si>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</si>
  <si>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</si>
  <si>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</si>
  <si>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</si>
  <si>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</si>
  <si>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</si>
  <si>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</si>
  <si>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</si>
  <si>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</si>
  <si>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</si>
  <si>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</si>
  <si>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</si>
  <si>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</si>
  <si>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</si>
  <si>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</si>
  <si>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</si>
  <si>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</si>
  <si>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</si>
  <si>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</si>
  <si>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</si>
  <si>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</si>
  <si>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</si>
  <si>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</si>
  <si>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</si>
  <si>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</si>
  <si>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</si>
  <si>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</si>
  <si>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</si>
  <si>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</si>
  <si>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</si>
  <si>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</si>
  <si>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</si>
  <si>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</si>
  <si>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</si>
  <si>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</si>
  <si>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</si>
  <si>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</si>
  <si>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</si>
  <si>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</si>
  <si>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</si>
  <si>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</si>
  <si>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</si>
  <si>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</si>
  <si>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</si>
  <si>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</si>
  <si>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</si>
  <si>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</si>
  <si>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</si>
  <si>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</si>
  <si>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</si>
  <si>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</si>
  <si>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</si>
  <si>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</si>
  <si>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</si>
  <si>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</si>
  <si>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</si>
  <si>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</si>
  <si>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</si>
  <si>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</si>
  <si>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</si>
  <si>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</si>
  <si>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</si>
  <si>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</si>
  <si>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</si>
  <si>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</si>
  <si>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</si>
  <si>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</si>
  <si>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</si>
  <si>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</si>
  <si>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</si>
  <si>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</si>
  <si>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模式口南里</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</si>
  <si>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</si>
  <si>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</si>
  <si>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</si>
  <si>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</si>
  <si>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</si>
  <si>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</si>
  <si>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</si>
  <si>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</si>
  <si>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</si>
  <si>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</si>
  <si>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</si>
  <si>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</si>
  <si>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</si>
  <si>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</si>
  <si>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</si>
  <si>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</si>
  <si>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</si>
  <si>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</si>
  <si>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</si>
  <si>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</si>
  <si>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</si>
  <si>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</si>
  <si>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</si>
  <si>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</si>
  <si>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t>
  </si>
  <si>
    <t>楼层</t>
  </si>
  <si>
    <t>4/6</t>
  </si>
  <si>
    <t>5/6</t>
  </si>
  <si>
    <t>3/6</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</si>
  <si>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</si>
  <si>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</si>
  <si>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</si>
  <si>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</si>
  <si>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</si>
  <si>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</si>
  <si>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</si>
  <si>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</si>
  <si>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</si>
  <si>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</si>
  <si>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</si>
  <si>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</si>
  <si>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</si>
  <si>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</si>
  <si>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</si>
  <si>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</si>
  <si>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</si>
  <si>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</si>
  <si>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</si>
  <si>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</si>
  <si>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</si>
  <si>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</si>
  <si>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</si>
  <si>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</si>
  <si>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</si>
  <si>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</si>
  <si>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</si>
  <si>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</si>
  <si>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</si>
  <si>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</si>
  <si>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</si>
  <si>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</si>
  <si>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</si>
  <si>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</si>
  <si>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</si>
  <si>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</si>
  <si>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</si>
  <si>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</si>
  <si>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</si>
  <si>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</si>
  <si>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</si>
  <si>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</si>
  <si>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</si>
  <si>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</si>
  <si>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</si>
  <si>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</si>
  <si>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</si>
  <si>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</si>
  <si>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</si>
  <si>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</si>
  <si>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</si>
  <si>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</si>
  <si>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</si>
  <si>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</si>
  <si>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</si>
  <si>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</si>
  <si>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</si>
  <si>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</si>
  <si>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</si>
  <si>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</si>
  <si>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</si>
  <si>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</si>
  <si>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</si>
  <si>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</si>
  <si>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</si>
  <si>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</si>
  <si>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</si>
  <si>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</si>
  <si>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</si>
  <si>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</si>
  <si>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</si>
  <si>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</si>
  <si>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</si>
  <si>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</si>
  <si>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</si>
  <si>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</si>
  <si>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</si>
  <si>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</si>
  <si>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</si>
  <si>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</si>
  <si>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</si>
  <si>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</si>
  <si>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</si>
  <si>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</si>
  <si>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</si>
  <si>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</si>
  <si>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</si>
  <si>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</si>
  <si>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</si>
  <si>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</si>
  <si>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</si>
  <si>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</si>
  <si>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</si>
  <si>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</si>
  <si>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</si>
  <si>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</si>
  <si>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</si>
  <si>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</si>
  <si>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</si>
  <si>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</si>
  <si>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</si>
  <si>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</si>
  <si>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</si>
  <si>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</si>
  <si>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</si>
  <si>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</si>
  <si>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</si>
  <si>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</si>
  <si>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</si>
  <si>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</si>
  <si>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</si>
  <si>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</si>
  <si>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</si>
  <si>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</si>
  <si>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</si>
  <si>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</si>
  <si>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</si>
  <si>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</si>
  <si>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</si>
  <si>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</si>
  <si>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</si>
  <si>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</si>
  <si>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</si>
  <si>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</si>
  <si>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</si>
  <si>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</si>
  <si>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</si>
  <si>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</si>
  <si>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</si>
  <si>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</si>
  <si>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</si>
  <si>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</si>
  <si>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</si>
  <si>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</si>
  <si>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</si>
  <si>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</si>
  <si>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</si>
  <si>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</si>
  <si>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</si>
  <si>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</si>
  <si>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</si>
  <si>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</si>
  <si>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</si>
  <si>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</si>
  <si>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</si>
  <si>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</si>
  <si>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</si>
  <si>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</si>
  <si>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</si>
  <si>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</si>
  <si>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</si>
  <si>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</si>
  <si>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</si>
  <si>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</si>
  <si>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</si>
  <si>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</si>
  <si>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</si>
  <si>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</si>
  <si>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</si>
  <si>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</si>
  <si>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</si>
  <si>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</si>
  <si>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</si>
  <si>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</si>
  <si>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</si>
  <si>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</si>
  <si>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</si>
  <si>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</si>
  <si>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</si>
  <si>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</si>
  <si>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</si>
  <si>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</si>
  <si>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</si>
  <si>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</si>
  <si>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</si>
  <si>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</si>
  <si>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</si>
  <si>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</si>
  <si>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</si>
  <si>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</si>
  <si>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</si>
  <si>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</si>
  <si>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</si>
  <si>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</si>
  <si>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</si>
  <si>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</si>
  <si>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</si>
  <si>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</si>
  <si>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</si>
  <si>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</si>
  <si>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</si>
  <si>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</si>
  <si>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</si>
  <si>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</si>
  <si>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</si>
  <si>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</si>
  <si>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</si>
  <si>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</si>
  <si>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</si>
  <si>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</si>
  <si>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</si>
  <si>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</si>
  <si>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</si>
  <si>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</si>
  <si>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</si>
  <si>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</si>
  <si>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</si>
  <si>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</si>
  <si>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</si>
  <si>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</si>
  <si>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</si>
  <si>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</si>
  <si>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</si>
  <si>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</si>
  <si>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</si>
  <si>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</si>
  <si>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</si>
  <si>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</si>
  <si>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</si>
  <si>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</si>
  <si>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</si>
  <si>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</si>
  <si>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</si>
  <si>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</si>
  <si>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</si>
  <si>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</si>
  <si>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</si>
  <si>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</si>
  <si>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</si>
  <si>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</si>
  <si>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</si>
  <si>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</si>
  <si>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</si>
  <si>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</si>
  <si>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</si>
  <si>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</si>
  <si>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</si>
  <si>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</si>
  <si>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</si>
  <si>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</si>
  <si>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</si>
  <si>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</si>
  <si>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</si>
  <si>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</si>
  <si>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</si>
  <si>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</si>
  <si>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</si>
  <si>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</si>
  <si>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</si>
  <si>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</si>
  <si>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</si>
  <si>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</si>
  <si>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</si>
  <si>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</si>
  <si>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</si>
  <si>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</si>
  <si>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</si>
  <si>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</si>
  <si>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</si>
  <si>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</si>
  <si>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</si>
  <si>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</si>
  <si>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</si>
  <si>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</si>
  <si>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</si>
  <si>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</si>
  <si>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</si>
  <si>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</si>
  <si>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</si>
  <si>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</si>
  <si>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</si>
  <si>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</si>
  <si>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</si>
  <si>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</si>
  <si>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</si>
  <si>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</si>
  <si>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</si>
  <si>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</si>
  <si>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</si>
  <si>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</si>
  <si>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</si>
  <si>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</si>
  <si>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</si>
  <si>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</si>
  <si>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面积</t>
  </si>
  <si>
    <t>朝向</t>
  </si>
  <si>
    <t>装修</t>
  </si>
  <si>
    <t>结构</t>
  </si>
  <si>
    <t>备注</t>
  </si>
  <si>
    <t>成交时间</t>
  </si>
  <si>
    <t>普装</t>
  </si>
  <si>
    <t>简装</t>
  </si>
  <si>
    <t>花园</t>
  </si>
  <si>
    <t>南北东</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</si>
  <si>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</si>
  <si>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</si>
  <si>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</si>
  <si>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</si>
  <si>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</si>
  <si>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</si>
  <si>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</si>
  <si>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</si>
  <si>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</si>
  <si>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</si>
  <si>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</si>
  <si>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</si>
  <si>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</si>
  <si>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</si>
  <si>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</si>
  <si>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</si>
  <si>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</si>
  <si>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</si>
  <si>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</si>
  <si>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</si>
  <si>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</si>
  <si>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</si>
  <si>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</si>
  <si>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</si>
  <si>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</si>
  <si>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</si>
  <si>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</si>
  <si>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</si>
  <si>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</si>
  <si>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</si>
  <si>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</si>
  <si>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</si>
  <si>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</si>
  <si>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</si>
  <si>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</si>
  <si>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</si>
  <si>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</si>
  <si>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</si>
  <si>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</si>
  <si>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</si>
  <si>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</si>
  <si>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</si>
  <si>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</si>
  <si>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</si>
  <si>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</si>
  <si>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</si>
  <si>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</si>
  <si>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</si>
  <si>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</si>
  <si>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</si>
  <si>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</si>
  <si>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</si>
  <si>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</si>
  <si>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</si>
  <si>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</si>
  <si>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</si>
  <si>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</si>
  <si>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</si>
  <si>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</si>
  <si>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</si>
  <si>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</si>
  <si>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</si>
  <si>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</si>
  <si>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</si>
  <si>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</si>
  <si>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</si>
  <si>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</si>
  <si>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</si>
  <si>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</si>
  <si>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</si>
  <si>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</si>
  <si>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</si>
  <si>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</si>
  <si>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</si>
  <si>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</si>
  <si>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</si>
  <si>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</si>
  <si>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</si>
  <si>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</si>
  <si>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</si>
  <si>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</si>
  <si>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</si>
  <si>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</si>
  <si>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</si>
  <si>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</si>
  <si>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</si>
  <si>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</si>
  <si>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</si>
  <si>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</si>
  <si>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</si>
  <si>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</si>
  <si>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</si>
  <si>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</si>
  <si>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</si>
  <si>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</si>
  <si>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</si>
  <si>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</si>
  <si>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</si>
  <si>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</si>
  <si>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</si>
  <si>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</si>
  <si>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</si>
  <si>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</si>
  <si>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</si>
  <si>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</si>
  <si>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</si>
  <si>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</si>
  <si>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</si>
  <si>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</si>
  <si>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</si>
  <si>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</si>
  <si>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</si>
  <si>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</si>
  <si>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</si>
  <si>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</si>
  <si>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</si>
  <si>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</si>
  <si>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</si>
  <si>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</si>
  <si>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</si>
  <si>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</si>
  <si>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</si>
  <si>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</si>
  <si>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</si>
  <si>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</si>
  <si>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</si>
  <si>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</si>
  <si>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</si>
  <si>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</si>
  <si>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</si>
  <si>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</si>
  <si>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</si>
  <si>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</si>
  <si>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</si>
  <si>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</si>
  <si>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</si>
  <si>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</si>
  <si>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</si>
  <si>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</si>
  <si>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</si>
  <si>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</si>
  <si>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</si>
  <si>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</si>
  <si>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</si>
  <si>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</si>
  <si>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</si>
  <si>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</si>
  <si>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</si>
  <si>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</si>
  <si>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</si>
  <si>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</si>
  <si>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</si>
  <si>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</si>
  <si>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</si>
  <si>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</si>
  <si>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</si>
  <si>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</si>
  <si>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</si>
  <si>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</si>
  <si>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</si>
  <si>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</si>
  <si>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</si>
  <si>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</si>
  <si>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</si>
  <si>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</si>
  <si>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</si>
  <si>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</si>
  <si>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</si>
  <si>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</si>
  <si>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</si>
  <si>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</si>
  <si>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</si>
  <si>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</si>
  <si>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</si>
  <si>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</si>
  <si>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</si>
  <si>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</si>
  <si>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</si>
  <si>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</si>
  <si>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</si>
  <si>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</si>
  <si>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</si>
  <si>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</si>
  <si>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</si>
  <si>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</si>
  <si>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</si>
  <si>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</si>
  <si>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</si>
  <si>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</si>
  <si>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</si>
  <si>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</si>
  <si>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</si>
  <si>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</si>
  <si>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</si>
  <si>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</si>
  <si>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</si>
  <si>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</si>
  <si>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</si>
  <si>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</si>
  <si>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</si>
  <si>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</si>
  <si>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</si>
  <si>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</si>
  <si>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</si>
  <si>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</si>
  <si>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</si>
  <si>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</si>
  <si>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</si>
  <si>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</si>
  <si>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</si>
  <si>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</si>
  <si>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</si>
  <si>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</si>
  <si>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</si>
  <si>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</si>
  <si>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</si>
  <si>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</si>
  <si>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</si>
  <si>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</si>
  <si>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</si>
  <si>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</si>
  <si>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</si>
  <si>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</si>
  <si>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</si>
  <si>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</si>
  <si>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</si>
  <si>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</si>
  <si>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</si>
  <si>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</si>
  <si>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</si>
  <si>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</si>
  <si>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</si>
  <si>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</si>
  <si>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</si>
  <si>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</si>
  <si>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</si>
  <si>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</si>
  <si>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</si>
  <si>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</si>
  <si>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</si>
  <si>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</si>
  <si>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</si>
  <si>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</si>
  <si>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</si>
  <si>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</si>
  <si>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</si>
  <si>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</si>
  <si>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</si>
  <si>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</si>
  <si>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</si>
  <si>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</si>
  <si>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</si>
  <si>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</si>
  <si>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</si>
  <si>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</si>
  <si>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</si>
  <si>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</si>
  <si>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</si>
  <si>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</si>
  <si>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</si>
  <si>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</si>
  <si>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</si>
  <si>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</si>
  <si>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</si>
  <si>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</si>
  <si>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</si>
  <si>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</si>
  <si>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</si>
  <si>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</si>
  <si>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</si>
  <si>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</si>
  <si>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</si>
  <si>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</si>
  <si>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</si>
  <si>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</si>
  <si>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</si>
  <si>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</si>
  <si>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</si>
  <si>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</si>
  <si>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</si>
  <si>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</si>
  <si>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</si>
  <si>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</si>
  <si>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</si>
  <si>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</si>
  <si>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</si>
  <si>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</si>
  <si>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</si>
  <si>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</si>
  <si>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</si>
  <si>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</si>
  <si>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</si>
  <si>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</si>
  <si>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</si>
  <si>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</si>
  <si>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</si>
  <si>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</si>
  <si>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</si>
  <si>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</si>
  <si>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</si>
  <si>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</si>
  <si>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</si>
  <si>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</si>
  <si>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</si>
  <si>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</si>
  <si>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</si>
  <si>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</si>
  <si>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</si>
  <si>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</si>
  <si>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</si>
  <si>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</si>
  <si>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</si>
  <si>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</si>
  <si>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</si>
  <si>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</si>
  <si>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</si>
  <si>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</si>
  <si>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</si>
  <si>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</si>
  <si>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</si>
  <si>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</si>
  <si>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</si>
  <si>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</si>
  <si>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</si>
  <si>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</si>
  <si>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</si>
  <si>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</si>
  <si>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</si>
  <si>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</si>
  <si>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</si>
  <si>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</si>
  <si>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</si>
  <si>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</si>
  <si>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</si>
  <si>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</si>
  <si>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</si>
  <si>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</si>
  <si>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</si>
  <si>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</si>
  <si>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</si>
  <si>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</si>
  <si>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</si>
  <si>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</si>
  <si>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</si>
  <si>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</si>
  <si>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</si>
  <si>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</si>
  <si>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</si>
  <si>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</si>
  <si>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</si>
  <si>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</si>
  <si>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</si>
  <si>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</si>
  <si>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</si>
  <si>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</si>
  <si>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</si>
  <si>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</si>
  <si>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</si>
  <si>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</si>
  <si>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</si>
  <si>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</si>
  <si>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</si>
  <si>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</si>
  <si>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</si>
  <si>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</si>
  <si>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</si>
  <si>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</si>
  <si>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</si>
  <si>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</si>
  <si>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</si>
  <si>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</si>
  <si>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</si>
  <si>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</si>
  <si>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</si>
  <si>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</si>
  <si>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</si>
  <si>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</si>
  <si>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</si>
  <si>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</si>
  <si>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</si>
  <si>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</si>
  <si>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</si>
  <si>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</si>
  <si>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</si>
  <si>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</si>
  <si>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</si>
  <si>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</si>
  <si>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</si>
  <si>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</si>
  <si>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</si>
  <si>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</si>
  <si>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</si>
  <si>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</si>
  <si>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</si>
  <si>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</si>
  <si>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</si>
  <si>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</si>
  <si>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</si>
  <si>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</si>
  <si>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</si>
  <si>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</si>
  <si>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</si>
  <si>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</si>
  <si>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</si>
  <si>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</si>
  <si>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</si>
  <si>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</si>
  <si>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</si>
  <si>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</si>
  <si>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</si>
  <si>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</si>
  <si>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</si>
  <si>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</si>
  <si>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</si>
  <si>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</si>
  <si>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</si>
  <si>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</si>
  <si>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</si>
  <si>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</si>
  <si>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</si>
  <si>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</si>
  <si>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</si>
  <si>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</si>
  <si>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</si>
  <si>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</si>
  <si>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</si>
  <si>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</si>
  <si>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无</t>
    </r>
  </si>
  <si>
    <t>500米范围内</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</si>
  <si>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</si>
  <si>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</si>
  <si>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</si>
  <si>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</si>
  <si>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通电</t>
  </si>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</sst>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0">
    <numFmt numFmtId="176" formatCode="yyyy/m/d;@"/>
    <numFmt numFmtId="177" formatCode="0_);[Red]\(0\)"/>
    <numFmt numFmtId="178" formatCode="0_ "/>
    <numFmt numFmtId="179" formatCode="0.00_ "/>
    <numFmt numFmtId="180" formatCode="0.0%"/>
    <numFmt numFmtId="181" formatCode="0.0_ "/>
    <numFmt numFmtId="182" formatCode="0.000_ "/>
    <numFmt numFmtId="183" formatCode="0.0000%"/>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DBNum1][$-804]yyyy&quot;年&quot;m&quot;月&quot;d&quot;日&quot;;@"/>
    <numFmt numFmtId="193" formatCode="[$-F800]dddd\,\ mmmm\ dd\,\ yyyy"/>
    <numFmt numFmtId="194" formatCode="0;_쐀"/>
    <numFmt numFmtId="195" formatCode="[DBNum2][$-804]General"/>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2299264503923"/>
      <name val="宋体"/>
      <family val="3"/>
      <charset val="134"/>
    </font>
    <font>
      <b/>
      <i/>
      <sz val="12"/>
      <color theme="3" tint="0.399822992645039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2299264503923"/>
      <name val="宋体"/>
      <family val="3"/>
      <charset val="134"/>
    </font>
    <font>
      <b/>
      <i/>
      <sz val="12"/>
      <color theme="3" tint="0.399822992645039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sz val="14"/>
      <name val="楷体_GB2312"/>
      <charset val="134"/>
    </font>
    <font>
      <sz val="11"/>
      <name val="楷体_GB2312"/>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22992645039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92D050"/>
        <bgColor indexed="64"/>
      </patternFill>
    </fill>
    <fill>
      <patternFill patternType="solid">
        <fgColor theme="7" tint="0.399822992645039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19" fillId="0" borderId="0">
      <alignment vertical="center"/>
    </xf>
    <xf numFmtId="0" fontId="119" fillId="0" borderId="0">
      <alignment vertical="center"/>
    </xf>
    <xf numFmtId="0" fontId="210" fillId="0" borderId="0"/>
    <xf numFmtId="0" fontId="210" fillId="0" borderId="0">
      <alignment vertical="center"/>
    </xf>
    <xf numFmtId="0" fontId="11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0" fillId="0" borderId="0"/>
    <xf numFmtId="0" fontId="210" fillId="0" borderId="0">
      <alignment vertical="center"/>
    </xf>
    <xf numFmtId="0" fontId="210" fillId="0" borderId="0">
      <alignment vertical="center"/>
    </xf>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7" fontId="17" fillId="5" borderId="0" xfId="3" applyNumberFormat="1" applyFont="1" applyFill="1" applyBorder="1" applyAlignment="1">
      <alignment horizontal="left" vertical="center"/>
    </xf>
    <xf numFmtId="177"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7"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7" fontId="16" fillId="6" borderId="23" xfId="3" applyNumberFormat="1" applyFont="1" applyFill="1" applyBorder="1" applyAlignment="1">
      <alignment horizontal="left" vertical="center" wrapText="1"/>
    </xf>
    <xf numFmtId="177" fontId="16" fillId="6" borderId="24" xfId="3" applyNumberFormat="1" applyFont="1" applyFill="1" applyBorder="1" applyAlignment="1">
      <alignment horizontal="left" vertical="center" wrapText="1"/>
    </xf>
    <xf numFmtId="177"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7" fontId="16" fillId="6" borderId="22" xfId="3" applyNumberFormat="1" applyFont="1" applyFill="1" applyBorder="1" applyAlignment="1">
      <alignment horizontal="left" vertical="center" wrapText="1"/>
    </xf>
    <xf numFmtId="177"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7"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7" fontId="16" fillId="6" borderId="29" xfId="3" applyNumberFormat="1" applyFont="1" applyFill="1" applyBorder="1" applyAlignment="1">
      <alignment horizontal="left" vertical="center" wrapText="1"/>
    </xf>
    <xf numFmtId="177" fontId="16" fillId="6" borderId="31" xfId="3" applyNumberFormat="1" applyFont="1" applyFill="1" applyBorder="1" applyAlignment="1">
      <alignment horizontal="left" vertical="center" wrapText="1"/>
    </xf>
    <xf numFmtId="177" fontId="18" fillId="5" borderId="0" xfId="3" applyNumberFormat="1" applyFont="1" applyFill="1" applyAlignment="1">
      <alignment horizontal="left" vertical="center"/>
    </xf>
    <xf numFmtId="177"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8" fontId="18" fillId="0" borderId="0" xfId="3" applyNumberFormat="1" applyFont="1" applyAlignment="1">
      <alignment horizontal="left" vertical="center"/>
    </xf>
    <xf numFmtId="180" fontId="18" fillId="0" borderId="19" xfId="3" applyNumberFormat="1" applyFont="1" applyBorder="1" applyAlignment="1">
      <alignment horizontal="left" vertical="center"/>
    </xf>
    <xf numFmtId="180"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8" fontId="18" fillId="0" borderId="18" xfId="3" applyNumberFormat="1" applyFont="1" applyBorder="1" applyAlignment="1">
      <alignment horizontal="left" vertical="center"/>
    </xf>
    <xf numFmtId="181"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8"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2"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8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9"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9"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7"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4"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7"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77"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7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77"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0" fontId="46" fillId="11" borderId="97" xfId="0" applyNumberFormat="1" applyFont="1" applyFill="1" applyBorder="1" applyAlignment="1" applyProtection="1">
      <alignment horizontal="left" vertical="center" wrapText="1"/>
      <protection locked="0"/>
    </xf>
    <xf numFmtId="177"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7"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7"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0"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0"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0"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77"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77" fontId="46" fillId="2" borderId="89" xfId="0" applyNumberFormat="1" applyFont="1" applyFill="1" applyBorder="1" applyAlignment="1" applyProtection="1">
      <alignment horizontal="left" vertical="center" wrapText="1"/>
    </xf>
    <xf numFmtId="177"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77"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0" fontId="43" fillId="2" borderId="13" xfId="0" applyNumberFormat="1" applyFont="1" applyFill="1" applyBorder="1" applyAlignment="1" applyProtection="1">
      <alignment horizontal="left" vertical="center"/>
    </xf>
    <xf numFmtId="180"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7"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0"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0"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0"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0"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0"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0"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0"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0"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0"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77"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77"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77" fontId="48" fillId="2" borderId="95" xfId="11" applyNumberFormat="1" applyFont="1" applyFill="1" applyBorder="1" applyAlignment="1">
      <alignment horizontal="left" vertical="center"/>
    </xf>
    <xf numFmtId="177"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77"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0"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77" fontId="24" fillId="2" borderId="7" xfId="11" applyNumberFormat="1" applyFont="1" applyFill="1" applyBorder="1" applyAlignment="1">
      <alignment horizontal="left" vertical="center"/>
    </xf>
    <xf numFmtId="180"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80"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77" fontId="24" fillId="0" borderId="7" xfId="11" applyNumberFormat="1" applyFont="1" applyFill="1" applyBorder="1" applyAlignment="1" applyProtection="1">
      <alignment horizontal="left" vertical="center"/>
      <protection locked="0"/>
    </xf>
    <xf numFmtId="180"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77" fontId="48" fillId="2" borderId="10" xfId="11" applyNumberFormat="1" applyFont="1" applyFill="1" applyBorder="1" applyAlignment="1">
      <alignment horizontal="left" vertical="center"/>
    </xf>
    <xf numFmtId="180"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77" fontId="48" fillId="2" borderId="39" xfId="11" applyNumberFormat="1" applyFont="1" applyFill="1" applyBorder="1" applyAlignment="1">
      <alignment horizontal="left" vertical="center"/>
    </xf>
    <xf numFmtId="180"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77" fontId="24" fillId="2" borderId="13" xfId="11" applyNumberFormat="1" applyFont="1" applyFill="1" applyBorder="1" applyAlignment="1">
      <alignment horizontal="left" vertical="center"/>
    </xf>
    <xf numFmtId="177" fontId="24" fillId="2" borderId="140" xfId="11" applyNumberFormat="1" applyFont="1" applyFill="1" applyBorder="1" applyAlignment="1">
      <alignment horizontal="left" vertical="center"/>
    </xf>
    <xf numFmtId="177"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77" fontId="24" fillId="2" borderId="13" xfId="11" applyNumberFormat="1" applyFont="1" applyFill="1" applyBorder="1" applyAlignment="1">
      <alignment horizontal="right" vertical="center"/>
    </xf>
    <xf numFmtId="180" fontId="24" fillId="0" borderId="140" xfId="11" applyNumberFormat="1" applyFont="1" applyFill="1" applyBorder="1" applyAlignment="1" applyProtection="1">
      <alignment horizontal="right" vertical="center"/>
      <protection locked="0"/>
    </xf>
    <xf numFmtId="180"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0"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0" fontId="24" fillId="2" borderId="140" xfId="11" applyNumberFormat="1" applyFont="1" applyFill="1" applyBorder="1" applyAlignment="1">
      <alignment horizontal="right" vertical="center"/>
    </xf>
    <xf numFmtId="180"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0" fontId="24" fillId="0" borderId="13" xfId="11" applyNumberFormat="1" applyFont="1" applyFill="1" applyBorder="1" applyAlignment="1" applyProtection="1">
      <alignment horizontal="left" vertical="center"/>
      <protection locked="0"/>
    </xf>
    <xf numFmtId="180" fontId="24" fillId="0" borderId="140" xfId="11" applyNumberFormat="1" applyFont="1" applyFill="1" applyBorder="1" applyAlignment="1" applyProtection="1">
      <alignment horizontal="left" vertical="center"/>
      <protection locked="0"/>
    </xf>
    <xf numFmtId="180"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6" xfId="11" applyNumberFormat="1" applyFont="1" applyFill="1" applyBorder="1" applyAlignment="1" applyProtection="1">
      <alignment horizontal="left" vertical="center"/>
      <protection locked="0"/>
    </xf>
    <xf numFmtId="187" fontId="24" fillId="0" borderId="141" xfId="11" applyNumberFormat="1" applyFont="1" applyFill="1" applyBorder="1" applyAlignment="1" applyProtection="1">
      <alignment horizontal="left" vertical="center"/>
      <protection locked="0"/>
    </xf>
    <xf numFmtId="187" fontId="24" fillId="0" borderId="87"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77"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77"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3"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8" fontId="48"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0"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77"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7" fontId="49" fillId="0" borderId="7" xfId="0" applyNumberFormat="1" applyFont="1" applyFill="1" applyBorder="1" applyAlignment="1" applyProtection="1">
      <alignment horizontal="center"/>
      <protection locked="0"/>
    </xf>
    <xf numFmtId="177"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7" fontId="18" fillId="0"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7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7"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7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8" fontId="82" fillId="2" borderId="7" xfId="9" applyNumberFormat="1" applyFont="1" applyFill="1" applyBorder="1" applyAlignment="1" applyProtection="1">
      <alignment horizontal="center" vertical="center"/>
    </xf>
    <xf numFmtId="179"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0"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0" fontId="24" fillId="2" borderId="7"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xf>
    <xf numFmtId="49" fontId="0" fillId="0" borderId="0" xfId="0" applyNumberFormat="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0"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0"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7"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0"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1"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0"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0"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8" xfId="0" applyNumberFormat="1" applyFont="1" applyFill="1" applyBorder="1" applyAlignment="1" applyProtection="1">
      <alignment horizontal="left" vertical="center"/>
    </xf>
    <xf numFmtId="181"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1"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0"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0"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0"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0"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5" fontId="49" fillId="17" borderId="0" xfId="0" applyNumberFormat="1" applyFont="1" applyFill="1" applyBorder="1" applyAlignment="1" applyProtection="1">
      <alignment horizontal="left" vertical="center" shrinkToFit="1"/>
    </xf>
    <xf numFmtId="195"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0"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0"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0"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0"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0"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0"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8"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78"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0"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0" fontId="42" fillId="0" borderId="61" xfId="0" applyNumberFormat="1" applyFont="1" applyFill="1" applyBorder="1" applyAlignment="1" applyProtection="1">
      <alignment horizontal="left" vertical="center"/>
      <protection locked="0"/>
    </xf>
    <xf numFmtId="178"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80"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80"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80"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0"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1"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6"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93" fontId="126" fillId="0" borderId="7" xfId="12" applyNumberFormat="1" applyFont="1" applyFill="1" applyBorder="1" applyAlignment="1">
      <alignment horizontal="left" vertical="center"/>
    </xf>
    <xf numFmtId="193"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6"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3"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6"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186" fontId="126"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7" xfId="12" applyFont="1" applyBorder="1" applyAlignment="1">
      <alignment horizontal="left" vertical="center"/>
    </xf>
    <xf numFmtId="186" fontId="128" fillId="0" borderId="7"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5" fillId="0" borderId="0" xfId="0" applyNumberFormat="1" applyFont="1" applyAlignment="1">
      <alignment vertical="center"/>
    </xf>
    <xf numFmtId="192"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6" fontId="93" fillId="0" borderId="0" xfId="0" applyNumberFormat="1" applyFont="1" applyAlignment="1">
      <alignment horizontal="left" vertical="center"/>
    </xf>
    <xf numFmtId="186"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2" fontId="119"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0" fillId="16" borderId="0" xfId="0" applyFill="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195"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79" fontId="64" fillId="2" borderId="53" xfId="0" applyNumberFormat="1" applyFont="1" applyFill="1" applyBorder="1" applyAlignment="1" applyProtection="1">
      <alignment horizontal="left" vertical="center" wrapText="1"/>
      <protection locked="0"/>
    </xf>
    <xf numFmtId="179" fontId="64" fillId="2" borderId="79"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195"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3"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77" fontId="43" fillId="2" borderId="7" xfId="0" applyNumberFormat="1" applyFont="1" applyFill="1" applyBorder="1" applyAlignment="1" applyProtection="1">
      <alignment horizontal="left" vertical="center"/>
    </xf>
    <xf numFmtId="177" fontId="46" fillId="11" borderId="7" xfId="0" applyNumberFormat="1" applyFont="1" applyFill="1" applyBorder="1" applyAlignment="1" applyProtection="1">
      <alignment horizontal="left" vertical="center"/>
    </xf>
    <xf numFmtId="177" fontId="43" fillId="2" borderId="7" xfId="0" applyNumberFormat="1" applyFont="1" applyFill="1" applyBorder="1" applyAlignment="1" applyProtection="1">
      <alignment horizontal="center" vertical="center"/>
    </xf>
    <xf numFmtId="177"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xmlns:r="http://schemas.openxmlformats.org/officeDocument/2006/relationships" r:embed="rId2" cstate="print"/>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292" customWidth="1"/>
    <col min="2" max="2" width="94.875" style="3293" customWidth="1"/>
    <col min="3" max="16384" width="9" style="3294"/>
  </cols>
  <sheetData>
    <row r="1" spans="1:2" s="3290" customFormat="1" ht="15.75">
      <c r="A1" s="3295" t="s">
        <v>0</v>
      </c>
      <c r="B1" s="3296" t="s">
        <v>1</v>
      </c>
    </row>
    <row r="2" spans="1:2" s="3291" customFormat="1">
      <c r="A2" s="3297" t="s">
        <v>2</v>
      </c>
      <c r="B2" s="3298" t="str">
        <f>'预评函-封皮'!B9</f>
        <v>北京市预评估</v>
      </c>
    </row>
    <row r="3" spans="1:2" s="3291" customFormat="1">
      <c r="A3" s="3299" t="s">
        <v>3</v>
      </c>
      <c r="B3" s="3300" t="str">
        <f>'预评函-封皮'!B12</f>
        <v>xx</v>
      </c>
    </row>
    <row r="4" spans="1:2" s="3291" customFormat="1">
      <c r="A4" s="3299" t="s">
        <v>4</v>
      </c>
      <c r="B4" s="3300" t="str">
        <f>'预评函-封皮'!B18</f>
        <v>（注册号:0）、（注册号:0)</v>
      </c>
    </row>
    <row r="5" spans="1:2" s="3290" customFormat="1">
      <c r="A5" s="3301" t="s">
        <v>5</v>
      </c>
      <c r="B5" s="3302" t="str">
        <f>'预评函-封皮'!B21</f>
        <v>康正预评字号</v>
      </c>
    </row>
    <row r="6" spans="1:2" s="3291" customFormat="1">
      <c r="A6" s="3299" t="s">
        <v>6</v>
      </c>
      <c r="B6" s="3298" t="str">
        <f>'预评函-1'!A4</f>
        <v>受您的委托，我公司对北京市房地产进行了预评估。</v>
      </c>
    </row>
    <row r="7" spans="1:2">
      <c r="A7" s="3299" t="s">
        <v>7</v>
      </c>
      <c r="B7" s="3303" t="str">
        <f>'预评函-1'!A6</f>
        <v>估价对象为北京市房地产，为XX所有。根据《》[]，估价对象建筑面积为59.11平方米。根据《》[]，估价对象（分摊）出让国有建设用地使用权面积为平方米。估价对象用途为。</v>
      </c>
    </row>
    <row r="8" spans="1:2">
      <c r="A8" s="3299" t="s">
        <v>8</v>
      </c>
      <c r="B8" s="3303" t="str">
        <f>'预评函-1'!A8</f>
        <v>为估价委托人了解估价对象房地产市场价值提供参考依据。</v>
      </c>
    </row>
    <row r="9" spans="1:2">
      <c r="A9" s="3299" t="s">
        <v>9</v>
      </c>
      <c r="B9" s="3303" t="str">
        <f>'预评函-1'!A10</f>
        <v>2022年11月8日</v>
      </c>
    </row>
    <row r="10" spans="1:2">
      <c r="A10" s="3299" t="s">
        <v>10</v>
      </c>
      <c r="B10" s="3303" t="str">
        <f>'预评函-1'!A13</f>
        <v>本次估价的“房地产价值”是指在正常市场情况下，在价值时点2022年11月8日，估价对象规划用途为，假定未设立法定优先受偿款下的房地产市场价值。</v>
      </c>
    </row>
    <row r="11" spans="1:2">
      <c r="A11" s="3299" t="s">
        <v>11</v>
      </c>
      <c r="B11" s="3303"/>
    </row>
    <row r="12" spans="1:2">
      <c r="A12" s="3299" t="s">
        <v>12</v>
      </c>
      <c r="B12" s="330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99" t="s">
        <v>13</v>
      </c>
      <c r="B13" s="330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9" t="s">
        <v>14</v>
      </c>
      <c r="B14" s="330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0" customFormat="1">
      <c r="A15" s="3301" t="s">
        <v>15</v>
      </c>
      <c r="B15" s="3304" t="str">
        <f>'预评函-1'!A18</f>
        <v>本次评估采用的主估价方法为收益法和比较法。</v>
      </c>
    </row>
    <row r="16" spans="1:2">
      <c r="A16" s="3297" t="s">
        <v>16</v>
      </c>
      <c r="B16" s="330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9" t="s">
        <v>17</v>
      </c>
      <c r="B17" s="3303" t="str">
        <f>'预评函-2（1）'!B6</f>
        <v>北京市房地产</v>
      </c>
    </row>
    <row r="18" spans="1:2">
      <c r="A18" s="3299" t="s">
        <v>18</v>
      </c>
      <c r="B18" s="3303">
        <f>'预评函-2（1）'!C6</f>
        <v>59.11</v>
      </c>
    </row>
    <row r="19" spans="1:2">
      <c r="A19" s="3299" t="s">
        <v>19</v>
      </c>
      <c r="B19" s="3303">
        <f ca="1">'预评函-2（1）'!D7</f>
        <v>2369956</v>
      </c>
    </row>
    <row r="20" spans="1:2">
      <c r="A20" s="3299" t="s">
        <v>20</v>
      </c>
      <c r="B20" s="3303" t="str">
        <f>'预评函-2（1）'!C7</f>
        <v>总价（元）</v>
      </c>
    </row>
    <row r="21" spans="1:2">
      <c r="A21" s="3299" t="s">
        <v>21</v>
      </c>
      <c r="B21" s="3303">
        <f ca="1">'预评函-2（1）'!D9</f>
        <v>40094</v>
      </c>
    </row>
    <row r="22" spans="1:2">
      <c r="A22" s="3299" t="s">
        <v>22</v>
      </c>
      <c r="B22" s="3303" t="str">
        <f ca="1">'预评函-2（1）'!D8</f>
        <v>贰佰叁拾陆万玖仟玖佰伍拾陆元整</v>
      </c>
    </row>
    <row r="23" spans="1:2">
      <c r="A23" s="3299" t="s">
        <v>23</v>
      </c>
      <c r="B23" s="3303">
        <f>'预评函-2（1）'!D10</f>
        <v>0</v>
      </c>
    </row>
    <row r="24" spans="1:2">
      <c r="A24" s="3299" t="s">
        <v>24</v>
      </c>
      <c r="B24" s="3303" t="str">
        <f>'预评函-2（1）'!C10</f>
        <v>总额（元）</v>
      </c>
    </row>
    <row r="25" spans="1:2">
      <c r="A25" s="3299" t="s">
        <v>25</v>
      </c>
      <c r="B25" s="3303" t="str">
        <f>'预评函-2（1）'!D11</f>
        <v>零元整</v>
      </c>
    </row>
    <row r="26" spans="1:2">
      <c r="A26" s="3299" t="s">
        <v>26</v>
      </c>
      <c r="B26" s="3303">
        <f>'预评函-2（1）'!D12</f>
        <v>0</v>
      </c>
    </row>
    <row r="27" spans="1:2">
      <c r="A27" s="3299" t="s">
        <v>27</v>
      </c>
      <c r="B27" s="3303">
        <f>'预评函-2（1）'!D13</f>
        <v>0</v>
      </c>
    </row>
    <row r="28" spans="1:2">
      <c r="A28" s="3299" t="s">
        <v>28</v>
      </c>
      <c r="B28" s="3303">
        <f>'预评函-2（1）'!D14</f>
        <v>0</v>
      </c>
    </row>
    <row r="29" spans="1:2">
      <c r="A29" s="3299" t="s">
        <v>29</v>
      </c>
      <c r="B29" s="3303">
        <f ca="1">'预评函-2（1）'!D15</f>
        <v>2369956</v>
      </c>
    </row>
    <row r="30" spans="1:2">
      <c r="A30" s="3299" t="s">
        <v>30</v>
      </c>
      <c r="B30" s="3303" t="str">
        <f ca="1">'预评函-2（1）'!D16</f>
        <v>贰佰叁拾陆万玖仟玖佰伍拾陆元整</v>
      </c>
    </row>
    <row r="31" spans="1:2">
      <c r="A31" s="3299" t="s">
        <v>31</v>
      </c>
      <c r="B31" s="3303" t="str">
        <f>'预评函-2（1）'!D18</f>
        <v>——</v>
      </c>
    </row>
    <row r="32" spans="1:2">
      <c r="A32" s="3299" t="s">
        <v>32</v>
      </c>
      <c r="B32" s="3303" t="e">
        <f>'预评函-2（1）'!D19</f>
        <v>#VALUE!</v>
      </c>
    </row>
    <row r="33" spans="1:2">
      <c r="A33" s="3299" t="s">
        <v>33</v>
      </c>
      <c r="B33" s="3303" t="str">
        <f>'预评函-2（1）'!D21</f>
        <v>——</v>
      </c>
    </row>
    <row r="34" spans="1:2">
      <c r="A34" s="3299" t="s">
        <v>34</v>
      </c>
      <c r="B34" s="3303" t="str">
        <f ca="1">'预评函-2（1）'!D23</f>
        <v>——</v>
      </c>
    </row>
    <row r="35" spans="1:2">
      <c r="A35" s="3299" t="s">
        <v>35</v>
      </c>
      <c r="B35" s="3303" t="e">
        <f>'预评函-2（1）'!D22</f>
        <v>#VALUE!</v>
      </c>
    </row>
    <row r="36" spans="1:2">
      <c r="A36" s="3299" t="s">
        <v>36</v>
      </c>
      <c r="B36" s="3303">
        <f>'预评函-2（2）'!C4</f>
        <v>0</v>
      </c>
    </row>
    <row r="37" spans="1:2">
      <c r="A37" s="3299" t="s">
        <v>37</v>
      </c>
      <c r="B37" s="3303">
        <f ca="1">'预评函-2（2）'!D4</f>
        <v>2087943</v>
      </c>
    </row>
    <row r="38" spans="1:2">
      <c r="A38" s="3299" t="s">
        <v>38</v>
      </c>
      <c r="B38" s="3303">
        <f ca="1">'预评函-2（2）'!E4</f>
        <v>35323</v>
      </c>
    </row>
    <row r="39" spans="1:2">
      <c r="A39" s="3299" t="s">
        <v>39</v>
      </c>
      <c r="B39" s="3303" t="str">
        <f ca="1">'预评函-2（2）'!D5</f>
        <v>贰佰零捌万柒仟玖佰肆拾叁元整</v>
      </c>
    </row>
    <row r="40" spans="1:2">
      <c r="A40" s="3299" t="s">
        <v>40</v>
      </c>
      <c r="B40" s="3303">
        <f ca="1">'预评函-2（2）'!F4</f>
        <v>282014</v>
      </c>
    </row>
    <row r="41" spans="1:2">
      <c r="A41" s="3299" t="s">
        <v>41</v>
      </c>
      <c r="B41" s="3303">
        <f ca="1">'预评函-2（2）'!G4</f>
        <v>4771</v>
      </c>
    </row>
    <row r="42" spans="1:2" s="3290" customFormat="1">
      <c r="A42" s="3301" t="s">
        <v>42</v>
      </c>
      <c r="B42" s="3305" t="str">
        <f ca="1">'预评函-2（2）'!F5</f>
        <v>贰拾捌万贰仟零壹拾肆元整</v>
      </c>
    </row>
    <row r="43" spans="1:2">
      <c r="A43" s="3297" t="s">
        <v>43</v>
      </c>
      <c r="B43" s="3306" t="str">
        <f>'预评函-3'!A13</f>
        <v>2.本次评估设定估价对象房地产权属无争议，未被查封或者以其他形式限制其房地产权利，未设定抵押权等他项权利，不涉及第三方权利义务。</v>
      </c>
    </row>
    <row r="44" spans="1:2">
      <c r="A44" s="3299" t="s">
        <v>44</v>
      </c>
      <c r="B44" s="3303" t="str">
        <f>'预评函-3'!A14</f>
        <v>——</v>
      </c>
    </row>
    <row r="45" spans="1:2">
      <c r="A45" s="3299" t="s">
        <v>45</v>
      </c>
      <c r="B45" s="3303" t="str">
        <f>'预评函-3'!A15</f>
        <v>——</v>
      </c>
    </row>
    <row r="46" spans="1:2">
      <c r="A46" s="3299" t="s">
        <v>46</v>
      </c>
      <c r="B46" s="3303" t="str">
        <f>'预评函-3'!A16</f>
        <v>——</v>
      </c>
    </row>
    <row r="47" spans="1:2">
      <c r="A47" s="3299" t="s">
        <v>47</v>
      </c>
      <c r="B47" s="330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9" t="s">
        <v>48</v>
      </c>
      <c r="B48" s="3303" t="str">
        <f>'预评函-3'!A18</f>
        <v>——</v>
      </c>
    </row>
    <row r="49" spans="1:2">
      <c r="A49" s="3299" t="s">
        <v>49</v>
      </c>
      <c r="B49" s="330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9" t="s">
        <v>50</v>
      </c>
      <c r="B50" s="3303" t="str">
        <f>'预评函-3'!A20</f>
        <v>6.其他需特殊说明事项：（没有时删除此项；注意修改序号）</v>
      </c>
    </row>
    <row r="51" spans="1:2" s="3290" customFormat="1" ht="14.25">
      <c r="A51" s="3301" t="s">
        <v>51</v>
      </c>
      <c r="B51" s="3307">
        <f>'预评函-3'!D29</f>
        <v>42551</v>
      </c>
    </row>
    <row r="52" spans="1:2">
      <c r="A52" s="3297" t="s">
        <v>52</v>
      </c>
      <c r="B52" s="3308">
        <f>'预评函-3'!A4</f>
        <v>0</v>
      </c>
    </row>
    <row r="53" spans="1:2">
      <c r="A53" s="3299" t="s">
        <v>53</v>
      </c>
      <c r="B53" s="3303">
        <f>'预评函-3'!B4</f>
        <v>0</v>
      </c>
    </row>
    <row r="54" spans="1:2">
      <c r="A54" s="3299" t="s">
        <v>54</v>
      </c>
      <c r="B54" s="3309">
        <f>'预评函-3'!A5</f>
        <v>0</v>
      </c>
    </row>
    <row r="55" spans="1:2" s="3290" customFormat="1">
      <c r="A55" s="3301" t="s">
        <v>55</v>
      </c>
      <c r="B55" s="3305">
        <f>'预评函-3'!B5</f>
        <v>0</v>
      </c>
    </row>
    <row r="56" spans="1:2">
      <c r="A56" s="3310" t="s">
        <v>56</v>
      </c>
      <c r="B56" s="3303" t="str">
        <f>'预评函-2（1）'!B15</f>
        <v>3.房地产抵押价值</v>
      </c>
    </row>
    <row r="57" spans="1:2">
      <c r="A57" s="3310" t="s">
        <v>57</v>
      </c>
      <c r="B57" s="3303" t="str">
        <f>'预评函-2（1）'!B18</f>
        <v>——</v>
      </c>
    </row>
    <row r="58" spans="1:2" s="3290" customFormat="1">
      <c r="A58" s="3311" t="s">
        <v>58</v>
      </c>
      <c r="B58" s="3304" t="str">
        <f>'预评函-2（1）'!B21</f>
        <v>——</v>
      </c>
    </row>
    <row r="59" spans="1:2">
      <c r="A59" s="3312" t="s">
        <v>59</v>
      </c>
      <c r="B59" s="3300" t="str">
        <f>'预评函-2（1）'!B45</f>
        <v>单位：元、元/平方米（单位：人民币）</v>
      </c>
    </row>
    <row r="60" spans="1:2">
      <c r="A60" s="3310" t="s">
        <v>60</v>
      </c>
      <c r="B60" s="3303" t="str">
        <f>'预评函-2（2）'!D2</f>
        <v>出让国有建设用地使用权价值</v>
      </c>
    </row>
    <row r="61" spans="1:2" s="3291" customFormat="1">
      <c r="A61" s="3310" t="s">
        <v>61</v>
      </c>
      <c r="B61" s="3303" t="str">
        <f>'预评函-2（2）'!A14</f>
        <v>单位：平方米、元、元/平方米（币种：人民币）</v>
      </c>
    </row>
    <row r="62" spans="1:2" ht="28.5">
      <c r="A62" s="3310" t="s">
        <v>62</v>
      </c>
      <c r="B62" s="3303">
        <f ca="1">'预评函-2（1）'!D38</f>
        <v>40094</v>
      </c>
    </row>
    <row r="63" spans="1:2" s="3291" customFormat="1" ht="28.5">
      <c r="A63" s="3310" t="s">
        <v>63</v>
      </c>
      <c r="B63" s="3303" t="str">
        <f>'预评函-2（1）'!D41</f>
        <v>——</v>
      </c>
    </row>
    <row r="64" spans="1:2">
      <c r="A64" s="3310" t="s">
        <v>64</v>
      </c>
      <c r="B64" s="3303" t="str">
        <f>'预评函-2（2）'!A6</f>
        <v>估价师所知悉的法定优先受偿款</v>
      </c>
    </row>
    <row r="65" spans="1:2">
      <c r="A65" s="3310" t="s">
        <v>65</v>
      </c>
      <c r="B65" s="3303" t="str">
        <f>'预评函-2（2）'!A8</f>
        <v>房地产抵押价值</v>
      </c>
    </row>
    <row r="66" spans="1:2">
      <c r="A66" s="3310" t="s">
        <v>66</v>
      </c>
      <c r="B66" s="3303" t="str">
        <f>'预评函-2（2）'!A10</f>
        <v/>
      </c>
    </row>
    <row r="67" spans="1:2" s="3290" customFormat="1">
      <c r="A67" s="3311" t="s">
        <v>67</v>
      </c>
      <c r="B67" s="3304" t="str">
        <f>'预评函-2（2）'!A12</f>
        <v/>
      </c>
    </row>
    <row r="68" spans="1:2">
      <c r="A68" s="3292" t="s">
        <v>68</v>
      </c>
      <c r="B68" s="3293" t="str">
        <f>'预评函-3'!A9</f>
        <v>XX</v>
      </c>
    </row>
    <row r="69" spans="1:2">
      <c r="A69" s="3299" t="s">
        <v>69</v>
      </c>
    </row>
    <row r="70" spans="1:2">
      <c r="A70" s="3299"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025" customWidth="1"/>
    <col min="2" max="2" width="15" style="3025" customWidth="1"/>
    <col min="3" max="3" width="14.125" style="3025" customWidth="1"/>
    <col min="4" max="4" width="12.5" style="3025" customWidth="1"/>
    <col min="5" max="5" width="13.875" style="3025" customWidth="1"/>
    <col min="6" max="6" width="15" style="3025" customWidth="1"/>
    <col min="7" max="7" width="14.875" style="3025" customWidth="1"/>
    <col min="8" max="8" width="4.25" style="3026" customWidth="1"/>
    <col min="9" max="10" width="10" style="3026" customWidth="1"/>
    <col min="11" max="13" width="10" style="3027" customWidth="1"/>
    <col min="14" max="15" width="10" style="3026" customWidth="1"/>
    <col min="16" max="17" width="10" style="3026"/>
    <col min="18" max="18" width="10" style="3026" customWidth="1"/>
    <col min="19" max="66" width="10" style="3026"/>
    <col min="67" max="16384" width="10" style="3025"/>
  </cols>
  <sheetData>
    <row r="1" spans="1:17">
      <c r="A1" s="3028" t="s">
        <v>331</v>
      </c>
      <c r="B1" s="3029" t="str">
        <f>IF(B6="北京市","北京市",C6)&amp;IF(E12="房屋所有权证",B29,E29)&amp;D5&amp;"预评估"</f>
        <v>北京市预评估</v>
      </c>
      <c r="C1" s="3030"/>
      <c r="D1" s="3030"/>
      <c r="E1" s="3030"/>
      <c r="F1" s="3031" t="s">
        <v>332</v>
      </c>
      <c r="G1" s="3032"/>
      <c r="I1" s="3143" t="str">
        <f>IF(B6="北京市","北京市",C6)&amp;IF(E12="房屋所有权证",B29,E29)&amp;"房地产"</f>
        <v>北京市房地产</v>
      </c>
      <c r="J1" s="3144"/>
      <c r="K1" s="3145"/>
      <c r="L1" s="3145"/>
      <c r="M1" s="3145"/>
      <c r="N1" s="3144"/>
      <c r="O1" s="3144"/>
      <c r="P1" s="3144"/>
      <c r="Q1" s="3144"/>
    </row>
    <row r="2" spans="1:17">
      <c r="A2" s="3033" t="s">
        <v>333</v>
      </c>
      <c r="B2" s="3034"/>
      <c r="C2" s="3035" t="s">
        <v>334</v>
      </c>
      <c r="D2" s="3034">
        <v>44873</v>
      </c>
      <c r="E2" s="3036"/>
      <c r="F2" s="3036"/>
      <c r="G2" s="3037"/>
      <c r="H2" s="3038"/>
    </row>
    <row r="3" spans="1:17">
      <c r="A3" s="3039" t="s">
        <v>335</v>
      </c>
      <c r="B3" s="3040"/>
      <c r="C3" s="3041">
        <f>SUMIF(注册房地产估价师,B3,估价师及机构信息!B3:B16)</f>
        <v>0</v>
      </c>
      <c r="D3" s="3040"/>
      <c r="E3" s="3042">
        <f>SUMIF(注册房地产估价师,D3,估价师及机构信息!B3:B16)</f>
        <v>0</v>
      </c>
      <c r="F3" s="3043"/>
      <c r="G3" s="3044"/>
      <c r="H3" s="3038"/>
    </row>
    <row r="4" spans="1:17" ht="13.5" customHeight="1">
      <c r="A4" s="3033" t="s">
        <v>336</v>
      </c>
      <c r="B4" s="3045" t="s">
        <v>337</v>
      </c>
      <c r="C4" s="3046" t="s">
        <v>338</v>
      </c>
      <c r="D4" s="3047"/>
      <c r="E4" s="3036"/>
      <c r="F4" s="3036"/>
      <c r="G4" s="3037"/>
    </row>
    <row r="5" spans="1:17">
      <c r="A5" s="3048" t="s">
        <v>339</v>
      </c>
      <c r="B5" s="3049" t="s">
        <v>120</v>
      </c>
      <c r="C5" s="3050" t="s">
        <v>340</v>
      </c>
      <c r="D5" s="3051"/>
      <c r="E5" s="3052" t="s">
        <v>341</v>
      </c>
      <c r="F5" s="3051"/>
      <c r="G5" s="3053"/>
      <c r="I5" s="3143" t="str">
        <f>IF(C16="否","截至估价时点，估价对象抵押权未见登记。","截至价值时点，估价对象已设定抵押。")</f>
        <v>截至价值时点，估价对象已设定抵押。</v>
      </c>
      <c r="J5" s="3144"/>
      <c r="K5" s="3145"/>
      <c r="L5" s="3145"/>
      <c r="M5" s="3145"/>
      <c r="N5" s="3144"/>
      <c r="O5" s="3144"/>
      <c r="P5" s="3144"/>
      <c r="Q5" s="3144"/>
    </row>
    <row r="6" spans="1:17">
      <c r="A6" s="3054" t="s">
        <v>342</v>
      </c>
      <c r="B6" s="3055" t="s">
        <v>343</v>
      </c>
      <c r="C6" s="3056" t="s">
        <v>120</v>
      </c>
      <c r="D6" s="3057" t="s">
        <v>344</v>
      </c>
      <c r="E6" s="3058"/>
      <c r="F6" s="3058"/>
      <c r="G6" s="3059"/>
      <c r="I6" s="3144" t="str">
        <f>IF(COUNTIF(B5,"*上海银行*"),"上海银行","")</f>
        <v/>
      </c>
      <c r="J6" s="3144"/>
      <c r="K6" s="3145"/>
      <c r="L6" s="3145"/>
      <c r="M6" s="3145"/>
      <c r="N6" s="3144"/>
      <c r="O6" s="3144"/>
      <c r="P6" s="3144"/>
      <c r="Q6" s="3144"/>
    </row>
    <row r="7" spans="1:17">
      <c r="A7" s="3060" t="s">
        <v>345</v>
      </c>
      <c r="B7" s="3061" t="s">
        <v>346</v>
      </c>
      <c r="C7" s="2168" t="str">
        <f>IF(B7="自然人","姓名","名称")</f>
        <v>姓名</v>
      </c>
      <c r="D7" s="3062" t="s">
        <v>120</v>
      </c>
      <c r="E7" s="3043"/>
      <c r="F7" s="3043"/>
      <c r="G7" s="3044"/>
    </row>
    <row r="8" spans="1:17">
      <c r="A8" s="3366" t="s">
        <v>347</v>
      </c>
      <c r="B8" s="3064" t="s">
        <v>348</v>
      </c>
      <c r="C8" s="3388"/>
      <c r="D8" s="3389"/>
      <c r="E8" s="3065" t="s">
        <v>349</v>
      </c>
      <c r="F8" s="3066" t="s">
        <v>350</v>
      </c>
      <c r="G8" s="3067" t="str">
        <f>C6</f>
        <v>XX</v>
      </c>
    </row>
    <row r="9" spans="1:17">
      <c r="A9" s="3366"/>
      <c r="B9" s="2189" t="s">
        <v>351</v>
      </c>
      <c r="C9" s="3049"/>
      <c r="D9" s="3068"/>
      <c r="E9" s="3069" t="s">
        <v>352</v>
      </c>
      <c r="F9" s="3070"/>
      <c r="G9" s="3071"/>
    </row>
    <row r="10" spans="1:17">
      <c r="A10" s="3366"/>
      <c r="B10" s="2189" t="s">
        <v>353</v>
      </c>
      <c r="C10" s="3390"/>
      <c r="D10" s="3391"/>
      <c r="E10" s="3073" t="s">
        <v>354</v>
      </c>
      <c r="F10" s="3074"/>
      <c r="G10" s="3075"/>
    </row>
    <row r="11" spans="1:17">
      <c r="A11" s="3366"/>
      <c r="B11" s="2145" t="s">
        <v>355</v>
      </c>
      <c r="C11" s="3392"/>
      <c r="D11" s="3393"/>
      <c r="E11" s="3058"/>
      <c r="F11" s="3058"/>
      <c r="G11" s="3059"/>
    </row>
    <row r="12" spans="1:17">
      <c r="A12" s="3367" t="s">
        <v>356</v>
      </c>
      <c r="B12" s="3076" t="s">
        <v>357</v>
      </c>
      <c r="C12" s="3077">
        <v>59.11</v>
      </c>
      <c r="D12" s="3078" t="s">
        <v>358</v>
      </c>
      <c r="E12" s="3079"/>
      <c r="F12" s="3080"/>
      <c r="G12" s="3059"/>
    </row>
    <row r="13" spans="1:17" ht="21" customHeight="1">
      <c r="A13" s="3368"/>
      <c r="B13" s="3082" t="s">
        <v>359</v>
      </c>
      <c r="C13" s="3083"/>
      <c r="D13" s="3084" t="s">
        <v>358</v>
      </c>
      <c r="E13" s="3085"/>
      <c r="F13" s="3058"/>
      <c r="G13" s="3059"/>
      <c r="I13" s="3365" t="s">
        <v>360</v>
      </c>
      <c r="J13" s="3146" t="str">
        <f>"根据估价对象"&amp;IF(B19="——",B18&amp;C18,B18&amp;C18&amp;"、"&amp;B19&amp;C19)&amp;"，"&amp;IF(C16="是","截至价值时点，估价对象已设定抵押。","截至价值时点，估价对象抵押权未见登记。")</f>
        <v>根据估价对象、，截至价值时点，估价对象抵押权未见登记。</v>
      </c>
      <c r="K13" s="3145"/>
      <c r="L13" s="3145"/>
      <c r="M13" s="3145"/>
      <c r="N13" s="3144"/>
      <c r="O13" s="3144"/>
      <c r="P13" s="3144"/>
      <c r="Q13" s="3144"/>
    </row>
    <row r="14" spans="1:17">
      <c r="A14" s="3086"/>
      <c r="B14" s="3078" t="s">
        <v>361</v>
      </c>
      <c r="C14" s="3087"/>
      <c r="D14" s="3058"/>
      <c r="E14" s="3058"/>
      <c r="F14" s="3058"/>
      <c r="G14" s="3059"/>
      <c r="I14" s="3365"/>
      <c r="J14" s="31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5"/>
      <c r="L14" s="3145"/>
      <c r="M14" s="3145"/>
      <c r="N14" s="3144"/>
      <c r="O14" s="3144"/>
      <c r="P14" s="3144"/>
      <c r="Q14" s="3144"/>
    </row>
    <row r="15" spans="1:17">
      <c r="A15" s="3088"/>
      <c r="B15" s="3089" t="s">
        <v>362</v>
      </c>
      <c r="C15" s="3090"/>
      <c r="D15" s="3043"/>
      <c r="E15" s="3043"/>
      <c r="F15" s="3043"/>
      <c r="G15" s="3044"/>
      <c r="I15" s="3365"/>
      <c r="J15" s="31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5"/>
      <c r="L15" s="3145"/>
      <c r="M15" s="3145"/>
      <c r="N15" s="3144"/>
      <c r="O15" s="3144"/>
      <c r="P15" s="3144"/>
      <c r="Q15" s="3144"/>
    </row>
    <row r="16" spans="1:17" ht="24">
      <c r="A16" s="3086" t="s">
        <v>363</v>
      </c>
      <c r="B16" s="3091" t="s">
        <v>364</v>
      </c>
      <c r="C16" s="3092"/>
      <c r="D16" s="3081" t="s">
        <v>365</v>
      </c>
      <c r="E16" s="3093"/>
      <c r="F16" s="3094" t="str">
        <f>IF(AND(C16="是",E16="否"),"是否提供他项权证或相关说明","")</f>
        <v/>
      </c>
      <c r="G16" s="3093"/>
      <c r="J16" s="3038"/>
    </row>
    <row r="17" spans="1:66" ht="13.5" customHeight="1">
      <c r="A17" s="3095" t="s">
        <v>366</v>
      </c>
      <c r="B17" s="3394" t="s">
        <v>367</v>
      </c>
      <c r="C17" s="3395"/>
      <c r="D17" s="3396" t="s">
        <v>368</v>
      </c>
      <c r="E17" s="3397"/>
      <c r="F17" s="3096" t="s">
        <v>369</v>
      </c>
      <c r="G17" s="3097"/>
      <c r="J17" s="3038"/>
    </row>
    <row r="18" spans="1:66" ht="24">
      <c r="A18" s="3095"/>
      <c r="B18" s="3098"/>
      <c r="C18" s="3053"/>
      <c r="D18" s="3099" t="s">
        <v>370</v>
      </c>
      <c r="E18" s="3100"/>
      <c r="F18" s="3101"/>
      <c r="G18" s="3102"/>
      <c r="H18" s="3038"/>
      <c r="J18" s="3038"/>
    </row>
    <row r="19" spans="1:66" ht="21.75" customHeight="1">
      <c r="A19" s="3095"/>
      <c r="B19" s="3103"/>
      <c r="C19" s="3085"/>
      <c r="D19" s="3095"/>
      <c r="E19" s="3058"/>
      <c r="F19" s="3058"/>
      <c r="G19" s="3102"/>
    </row>
    <row r="20" spans="1:66">
      <c r="A20" s="3097" t="s">
        <v>371</v>
      </c>
      <c r="B20" s="3104" t="s">
        <v>372</v>
      </c>
      <c r="C20" s="3105"/>
      <c r="D20" s="3106" t="s">
        <v>372</v>
      </c>
      <c r="E20" s="3105"/>
      <c r="F20" s="3058"/>
      <c r="G20" s="3102"/>
    </row>
    <row r="21" spans="1:66">
      <c r="A21" s="3102"/>
      <c r="B21" s="3107" t="s">
        <v>373</v>
      </c>
      <c r="C21" s="3072"/>
      <c r="D21" s="3095" t="s">
        <v>373</v>
      </c>
      <c r="E21" s="3108"/>
      <c r="F21" s="3058"/>
      <c r="G21" s="3102"/>
    </row>
    <row r="22" spans="1:66">
      <c r="A22" s="3102"/>
      <c r="B22" s="3058" t="s">
        <v>374</v>
      </c>
      <c r="C22" s="3109"/>
      <c r="D22" s="3058" t="s">
        <v>374</v>
      </c>
      <c r="E22" s="3108"/>
      <c r="F22" s="3058"/>
      <c r="G22" s="3102"/>
    </row>
    <row r="23" spans="1:66" s="3021" customFormat="1" ht="15.75">
      <c r="A23" s="3110"/>
      <c r="B23" s="3111" t="s">
        <v>375</v>
      </c>
      <c r="C23" s="3083"/>
      <c r="D23" s="3111" t="s">
        <v>375</v>
      </c>
      <c r="E23" s="3112"/>
      <c r="F23" s="3111"/>
      <c r="G23" s="3110"/>
      <c r="H23" s="3113"/>
      <c r="I23" s="3113"/>
      <c r="J23" s="3113"/>
      <c r="K23" s="3147"/>
      <c r="L23" s="3147"/>
      <c r="M23" s="3147"/>
      <c r="N23" s="3147"/>
      <c r="O23" s="3147"/>
      <c r="P23" s="3147"/>
      <c r="Q23" s="3113"/>
      <c r="R23" s="3113"/>
      <c r="S23" s="3113"/>
      <c r="T23" s="3113"/>
      <c r="U23" s="3113"/>
      <c r="V23" s="3113"/>
      <c r="W23" s="3113"/>
      <c r="X23" s="3113"/>
      <c r="Y23" s="3113"/>
      <c r="Z23" s="3113"/>
      <c r="AA23" s="3113"/>
      <c r="AB23" s="3113"/>
      <c r="AC23" s="3113"/>
      <c r="AD23" s="3113"/>
      <c r="AE23" s="3113"/>
      <c r="AF23" s="3113"/>
      <c r="AG23" s="3113"/>
      <c r="AH23" s="3113"/>
      <c r="AI23" s="3113"/>
      <c r="AJ23" s="3113"/>
      <c r="AK23" s="3113"/>
      <c r="AL23" s="3113"/>
      <c r="AM23" s="3113"/>
      <c r="AN23" s="3113"/>
      <c r="AO23" s="3113"/>
      <c r="AP23" s="3113"/>
      <c r="AQ23" s="3113"/>
      <c r="AR23" s="3113"/>
      <c r="AS23" s="3113"/>
      <c r="AT23" s="3113"/>
      <c r="AU23" s="3113"/>
      <c r="AV23" s="3113"/>
      <c r="AW23" s="3113"/>
      <c r="AX23" s="3113"/>
      <c r="AY23" s="3113"/>
      <c r="AZ23" s="3113"/>
      <c r="BA23" s="3113"/>
      <c r="BB23" s="3113"/>
      <c r="BC23" s="3113"/>
      <c r="BD23" s="3113"/>
      <c r="BE23" s="3113"/>
      <c r="BF23" s="3113"/>
      <c r="BG23" s="3113"/>
      <c r="BH23" s="3113"/>
      <c r="BI23" s="3113"/>
      <c r="BJ23" s="3113"/>
      <c r="BK23" s="3113"/>
      <c r="BL23" s="3113"/>
      <c r="BM23" s="3113"/>
      <c r="BN23" s="3113"/>
    </row>
    <row r="24" spans="1:66" s="3022" customFormat="1" ht="18" customHeight="1">
      <c r="A24" s="3383" t="s">
        <v>376</v>
      </c>
      <c r="B24" s="3383"/>
      <c r="C24" s="3383"/>
      <c r="D24" s="3383"/>
      <c r="E24" s="3383"/>
      <c r="F24" s="3383"/>
      <c r="G24" s="3383"/>
      <c r="H24" s="3114"/>
      <c r="I24" s="3114"/>
      <c r="J24" s="3114"/>
      <c r="K24" s="3148"/>
      <c r="L24" s="3148"/>
      <c r="M24" s="3148"/>
      <c r="N24" s="3148"/>
      <c r="O24" s="3148"/>
      <c r="P24" s="3148"/>
      <c r="Q24" s="3151"/>
      <c r="R24" s="3151"/>
      <c r="S24" s="3151"/>
      <c r="T24" s="3151"/>
      <c r="U24" s="3151"/>
      <c r="V24" s="3151"/>
      <c r="W24" s="3151"/>
      <c r="X24" s="3151"/>
      <c r="Y24" s="3151"/>
      <c r="Z24" s="3151"/>
      <c r="AA24" s="3151"/>
      <c r="AB24" s="3151"/>
      <c r="AC24" s="3151"/>
      <c r="AD24" s="3151"/>
      <c r="AE24" s="3151"/>
      <c r="AF24" s="3151"/>
      <c r="AG24" s="3151"/>
      <c r="AH24" s="3151"/>
      <c r="AI24" s="3151"/>
      <c r="AJ24" s="3151"/>
      <c r="AK24" s="3151"/>
      <c r="AL24" s="3151"/>
      <c r="AM24" s="3151"/>
      <c r="AN24" s="3151"/>
      <c r="AO24" s="3151"/>
      <c r="AP24" s="3151"/>
      <c r="AQ24" s="3151"/>
      <c r="AR24" s="3151"/>
      <c r="AS24" s="3151"/>
      <c r="AT24" s="3151"/>
      <c r="AU24" s="3151"/>
      <c r="AV24" s="3151"/>
      <c r="AW24" s="3151"/>
      <c r="AX24" s="3151"/>
      <c r="AY24" s="3151"/>
      <c r="AZ24" s="3151"/>
      <c r="BA24" s="3151"/>
      <c r="BB24" s="3151"/>
      <c r="BC24" s="3151"/>
      <c r="BD24" s="3151"/>
      <c r="BE24" s="3151"/>
      <c r="BF24" s="3151"/>
      <c r="BG24" s="3151"/>
      <c r="BH24" s="3151"/>
      <c r="BI24" s="3151"/>
      <c r="BJ24" s="3151"/>
      <c r="BK24" s="3151"/>
      <c r="BL24" s="3151"/>
      <c r="BM24" s="3151"/>
      <c r="BN24" s="3151"/>
    </row>
    <row r="25" spans="1:66">
      <c r="A25" s="3115" t="s">
        <v>377</v>
      </c>
      <c r="B25" s="3058"/>
      <c r="C25" s="3058"/>
      <c r="D25" s="3058"/>
      <c r="E25" s="3058"/>
      <c r="F25" s="3058"/>
      <c r="G25" s="3110"/>
      <c r="K25" s="3026"/>
    </row>
    <row r="26" spans="1:66" s="3023" customFormat="1">
      <c r="A26" s="3116"/>
      <c r="B26" s="3117" t="s">
        <v>378</v>
      </c>
      <c r="C26" s="3116"/>
      <c r="D26" s="3117"/>
      <c r="E26" s="3118" t="s">
        <v>379</v>
      </c>
      <c r="F26" s="3116"/>
      <c r="G26" s="3119" t="s">
        <v>380</v>
      </c>
      <c r="H26" s="3120"/>
      <c r="I26" s="3120"/>
      <c r="J26" s="3120"/>
      <c r="K26" s="3120"/>
      <c r="L26" s="3149"/>
      <c r="M26" s="3149"/>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c r="BA26" s="3120"/>
      <c r="BB26" s="3120"/>
      <c r="BC26" s="3120"/>
      <c r="BD26" s="3120"/>
      <c r="BE26" s="3120"/>
      <c r="BF26" s="3120"/>
      <c r="BG26" s="3120"/>
      <c r="BH26" s="3120"/>
      <c r="BI26" s="3120"/>
      <c r="BJ26" s="3120"/>
      <c r="BK26" s="3120"/>
      <c r="BL26" s="3120"/>
      <c r="BM26" s="3120"/>
      <c r="BN26" s="3120"/>
    </row>
    <row r="27" spans="1:66" s="3023" customFormat="1">
      <c r="A27" s="3116"/>
      <c r="B27" s="3121"/>
      <c r="C27" s="3116"/>
      <c r="D27" s="3117"/>
      <c r="E27" s="3121"/>
      <c r="F27" s="3116"/>
      <c r="G27" s="3122"/>
      <c r="H27" s="3120"/>
      <c r="I27" s="3120"/>
      <c r="J27" s="3120"/>
      <c r="K27" s="3120"/>
      <c r="L27" s="3149"/>
      <c r="M27" s="3149"/>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120"/>
      <c r="BB27" s="3120"/>
      <c r="BC27" s="3120"/>
      <c r="BD27" s="3120"/>
      <c r="BE27" s="3120"/>
      <c r="BF27" s="3120"/>
      <c r="BG27" s="3120"/>
      <c r="BH27" s="3120"/>
      <c r="BI27" s="3120"/>
      <c r="BJ27" s="3120"/>
      <c r="BK27" s="3120"/>
      <c r="BL27" s="3120"/>
      <c r="BM27" s="3120"/>
      <c r="BN27" s="3120"/>
    </row>
    <row r="28" spans="1:66">
      <c r="A28" s="3123" t="s">
        <v>381</v>
      </c>
      <c r="B28" s="3124"/>
      <c r="C28" s="3384" t="s">
        <v>381</v>
      </c>
      <c r="D28" s="3385"/>
      <c r="E28" s="3124"/>
      <c r="F28" s="3123" t="s">
        <v>381</v>
      </c>
      <c r="G28" s="3124"/>
      <c r="K28" s="3026"/>
    </row>
    <row r="29" spans="1:66">
      <c r="A29" s="3126" t="s">
        <v>382</v>
      </c>
      <c r="B29" s="3127"/>
      <c r="C29" s="3386" t="s">
        <v>383</v>
      </c>
      <c r="D29" s="3387"/>
      <c r="E29" s="3127"/>
      <c r="F29" s="3126" t="s">
        <v>383</v>
      </c>
      <c r="G29" s="3127"/>
      <c r="K29" s="3026"/>
    </row>
    <row r="30" spans="1:66">
      <c r="A30" s="3126" t="s">
        <v>384</v>
      </c>
      <c r="B30" s="3127"/>
      <c r="C30" s="3386" t="s">
        <v>384</v>
      </c>
      <c r="D30" s="3387"/>
      <c r="E30" s="3127"/>
      <c r="F30" s="3126" t="s">
        <v>385</v>
      </c>
      <c r="G30" s="3127"/>
      <c r="K30" s="3026"/>
    </row>
    <row r="31" spans="1:66">
      <c r="A31" s="3126" t="s">
        <v>386</v>
      </c>
      <c r="B31" s="3127"/>
      <c r="C31" s="3369" t="s">
        <v>387</v>
      </c>
      <c r="D31" s="3058"/>
      <c r="E31" s="3129" t="str">
        <f>E32&amp;" "&amp;E33&amp;" "&amp;E34&amp;" "&amp;E35</f>
        <v/>
      </c>
      <c r="F31" s="3126" t="s">
        <v>388</v>
      </c>
      <c r="G31" s="3127"/>
    </row>
    <row r="32" spans="1:66">
      <c r="A32" s="3126" t="s">
        <v>389</v>
      </c>
      <c r="B32" s="3127"/>
      <c r="C32" s="3370"/>
      <c r="D32" s="2189" t="s">
        <v>390</v>
      </c>
      <c r="E32" s="3127"/>
      <c r="F32" s="3126" t="s">
        <v>391</v>
      </c>
      <c r="G32" s="3127"/>
    </row>
    <row r="33" spans="1:7" ht="24">
      <c r="A33" s="3130" t="s">
        <v>392</v>
      </c>
      <c r="B33" s="3131"/>
      <c r="C33" s="3370"/>
      <c r="D33" s="2189" t="s">
        <v>393</v>
      </c>
      <c r="E33" s="3127"/>
      <c r="F33" s="3126" t="s">
        <v>394</v>
      </c>
      <c r="G33" s="3127"/>
    </row>
    <row r="34" spans="1:7">
      <c r="A34" s="3123" t="s">
        <v>395</v>
      </c>
      <c r="B34" s="3124"/>
      <c r="C34" s="3370"/>
      <c r="D34" s="2189" t="s">
        <v>396</v>
      </c>
      <c r="E34" s="3127"/>
      <c r="F34" s="3126" t="s">
        <v>397</v>
      </c>
      <c r="G34" s="3127"/>
    </row>
    <row r="35" spans="1:7">
      <c r="A35" s="3126" t="s">
        <v>398</v>
      </c>
      <c r="B35" s="3127"/>
      <c r="C35" s="3371"/>
      <c r="D35" s="2189" t="s">
        <v>399</v>
      </c>
      <c r="E35" s="3127"/>
      <c r="F35" s="3130" t="s">
        <v>400</v>
      </c>
      <c r="G35" s="3132"/>
    </row>
    <row r="36" spans="1:7">
      <c r="A36" s="3126" t="s">
        <v>357</v>
      </c>
      <c r="B36" s="3127"/>
      <c r="C36" s="3386" t="s">
        <v>401</v>
      </c>
      <c r="D36" s="3387"/>
      <c r="E36" s="3127"/>
      <c r="F36" s="3125" t="s">
        <v>402</v>
      </c>
      <c r="G36" s="3124"/>
    </row>
    <row r="37" spans="1:7">
      <c r="A37" s="3126" t="s">
        <v>403</v>
      </c>
      <c r="B37" s="3127"/>
      <c r="C37" s="3375" t="s">
        <v>404</v>
      </c>
      <c r="D37" s="3376"/>
      <c r="E37" s="3131"/>
      <c r="F37" s="3128" t="s">
        <v>405</v>
      </c>
      <c r="G37" s="3127"/>
    </row>
    <row r="38" spans="1:7">
      <c r="A38" s="3126" t="s">
        <v>406</v>
      </c>
      <c r="B38" s="3127"/>
      <c r="C38" s="3372" t="s">
        <v>407</v>
      </c>
      <c r="D38" s="3078" t="s">
        <v>391</v>
      </c>
      <c r="E38" s="3124"/>
      <c r="F38" s="3130" t="s">
        <v>408</v>
      </c>
      <c r="G38" s="3131"/>
    </row>
    <row r="39" spans="1:7">
      <c r="A39" s="3126" t="s">
        <v>409</v>
      </c>
      <c r="B39" s="3127"/>
      <c r="C39" s="3373"/>
      <c r="D39" s="2189" t="s">
        <v>398</v>
      </c>
      <c r="E39" s="3127"/>
      <c r="F39" s="3123" t="s">
        <v>410</v>
      </c>
      <c r="G39" s="3124"/>
    </row>
    <row r="40" spans="1:7">
      <c r="A40" s="3126" t="s">
        <v>411</v>
      </c>
      <c r="B40" s="3127"/>
      <c r="C40" s="3373" t="s">
        <v>412</v>
      </c>
      <c r="D40" s="2189" t="s">
        <v>357</v>
      </c>
      <c r="E40" s="3127"/>
      <c r="F40" s="3126" t="s">
        <v>413</v>
      </c>
      <c r="G40" s="3127"/>
    </row>
    <row r="41" spans="1:7" ht="24.75" customHeight="1">
      <c r="A41" s="3130" t="s">
        <v>414</v>
      </c>
      <c r="B41" s="3131"/>
      <c r="C41" s="3374"/>
      <c r="D41" s="3084" t="s">
        <v>359</v>
      </c>
      <c r="E41" s="3131"/>
      <c r="F41" s="3130" t="s">
        <v>415</v>
      </c>
      <c r="G41" s="3131"/>
    </row>
    <row r="42" spans="1:7">
      <c r="A42" s="3133" t="s">
        <v>416</v>
      </c>
      <c r="B42" s="3134"/>
      <c r="C42" s="3377" t="s">
        <v>416</v>
      </c>
      <c r="D42" s="3378"/>
      <c r="E42" s="3134"/>
      <c r="F42" s="3123" t="s">
        <v>417</v>
      </c>
      <c r="G42" s="3134"/>
    </row>
    <row r="43" spans="1:7">
      <c r="A43" s="3063" t="s">
        <v>418</v>
      </c>
      <c r="B43" s="3135"/>
      <c r="C43" s="3095"/>
      <c r="D43" s="3107"/>
      <c r="E43" s="3135"/>
      <c r="F43" s="3063"/>
      <c r="G43" s="3135"/>
    </row>
    <row r="44" spans="1:7">
      <c r="A44" s="3063" t="s">
        <v>372</v>
      </c>
      <c r="B44" s="3136"/>
      <c r="C44" s="3095"/>
      <c r="D44" s="2156" t="s">
        <v>372</v>
      </c>
      <c r="E44" s="3136"/>
      <c r="F44" s="3063" t="s">
        <v>372</v>
      </c>
      <c r="G44" s="3136"/>
    </row>
    <row r="45" spans="1:7">
      <c r="A45" s="3063" t="s">
        <v>373</v>
      </c>
      <c r="B45" s="3136"/>
      <c r="C45" s="3095"/>
      <c r="D45" s="3107" t="s">
        <v>373</v>
      </c>
      <c r="E45" s="3136"/>
      <c r="F45" s="3063" t="s">
        <v>373</v>
      </c>
      <c r="G45" s="3136"/>
    </row>
    <row r="46" spans="1:7">
      <c r="A46" s="3063" t="s">
        <v>374</v>
      </c>
      <c r="B46" s="3136"/>
      <c r="C46" s="3095"/>
      <c r="D46" s="3107" t="s">
        <v>374</v>
      </c>
      <c r="E46" s="3136"/>
      <c r="F46" s="3063" t="s">
        <v>374</v>
      </c>
      <c r="G46" s="3136"/>
    </row>
    <row r="47" spans="1:7">
      <c r="A47" s="3063" t="s">
        <v>375</v>
      </c>
      <c r="B47" s="3136"/>
      <c r="C47" s="3095"/>
      <c r="D47" s="3107" t="s">
        <v>375</v>
      </c>
      <c r="E47" s="3136"/>
      <c r="F47" s="3063" t="s">
        <v>375</v>
      </c>
      <c r="G47" s="3136"/>
    </row>
    <row r="48" spans="1:7">
      <c r="A48" s="3063"/>
      <c r="B48" s="3136"/>
      <c r="C48" s="3095"/>
      <c r="D48" s="3107"/>
      <c r="E48" s="3136"/>
      <c r="F48" s="3063"/>
      <c r="G48" s="3136"/>
    </row>
    <row r="49" spans="1:66">
      <c r="A49" s="3130" t="s">
        <v>419</v>
      </c>
      <c r="B49" s="3131"/>
      <c r="C49" s="3379" t="s">
        <v>419</v>
      </c>
      <c r="D49" s="3380"/>
      <c r="E49" s="3137"/>
      <c r="F49" s="3130" t="s">
        <v>420</v>
      </c>
      <c r="G49" s="3131"/>
    </row>
    <row r="50" spans="1:66">
      <c r="A50" s="3126" t="s">
        <v>421</v>
      </c>
      <c r="B50" s="3138"/>
      <c r="C50" s="3372" t="s">
        <v>422</v>
      </c>
      <c r="D50" s="3381"/>
      <c r="E50" s="3139"/>
      <c r="F50" s="3140"/>
      <c r="G50" s="3141"/>
    </row>
    <row r="51" spans="1:66">
      <c r="A51" s="3126" t="s">
        <v>423</v>
      </c>
      <c r="B51" s="3138"/>
      <c r="C51" s="3374" t="s">
        <v>424</v>
      </c>
      <c r="D51" s="3382"/>
      <c r="E51" s="3131"/>
      <c r="F51" s="3058"/>
      <c r="G51" s="3059"/>
    </row>
    <row r="52" spans="1:66">
      <c r="A52" s="3126" t="s">
        <v>402</v>
      </c>
      <c r="B52" s="3127"/>
      <c r="C52" s="3058"/>
      <c r="D52" s="3058"/>
      <c r="E52" s="3058"/>
      <c r="F52" s="3058"/>
      <c r="G52" s="3059"/>
    </row>
    <row r="53" spans="1:66" ht="24">
      <c r="A53" s="3130" t="s">
        <v>425</v>
      </c>
      <c r="B53" s="3132"/>
      <c r="C53" s="3111"/>
      <c r="D53" s="3111"/>
      <c r="E53" s="3111"/>
      <c r="F53" s="3111"/>
      <c r="G53" s="3142"/>
    </row>
    <row r="57" spans="1:66" s="3024" customFormat="1">
      <c r="H57" s="3038"/>
      <c r="I57" s="3038"/>
      <c r="J57" s="3038"/>
      <c r="K57" s="3150"/>
      <c r="L57" s="3150"/>
      <c r="M57" s="3150"/>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8"/>
      <c r="AK57" s="3038"/>
      <c r="AL57" s="3038"/>
      <c r="AM57" s="3038"/>
      <c r="AN57" s="3038"/>
      <c r="AO57" s="3038"/>
      <c r="AP57" s="3038"/>
      <c r="AQ57" s="3038"/>
      <c r="AR57" s="3038"/>
      <c r="AS57" s="3038"/>
      <c r="AT57" s="3038"/>
      <c r="AU57" s="3038"/>
      <c r="AV57" s="3038"/>
      <c r="AW57" s="3038"/>
      <c r="AX57" s="3038"/>
      <c r="AY57" s="3038"/>
      <c r="AZ57" s="3038"/>
      <c r="BA57" s="3038"/>
      <c r="BB57" s="3038"/>
      <c r="BC57" s="3038"/>
      <c r="BD57" s="3038"/>
      <c r="BE57" s="3038"/>
      <c r="BF57" s="3038"/>
      <c r="BG57" s="3038"/>
      <c r="BH57" s="3038"/>
      <c r="BI57" s="3038"/>
      <c r="BJ57" s="3038"/>
      <c r="BK57" s="3038"/>
      <c r="BL57" s="3038"/>
      <c r="BM57" s="3038"/>
      <c r="BN57" s="3038"/>
    </row>
    <row r="58" spans="1:66" s="3024" customFormat="1">
      <c r="H58" s="3038"/>
      <c r="I58" s="3038"/>
      <c r="J58" s="3038"/>
      <c r="K58" s="3150"/>
      <c r="L58" s="3150"/>
      <c r="M58" s="3150"/>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8"/>
      <c r="AK58" s="3038"/>
      <c r="AL58" s="3038"/>
      <c r="AM58" s="3038"/>
      <c r="AN58" s="3038"/>
      <c r="AO58" s="3038"/>
      <c r="AP58" s="3038"/>
      <c r="AQ58" s="3038"/>
      <c r="AR58" s="3038"/>
      <c r="AS58" s="3038"/>
      <c r="AT58" s="3038"/>
      <c r="AU58" s="3038"/>
      <c r="AV58" s="3038"/>
      <c r="AW58" s="3038"/>
      <c r="AX58" s="3038"/>
      <c r="AY58" s="3038"/>
      <c r="AZ58" s="3038"/>
      <c r="BA58" s="3038"/>
      <c r="BB58" s="3038"/>
      <c r="BC58" s="3038"/>
      <c r="BD58" s="3038"/>
      <c r="BE58" s="3038"/>
      <c r="BF58" s="3038"/>
      <c r="BG58" s="3038"/>
      <c r="BH58" s="3038"/>
      <c r="BI58" s="3038"/>
      <c r="BJ58" s="3038"/>
      <c r="BK58" s="3038"/>
      <c r="BL58" s="3038"/>
      <c r="BM58" s="3038"/>
      <c r="BN58" s="3038"/>
    </row>
    <row r="59" spans="1:66" s="3024" customFormat="1">
      <c r="H59" s="3038"/>
      <c r="I59" s="3038"/>
      <c r="J59" s="3038"/>
      <c r="K59" s="3150"/>
      <c r="L59" s="3150"/>
      <c r="M59" s="3150"/>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8"/>
      <c r="AK59" s="3038"/>
      <c r="AL59" s="3038"/>
      <c r="AM59" s="3038"/>
      <c r="AN59" s="3038"/>
      <c r="AO59" s="3038"/>
      <c r="AP59" s="3038"/>
      <c r="AQ59" s="3038"/>
      <c r="AR59" s="3038"/>
      <c r="AS59" s="3038"/>
      <c r="AT59" s="3038"/>
      <c r="AU59" s="3038"/>
      <c r="AV59" s="3038"/>
      <c r="AW59" s="3038"/>
      <c r="AX59" s="3038"/>
      <c r="AY59" s="3038"/>
      <c r="AZ59" s="3038"/>
      <c r="BA59" s="3038"/>
      <c r="BB59" s="3038"/>
      <c r="BC59" s="3038"/>
      <c r="BD59" s="3038"/>
      <c r="BE59" s="3038"/>
      <c r="BF59" s="3038"/>
      <c r="BG59" s="3038"/>
      <c r="BH59" s="3038"/>
      <c r="BI59" s="3038"/>
      <c r="BJ59" s="3038"/>
      <c r="BK59" s="3038"/>
      <c r="BL59" s="3038"/>
      <c r="BM59" s="3038"/>
      <c r="BN59" s="3038"/>
    </row>
    <row r="60" spans="1:66" s="3024" customFormat="1">
      <c r="H60" s="3038"/>
      <c r="I60" s="3038"/>
      <c r="J60" s="3038"/>
      <c r="K60" s="3150"/>
      <c r="L60" s="3150"/>
      <c r="M60" s="3150"/>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8"/>
      <c r="AK60" s="3038"/>
      <c r="AL60" s="3038"/>
      <c r="AM60" s="3038"/>
      <c r="AN60" s="3038"/>
      <c r="AO60" s="3038"/>
      <c r="AP60" s="3038"/>
      <c r="AQ60" s="3038"/>
      <c r="AR60" s="3038"/>
      <c r="AS60" s="3038"/>
      <c r="AT60" s="3038"/>
      <c r="AU60" s="3038"/>
      <c r="AV60" s="3038"/>
      <c r="AW60" s="3038"/>
      <c r="AX60" s="3038"/>
      <c r="AY60" s="3038"/>
      <c r="AZ60" s="3038"/>
      <c r="BA60" s="3038"/>
      <c r="BB60" s="3038"/>
      <c r="BC60" s="3038"/>
      <c r="BD60" s="3038"/>
      <c r="BE60" s="3038"/>
      <c r="BF60" s="3038"/>
      <c r="BG60" s="3038"/>
      <c r="BH60" s="3038"/>
      <c r="BI60" s="3038"/>
      <c r="BJ60" s="3038"/>
      <c r="BK60" s="3038"/>
      <c r="BL60" s="3038"/>
      <c r="BM60" s="3038"/>
      <c r="BN60" s="3038"/>
    </row>
    <row r="61" spans="1:66" s="3024" customFormat="1">
      <c r="H61" s="3038"/>
      <c r="I61" s="3038"/>
      <c r="J61" s="3038"/>
      <c r="K61" s="3150"/>
      <c r="L61" s="3150"/>
      <c r="M61" s="3150"/>
      <c r="N61" s="3038"/>
      <c r="O61" s="3038"/>
      <c r="P61" s="3038"/>
      <c r="Q61" s="3038"/>
      <c r="R61" s="3038"/>
      <c r="S61" s="3038"/>
      <c r="T61" s="3038"/>
      <c r="U61" s="3038"/>
      <c r="V61" s="3038"/>
      <c r="W61" s="3038"/>
      <c r="X61" s="3038"/>
      <c r="Y61" s="3038"/>
      <c r="Z61" s="3038"/>
      <c r="AA61" s="3038"/>
      <c r="AB61" s="3038"/>
      <c r="AC61" s="3038"/>
      <c r="AD61" s="3038"/>
      <c r="AE61" s="3038"/>
      <c r="AF61" s="3038"/>
      <c r="AG61" s="3038"/>
      <c r="AH61" s="3038"/>
      <c r="AI61" s="3038"/>
      <c r="AJ61" s="3038"/>
      <c r="AK61" s="3038"/>
      <c r="AL61" s="3038"/>
      <c r="AM61" s="3038"/>
      <c r="AN61" s="3038"/>
      <c r="AO61" s="3038"/>
      <c r="AP61" s="3038"/>
      <c r="AQ61" s="3038"/>
      <c r="AR61" s="3038"/>
      <c r="AS61" s="3038"/>
      <c r="AT61" s="3038"/>
      <c r="AU61" s="3038"/>
      <c r="AV61" s="3038"/>
      <c r="AW61" s="3038"/>
      <c r="AX61" s="3038"/>
      <c r="AY61" s="3038"/>
      <c r="AZ61" s="3038"/>
      <c r="BA61" s="3038"/>
      <c r="BB61" s="3038"/>
      <c r="BC61" s="3038"/>
      <c r="BD61" s="3038"/>
      <c r="BE61" s="3038"/>
      <c r="BF61" s="3038"/>
      <c r="BG61" s="3038"/>
      <c r="BH61" s="3038"/>
      <c r="BI61" s="3038"/>
      <c r="BJ61" s="3038"/>
      <c r="BK61" s="3038"/>
      <c r="BL61" s="3038"/>
      <c r="BM61" s="3038"/>
      <c r="BN61" s="3038"/>
    </row>
    <row r="62" spans="1:66" s="3024" customFormat="1">
      <c r="H62" s="3038"/>
      <c r="I62" s="3038"/>
      <c r="J62" s="3038"/>
      <c r="K62" s="3150"/>
      <c r="L62" s="3150"/>
      <c r="M62" s="3150"/>
      <c r="N62" s="3038"/>
      <c r="O62" s="3038"/>
      <c r="P62" s="3038"/>
      <c r="Q62" s="3038"/>
      <c r="R62" s="3038"/>
      <c r="S62" s="3038"/>
      <c r="T62" s="3038"/>
      <c r="U62" s="3038"/>
      <c r="V62" s="3038"/>
      <c r="W62" s="3038"/>
      <c r="X62" s="3038"/>
      <c r="Y62" s="3038"/>
      <c r="Z62" s="3038"/>
      <c r="AA62" s="3038"/>
      <c r="AB62" s="3038"/>
      <c r="AC62" s="3038"/>
      <c r="AD62" s="3038"/>
      <c r="AE62" s="3038"/>
      <c r="AF62" s="3038"/>
      <c r="AG62" s="3038"/>
      <c r="AH62" s="3038"/>
      <c r="AI62" s="3038"/>
      <c r="AJ62" s="3038"/>
      <c r="AK62" s="3038"/>
      <c r="AL62" s="3038"/>
      <c r="AM62" s="3038"/>
      <c r="AN62" s="3038"/>
      <c r="AO62" s="3038"/>
      <c r="AP62" s="3038"/>
      <c r="AQ62" s="3038"/>
      <c r="AR62" s="3038"/>
      <c r="AS62" s="3038"/>
      <c r="AT62" s="3038"/>
      <c r="AU62" s="3038"/>
      <c r="AV62" s="3038"/>
      <c r="AW62" s="3038"/>
      <c r="AX62" s="3038"/>
      <c r="AY62" s="3038"/>
      <c r="AZ62" s="3038"/>
      <c r="BA62" s="3038"/>
      <c r="BB62" s="3038"/>
      <c r="BC62" s="3038"/>
      <c r="BD62" s="3038"/>
      <c r="BE62" s="3038"/>
      <c r="BF62" s="3038"/>
      <c r="BG62" s="3038"/>
      <c r="BH62" s="3038"/>
      <c r="BI62" s="3038"/>
      <c r="BJ62" s="3038"/>
      <c r="BK62" s="3038"/>
      <c r="BL62" s="3038"/>
      <c r="BM62" s="3038"/>
      <c r="BN62" s="3038"/>
    </row>
    <row r="63" spans="1:66" s="3024" customFormat="1">
      <c r="H63" s="3038"/>
      <c r="I63" s="3038"/>
      <c r="J63" s="3038"/>
      <c r="K63" s="3150"/>
      <c r="L63" s="3150"/>
      <c r="M63" s="3150"/>
      <c r="N63" s="3038"/>
      <c r="O63" s="3038"/>
      <c r="P63" s="3038"/>
      <c r="Q63" s="3038"/>
      <c r="R63" s="3038"/>
      <c r="S63" s="3038"/>
      <c r="T63" s="3038"/>
      <c r="U63" s="3038"/>
      <c r="V63" s="3038"/>
      <c r="W63" s="3038"/>
      <c r="X63" s="3038"/>
      <c r="Y63" s="3038"/>
      <c r="Z63" s="3038"/>
      <c r="AA63" s="3038"/>
      <c r="AB63" s="3038"/>
      <c r="AC63" s="3038"/>
      <c r="AD63" s="3038"/>
      <c r="AE63" s="3038"/>
      <c r="AF63" s="3038"/>
      <c r="AG63" s="3038"/>
      <c r="AH63" s="3038"/>
      <c r="AI63" s="3038"/>
      <c r="AJ63" s="3038"/>
      <c r="AK63" s="3038"/>
      <c r="AL63" s="3038"/>
      <c r="AM63" s="3038"/>
      <c r="AN63" s="3038"/>
      <c r="AO63" s="3038"/>
      <c r="AP63" s="3038"/>
      <c r="AQ63" s="3038"/>
      <c r="AR63" s="3038"/>
      <c r="AS63" s="3038"/>
      <c r="AT63" s="3038"/>
      <c r="AU63" s="3038"/>
      <c r="AV63" s="3038"/>
      <c r="AW63" s="3038"/>
      <c r="AX63" s="3038"/>
      <c r="AY63" s="3038"/>
      <c r="AZ63" s="3038"/>
      <c r="BA63" s="3038"/>
      <c r="BB63" s="3038"/>
      <c r="BC63" s="3038"/>
      <c r="BD63" s="3038"/>
      <c r="BE63" s="3038"/>
      <c r="BF63" s="3038"/>
      <c r="BG63" s="3038"/>
      <c r="BH63" s="3038"/>
      <c r="BI63" s="3038"/>
      <c r="BJ63" s="3038"/>
      <c r="BK63" s="3038"/>
      <c r="BL63" s="3038"/>
      <c r="BM63" s="3038"/>
      <c r="BN63" s="303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allowBlank="1" showInputMessage="1" showErrorMessage="1" sqref="B42 E42:E43 G42:G43">
      <formula1>"有,无,——"</formula1>
    </dataValidation>
    <dataValidation type="list" allowBlank="1" showInputMessage="1" showErrorMessage="1" sqref="B3 D3">
      <formula1>注册房地产估价师</formula1>
    </dataValidation>
    <dataValidation type="list" allowBlank="1" showInputMessage="1" showErrorMessage="1" sqref="B43">
      <formula1>"原件,复印件"</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sheetPr codeName="Sheet22"/>
  <dimension ref="A1:M9"/>
  <sheetViews>
    <sheetView workbookViewId="0">
      <selection activeCell="F18" sqref="F18"/>
    </sheetView>
  </sheetViews>
  <sheetFormatPr defaultColWidth="9" defaultRowHeight="13.5"/>
  <cols>
    <col min="1" max="1" width="12.125" style="3018" customWidth="1"/>
    <col min="2" max="2" width="10.625" style="3018" customWidth="1"/>
    <col min="3" max="3" width="15.75" style="3018" customWidth="1"/>
    <col min="4" max="7" width="9.5" style="3018" customWidth="1"/>
    <col min="8" max="13" width="9.125" style="3018" customWidth="1"/>
    <col min="14" max="16384" width="9" style="3018"/>
  </cols>
  <sheetData>
    <row r="1" spans="1:13" ht="14.25">
      <c r="A1" s="3399" t="s">
        <v>426</v>
      </c>
      <c r="B1" s="3399" t="s">
        <v>427</v>
      </c>
      <c r="C1" s="3399" t="s">
        <v>428</v>
      </c>
      <c r="D1" s="3398" t="s">
        <v>429</v>
      </c>
      <c r="E1" s="3398" t="s">
        <v>430</v>
      </c>
      <c r="F1" s="3398"/>
      <c r="G1" s="3398"/>
      <c r="H1" s="3398"/>
      <c r="I1" s="3398"/>
      <c r="J1" s="3398"/>
      <c r="K1" s="3398"/>
      <c r="L1" s="3398"/>
      <c r="M1" s="3398"/>
    </row>
    <row r="2" spans="1:13" ht="27" customHeight="1">
      <c r="A2" s="3399"/>
      <c r="B2" s="3399"/>
      <c r="C2" s="3399"/>
      <c r="D2" s="3398"/>
      <c r="E2" s="3398" t="s">
        <v>431</v>
      </c>
      <c r="F2" s="3398" t="s">
        <v>432</v>
      </c>
      <c r="G2" s="3398"/>
      <c r="H2" s="3398"/>
      <c r="I2" s="3398"/>
      <c r="J2" s="3398" t="s">
        <v>433</v>
      </c>
      <c r="K2" s="3398"/>
      <c r="L2" s="3398"/>
      <c r="M2" s="3398"/>
    </row>
    <row r="3" spans="1:13" ht="28.5">
      <c r="A3" s="3399"/>
      <c r="B3" s="3399"/>
      <c r="C3" s="3399"/>
      <c r="D3" s="3398"/>
      <c r="E3" s="3398"/>
      <c r="F3" s="3020" t="s">
        <v>434</v>
      </c>
      <c r="G3" s="3020" t="s">
        <v>435</v>
      </c>
      <c r="H3" s="3020" t="s">
        <v>436</v>
      </c>
      <c r="I3" s="3020" t="s">
        <v>437</v>
      </c>
      <c r="J3" s="3020" t="s">
        <v>434</v>
      </c>
      <c r="K3" s="3020" t="s">
        <v>438</v>
      </c>
      <c r="L3" s="3020" t="s">
        <v>439</v>
      </c>
      <c r="M3" s="3020" t="s">
        <v>440</v>
      </c>
    </row>
    <row r="4" spans="1:13" ht="42.75">
      <c r="A4" s="3020" t="s">
        <v>441</v>
      </c>
      <c r="B4" s="3020" t="s">
        <v>442</v>
      </c>
      <c r="C4" s="3020" t="s">
        <v>443</v>
      </c>
      <c r="D4" s="3019">
        <v>3807.94</v>
      </c>
      <c r="E4" s="3019">
        <v>20666.91</v>
      </c>
      <c r="F4" s="3019">
        <v>19673</v>
      </c>
      <c r="G4" s="3019">
        <v>0</v>
      </c>
      <c r="H4" s="3019">
        <v>19673</v>
      </c>
      <c r="I4" s="3019">
        <v>0</v>
      </c>
      <c r="J4" s="3019">
        <v>993.91</v>
      </c>
      <c r="K4" s="3019">
        <v>0</v>
      </c>
      <c r="L4" s="3019">
        <v>0</v>
      </c>
      <c r="M4" s="3019">
        <v>993.91</v>
      </c>
    </row>
    <row r="5" spans="1:13" ht="42.75">
      <c r="A5" s="3020" t="s">
        <v>441</v>
      </c>
      <c r="B5" s="3020" t="s">
        <v>444</v>
      </c>
      <c r="C5" s="3020" t="s">
        <v>445</v>
      </c>
      <c r="D5" s="3019">
        <v>3667.86</v>
      </c>
      <c r="E5" s="3019">
        <v>19906.61</v>
      </c>
      <c r="F5" s="3019">
        <v>18792.87</v>
      </c>
      <c r="G5" s="3019">
        <v>18792.87</v>
      </c>
      <c r="H5" s="3019">
        <v>0</v>
      </c>
      <c r="I5" s="3019">
        <v>0</v>
      </c>
      <c r="J5" s="3019">
        <v>1113.74</v>
      </c>
      <c r="K5" s="3019">
        <v>55.59</v>
      </c>
      <c r="L5" s="3019">
        <v>0</v>
      </c>
      <c r="M5" s="3019">
        <v>1058.1500000000001</v>
      </c>
    </row>
    <row r="6" spans="1:13" ht="42.75">
      <c r="A6" s="3020" t="s">
        <v>441</v>
      </c>
      <c r="B6" s="3020" t="s">
        <v>444</v>
      </c>
      <c r="C6" s="3020" t="s">
        <v>446</v>
      </c>
      <c r="D6" s="3019">
        <v>2067.52</v>
      </c>
      <c r="E6" s="3019">
        <v>11221.06</v>
      </c>
      <c r="F6" s="3019">
        <v>9934.1299999999992</v>
      </c>
      <c r="G6" s="3019">
        <v>9934.1299999999992</v>
      </c>
      <c r="H6" s="3019">
        <v>0</v>
      </c>
      <c r="I6" s="3019">
        <v>0</v>
      </c>
      <c r="J6" s="3019">
        <v>1286.93</v>
      </c>
      <c r="K6" s="3019">
        <v>0</v>
      </c>
      <c r="L6" s="3019">
        <v>0</v>
      </c>
      <c r="M6" s="3019">
        <v>1286.93</v>
      </c>
    </row>
    <row r="7" spans="1:13" ht="42.75">
      <c r="A7" s="3020" t="s">
        <v>441</v>
      </c>
      <c r="B7" s="3020" t="s">
        <v>444</v>
      </c>
      <c r="C7" s="3020" t="s">
        <v>447</v>
      </c>
      <c r="D7" s="3019">
        <v>8.18</v>
      </c>
      <c r="E7" s="3019">
        <v>44.41</v>
      </c>
      <c r="F7" s="3019">
        <v>0</v>
      </c>
      <c r="G7" s="3019">
        <v>0</v>
      </c>
      <c r="H7" s="3019">
        <v>0</v>
      </c>
      <c r="I7" s="3019">
        <v>0</v>
      </c>
      <c r="J7" s="3019">
        <v>44.41</v>
      </c>
      <c r="K7" s="3019">
        <v>44.41</v>
      </c>
      <c r="L7" s="3019">
        <v>0</v>
      </c>
      <c r="M7" s="3019">
        <v>0</v>
      </c>
    </row>
    <row r="8" spans="1:13" ht="42.75">
      <c r="A8" s="3020" t="s">
        <v>441</v>
      </c>
      <c r="B8" s="3020" t="s">
        <v>444</v>
      </c>
      <c r="C8" s="3020" t="s">
        <v>437</v>
      </c>
      <c r="D8" s="3019">
        <v>2455.5300000000002</v>
      </c>
      <c r="E8" s="3019">
        <v>13326.96</v>
      </c>
      <c r="F8" s="3019">
        <v>9231.0499999999993</v>
      </c>
      <c r="G8" s="3019">
        <v>0</v>
      </c>
      <c r="H8" s="3019">
        <v>0</v>
      </c>
      <c r="I8" s="3019">
        <v>9231.0499999999993</v>
      </c>
      <c r="J8" s="3019">
        <v>4095.91</v>
      </c>
      <c r="K8" s="3019">
        <v>0</v>
      </c>
      <c r="L8" s="3019">
        <v>3320.79</v>
      </c>
      <c r="M8" s="3019">
        <v>775.12</v>
      </c>
    </row>
    <row r="9" spans="1:13" ht="27" customHeight="1">
      <c r="A9" s="3398" t="s">
        <v>448</v>
      </c>
      <c r="B9" s="3398"/>
      <c r="C9" s="3398"/>
      <c r="D9" s="3019">
        <v>12007.03</v>
      </c>
      <c r="E9" s="3019">
        <v>65165.95</v>
      </c>
      <c r="F9" s="3019">
        <v>57631.05</v>
      </c>
      <c r="G9" s="3019">
        <v>28727</v>
      </c>
      <c r="H9" s="3019">
        <v>19673</v>
      </c>
      <c r="I9" s="3019">
        <v>9231.0499999999993</v>
      </c>
      <c r="J9" s="3019">
        <v>7534.9</v>
      </c>
      <c r="K9" s="3019">
        <v>100</v>
      </c>
      <c r="L9" s="3019">
        <v>3320.79</v>
      </c>
      <c r="M9" s="301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8"/>
  <sheetViews>
    <sheetView view="pageBreakPreview" zoomScale="90" zoomScaleNormal="90" workbookViewId="0">
      <pane xSplit="3" ySplit="11" topLeftCell="D27" activePane="bottomRight" state="frozen"/>
      <selection pane="topRight"/>
      <selection pane="bottomLeft"/>
      <selection pane="bottomRight" activeCell="B34" sqref="B34"/>
    </sheetView>
  </sheetViews>
  <sheetFormatPr defaultColWidth="13.75" defaultRowHeight="12.75"/>
  <cols>
    <col min="1" max="1" width="20.875" style="2911" customWidth="1"/>
    <col min="2" max="2" width="16.75" style="2836" customWidth="1"/>
    <col min="3" max="3" width="18.25" style="2837" customWidth="1"/>
    <col min="4" max="4" width="34.125" style="2912" customWidth="1"/>
    <col min="5" max="5" width="17.625" style="2912" customWidth="1"/>
    <col min="6" max="6" width="15.5" style="2913" customWidth="1"/>
    <col min="7" max="8" width="9.125" style="2914" customWidth="1"/>
    <col min="9" max="9" width="15" style="2837" customWidth="1"/>
    <col min="10" max="14" width="8.875" style="2837" customWidth="1"/>
    <col min="15" max="16" width="12.375" style="2837" customWidth="1"/>
    <col min="17" max="17" width="8.625" style="2837" customWidth="1"/>
    <col min="18" max="18" width="12.5" style="2837" customWidth="1"/>
    <col min="19" max="19" width="8.5" style="2837" customWidth="1"/>
    <col min="20" max="21" width="10.875" style="2837" customWidth="1"/>
    <col min="22" max="23" width="12.5" style="2837" customWidth="1"/>
    <col min="24" max="24" width="12.125" style="2837" customWidth="1"/>
    <col min="25" max="25" width="7.5" style="2837" customWidth="1"/>
    <col min="26" max="26" width="6.375" style="2837" customWidth="1"/>
    <col min="27" max="32" width="6.75" style="2837" customWidth="1"/>
    <col min="33" max="33" width="6.5" style="2837" customWidth="1"/>
    <col min="34" max="36" width="7.25" style="2837" customWidth="1"/>
    <col min="37" max="41" width="8" style="2837" customWidth="1"/>
    <col min="42" max="16384" width="13.75" style="2836"/>
  </cols>
  <sheetData>
    <row r="1" spans="1:41" ht="18.75">
      <c r="A1" s="2915" t="s">
        <v>449</v>
      </c>
      <c r="B1" s="2298"/>
      <c r="D1" s="2913"/>
      <c r="E1" s="2913"/>
    </row>
    <row r="2" spans="1:41" s="2840" customFormat="1" ht="15">
      <c r="A2" s="2916" t="s">
        <v>450</v>
      </c>
      <c r="B2" s="2917">
        <f>项目基本情况!D2</f>
        <v>44873</v>
      </c>
      <c r="C2" s="1014"/>
      <c r="D2" s="3400" t="s">
        <v>451</v>
      </c>
      <c r="E2" s="2918"/>
      <c r="F2" s="2919"/>
      <c r="G2" s="2920"/>
      <c r="H2" s="292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40" customFormat="1" ht="15" customHeight="1">
      <c r="A3" s="2921" t="s">
        <v>452</v>
      </c>
      <c r="B3" s="2922" t="s">
        <v>453</v>
      </c>
      <c r="C3" s="1014"/>
      <c r="D3" s="3401"/>
      <c r="E3" s="2923" t="s">
        <v>454</v>
      </c>
      <c r="F3" s="2919"/>
      <c r="G3" s="2920"/>
      <c r="H3" s="292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40" customFormat="1" ht="14.25">
      <c r="A4" s="2924" t="s">
        <v>455</v>
      </c>
      <c r="B4" s="2922" t="s">
        <v>456</v>
      </c>
      <c r="C4" s="1014"/>
      <c r="D4" s="3401"/>
      <c r="E4" s="2923"/>
      <c r="F4" s="2919"/>
      <c r="G4" s="2920"/>
      <c r="H4" s="292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40" customFormat="1" ht="15">
      <c r="A5" s="2921" t="s">
        <v>457</v>
      </c>
      <c r="B5" s="2925">
        <f>项目基本情况!C12</f>
        <v>59.11</v>
      </c>
      <c r="C5" s="1014"/>
      <c r="D5" s="2926" t="s">
        <v>458</v>
      </c>
      <c r="E5" s="2927"/>
      <c r="F5" s="2919"/>
      <c r="G5" s="2920"/>
      <c r="H5" s="292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40" customFormat="1" ht="15">
      <c r="A6" s="2924" t="s">
        <v>459</v>
      </c>
      <c r="B6" s="2928">
        <f>项目基本情况!C13</f>
        <v>0</v>
      </c>
      <c r="C6" s="1014"/>
      <c r="D6" s="2926" t="s">
        <v>460</v>
      </c>
      <c r="E6" s="2927"/>
      <c r="F6" s="2919"/>
      <c r="G6" s="2920"/>
      <c r="H6" s="292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29"/>
      <c r="D7" s="2930"/>
      <c r="E7" s="2930"/>
      <c r="F7" s="2920"/>
      <c r="G7" s="2920"/>
      <c r="H7" s="2920"/>
    </row>
    <row r="8" spans="1:41" s="1014" customFormat="1" ht="15" hidden="1">
      <c r="A8" s="2929"/>
      <c r="D8" s="2930"/>
      <c r="E8" s="2930"/>
      <c r="F8" s="2920"/>
      <c r="G8" s="2920"/>
      <c r="H8" s="2920"/>
    </row>
    <row r="9" spans="1:41" s="1014" customFormat="1" ht="14.25" hidden="1">
      <c r="C9" s="2931"/>
      <c r="D9" s="2920"/>
      <c r="E9" s="2920"/>
      <c r="F9" s="2920"/>
      <c r="G9" s="2920"/>
      <c r="H9" s="2920"/>
    </row>
    <row r="10" spans="1:41" s="2840" customFormat="1" ht="14.25">
      <c r="A10" s="2932" t="s">
        <v>202</v>
      </c>
      <c r="B10" s="2933" t="s">
        <v>461</v>
      </c>
      <c r="C10" s="1014"/>
      <c r="D10" s="2916" t="s">
        <v>462</v>
      </c>
      <c r="E10" s="2934" t="s">
        <v>463</v>
      </c>
      <c r="F10" s="2935"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41" customFormat="1" ht="14.25">
      <c r="A11" s="2936" t="s">
        <v>465</v>
      </c>
      <c r="B11" s="2937">
        <v>70</v>
      </c>
      <c r="C11" s="1014"/>
      <c r="D11" s="2938" t="s">
        <v>466</v>
      </c>
      <c r="E11" s="2939">
        <v>160</v>
      </c>
      <c r="F11" s="2940" t="s">
        <v>467</v>
      </c>
      <c r="G11" s="1014"/>
      <c r="H11" s="1014"/>
      <c r="I11" s="1014"/>
      <c r="J11" s="1014"/>
      <c r="K11" s="1014"/>
      <c r="L11" s="2842"/>
      <c r="M11" s="2842"/>
      <c r="N11" s="2842"/>
      <c r="O11" s="2842"/>
      <c r="P11" s="2842"/>
      <c r="Q11" s="284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40" customFormat="1" ht="15">
      <c r="A12" s="2941" t="s">
        <v>468</v>
      </c>
      <c r="B12" s="2942"/>
      <c r="C12" s="1014"/>
      <c r="D12" s="2941" t="s">
        <v>469</v>
      </c>
      <c r="E12" s="2943">
        <v>200</v>
      </c>
      <c r="F12" s="252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40" customFormat="1" ht="14.25">
      <c r="A13" s="2944" t="s">
        <v>470</v>
      </c>
      <c r="B13" s="2945">
        <f>IF(B12="",B11-(YEAR($B$2)-B27+B24),ROUNDDOWN(MIN((B12-$B$2)/365,B11),2))</f>
        <v>33</v>
      </c>
      <c r="C13" s="2946"/>
      <c r="D13" s="2947" t="s">
        <v>471</v>
      </c>
      <c r="E13" s="2948"/>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40" customFormat="1" ht="14.25">
      <c r="A14" s="2941" t="s">
        <v>473</v>
      </c>
      <c r="B14" s="2949">
        <f>IF(ISERROR(ROUND(POWER(1+B15,B11-B13)*(POWER(1+B15,B13)-1)/(POWER(1+B15,B11)-1),3)),0,ROUND(POWER(1+B15,B11-B13)*(POWER(1+B15,B13)-1)/(POWER(1+B15,B11)-1),3))</f>
        <v>0.746</v>
      </c>
      <c r="C14" s="1014"/>
      <c r="D14" s="2950" t="s">
        <v>474</v>
      </c>
      <c r="E14" s="2951">
        <v>200</v>
      </c>
      <c r="F14" s="252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40" customFormat="1" ht="14.25">
      <c r="A15" s="2941" t="s">
        <v>475</v>
      </c>
      <c r="B15" s="2952">
        <v>3.5000000000000003E-2</v>
      </c>
      <c r="C15" s="2472" t="s">
        <v>476</v>
      </c>
      <c r="D15" s="2941" t="s">
        <v>477</v>
      </c>
      <c r="E15" s="2953">
        <f>E14-E16</f>
        <v>200</v>
      </c>
      <c r="F15" s="252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40" customFormat="1" ht="14.25">
      <c r="A16" s="2941" t="s">
        <v>478</v>
      </c>
      <c r="B16" s="2952">
        <v>0.04</v>
      </c>
      <c r="C16" s="2472" t="s">
        <v>479</v>
      </c>
      <c r="D16" s="2954" t="s">
        <v>480</v>
      </c>
      <c r="E16" s="2955">
        <v>0</v>
      </c>
      <c r="F16" s="873"/>
      <c r="G16" s="1014"/>
      <c r="H16" s="1014"/>
      <c r="I16" s="1014"/>
      <c r="J16" s="1014">
        <v>2022</v>
      </c>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40" customFormat="1" ht="14.25">
      <c r="A17" s="2954" t="s">
        <v>481</v>
      </c>
      <c r="B17" s="2956">
        <v>7.0000000000000007E-2</v>
      </c>
      <c r="C17" s="2472" t="s">
        <v>482</v>
      </c>
      <c r="D17" s="2932" t="s">
        <v>483</v>
      </c>
      <c r="E17" s="2957">
        <v>2500</v>
      </c>
      <c r="F17" s="2298"/>
      <c r="G17" s="1014"/>
      <c r="H17" s="1014"/>
      <c r="I17" s="1014"/>
      <c r="J17" s="1014">
        <v>1987</v>
      </c>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40" customFormat="1" ht="14.25">
      <c r="A18" s="2958" t="s">
        <v>484</v>
      </c>
      <c r="B18" s="2959">
        <v>7.4999999999999997E-2</v>
      </c>
      <c r="C18" s="1014"/>
      <c r="D18" s="2960" t="str">
        <f>IF(B26=0,"建安总额","在建建安")</f>
        <v>建安总额</v>
      </c>
      <c r="E18" s="2961">
        <f>ROUND(B5*E17*IF(B26=0,1,E20),0)</f>
        <v>147775</v>
      </c>
      <c r="F18" s="2962">
        <f>ROUND(E5*E17*IF(B26=0,1,E20),0)</f>
        <v>0</v>
      </c>
      <c r="G18" s="1014"/>
      <c r="H18" s="1014"/>
      <c r="I18" s="1014"/>
      <c r="J18" s="1014">
        <f>J16-J17</f>
        <v>35</v>
      </c>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40" customFormat="1" ht="14.25">
      <c r="A19" s="2524"/>
      <c r="B19" s="2524"/>
      <c r="C19" s="1014"/>
      <c r="D19" s="2960" t="str">
        <f>IF(B26=0,"——","续建建安")</f>
        <v>——</v>
      </c>
      <c r="E19" s="2961" t="str">
        <f>IF(B26=0,"——",ROUND(B5*E17*(1-E20),0))</f>
        <v>——</v>
      </c>
      <c r="F19" s="2962" t="str">
        <f>IF(B26=0,"——",ROUND(E5*E17*(1-E20),0))</f>
        <v>——</v>
      </c>
      <c r="G19" s="1014"/>
      <c r="H19" s="1014"/>
      <c r="I19" s="1014"/>
      <c r="J19" s="1014">
        <v>60</v>
      </c>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40" customFormat="1" ht="14.25">
      <c r="A20" s="2963" t="s">
        <v>485</v>
      </c>
      <c r="B20" s="2524"/>
      <c r="C20" s="1014"/>
      <c r="D20" s="2964" t="str">
        <f>IF(B26=0,"成新率","工程进度")</f>
        <v>成新率</v>
      </c>
      <c r="E20" s="2965">
        <v>0.6</v>
      </c>
      <c r="F20" s="2298"/>
      <c r="G20" s="1014"/>
      <c r="H20" s="1014"/>
      <c r="I20" s="1014"/>
      <c r="J20" s="1014">
        <f>J19-J18</f>
        <v>25</v>
      </c>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40" customFormat="1" ht="14.25">
      <c r="A21" s="2966" t="s">
        <v>486</v>
      </c>
      <c r="B21" s="2967">
        <v>0</v>
      </c>
      <c r="C21" s="1014"/>
      <c r="D21" s="2941" t="s">
        <v>487</v>
      </c>
      <c r="E21" s="2968">
        <v>0.03</v>
      </c>
      <c r="F21" s="2969" t="s">
        <v>488</v>
      </c>
      <c r="G21" s="1014"/>
      <c r="H21" s="1014"/>
      <c r="I21" s="1014"/>
      <c r="J21" s="1014">
        <f>J20/J19</f>
        <v>0.41666666666666702</v>
      </c>
      <c r="K21" s="1014">
        <v>0.8</v>
      </c>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40" customFormat="1" ht="14.25">
      <c r="A22" s="2970" t="s">
        <v>489</v>
      </c>
      <c r="B22" s="2971">
        <v>2</v>
      </c>
      <c r="C22" s="1014"/>
      <c r="D22" s="2941" t="s">
        <v>490</v>
      </c>
      <c r="E22" s="2972">
        <v>0.05</v>
      </c>
      <c r="F22" s="2969" t="s">
        <v>491</v>
      </c>
      <c r="G22" s="1014"/>
      <c r="H22" s="1014"/>
      <c r="I22" s="1014"/>
      <c r="J22" s="1014">
        <f>J21+K21</f>
        <v>1.2166666666666699</v>
      </c>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40" customFormat="1" ht="14.25">
      <c r="A23" s="2973" t="s">
        <v>492</v>
      </c>
      <c r="B23" s="2974">
        <v>2</v>
      </c>
      <c r="C23" s="1014"/>
      <c r="D23" s="2941" t="s">
        <v>493</v>
      </c>
      <c r="E23" s="2943">
        <v>200</v>
      </c>
      <c r="F23" s="2969"/>
      <c r="G23" s="1014"/>
      <c r="H23" s="1014"/>
      <c r="I23" s="1014"/>
      <c r="J23" s="1014">
        <f>J22/2</f>
        <v>0.60833333333333295</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40" customFormat="1" ht="14.25">
      <c r="A24" s="2975" t="s">
        <v>494</v>
      </c>
      <c r="B24" s="2976">
        <f>B21+B22</f>
        <v>2</v>
      </c>
      <c r="C24" s="1014"/>
      <c r="D24" s="2954" t="s">
        <v>495</v>
      </c>
      <c r="E24" s="2977">
        <v>1.4999999999999999E-2</v>
      </c>
      <c r="F24" s="2969"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78" t="s">
        <v>497</v>
      </c>
      <c r="B25" s="2979">
        <f>B21+B23</f>
        <v>2</v>
      </c>
      <c r="C25" s="1014"/>
      <c r="D25" s="2938" t="s">
        <v>498</v>
      </c>
      <c r="E25" s="2968">
        <v>0.01</v>
      </c>
      <c r="F25" s="2969" t="s">
        <v>499</v>
      </c>
      <c r="I25" s="2914"/>
    </row>
    <row r="26" spans="1:41" ht="14.25">
      <c r="A26" s="2975" t="s">
        <v>500</v>
      </c>
      <c r="B26" s="2980">
        <f>B22-B23</f>
        <v>0</v>
      </c>
      <c r="D26" s="2941" t="s">
        <v>501</v>
      </c>
      <c r="E26" s="2972">
        <v>0.01</v>
      </c>
      <c r="F26" s="2969" t="s">
        <v>499</v>
      </c>
      <c r="G26" s="2920"/>
      <c r="H26" s="2920"/>
      <c r="I26" s="1014"/>
      <c r="J26" s="1014"/>
      <c r="K26" s="1014"/>
      <c r="L26" s="1014"/>
      <c r="M26" s="1014"/>
      <c r="N26" s="1014"/>
    </row>
    <row r="27" spans="1:41" ht="15">
      <c r="A27" s="2981" t="s">
        <v>502</v>
      </c>
      <c r="B27" s="2982">
        <v>1987</v>
      </c>
      <c r="C27" s="1014"/>
      <c r="D27" s="2983" t="s">
        <v>503</v>
      </c>
      <c r="E27" s="2984">
        <v>4.7500000000000001E-2</v>
      </c>
      <c r="F27" s="2985">
        <v>5.0000000000000001E-3</v>
      </c>
      <c r="G27" s="2920"/>
      <c r="H27" s="2920"/>
      <c r="K27" s="1014"/>
      <c r="N27" s="1014"/>
    </row>
    <row r="28" spans="1:41" ht="14.25">
      <c r="A28" s="2298"/>
      <c r="B28" s="2298"/>
      <c r="D28" s="2947" t="s">
        <v>504</v>
      </c>
      <c r="E28" s="2986">
        <v>0.2</v>
      </c>
      <c r="G28" s="2920"/>
      <c r="H28" s="2920"/>
      <c r="K28" s="1014"/>
      <c r="N28" s="1014"/>
    </row>
    <row r="29" spans="1:41" ht="14.25">
      <c r="A29" s="2987" t="s">
        <v>505</v>
      </c>
      <c r="B29" s="2988" t="s">
        <v>506</v>
      </c>
      <c r="D29" s="2950" t="s">
        <v>507</v>
      </c>
      <c r="E29" s="2989">
        <f>E30+E31</f>
        <v>5.6000000000000001E-2</v>
      </c>
      <c r="F29" s="873"/>
      <c r="G29" s="2920"/>
      <c r="H29" s="2920"/>
      <c r="K29" s="1014"/>
      <c r="N29" s="1014"/>
    </row>
    <row r="30" spans="1:41" ht="14.25">
      <c r="A30" s="2941" t="str">
        <f>IF(B29="租赁期内按合同租金","合同租金","市场租金")</f>
        <v>市场租金</v>
      </c>
      <c r="B30" s="2990">
        <v>70</v>
      </c>
      <c r="D30" s="2954" t="s">
        <v>508</v>
      </c>
      <c r="E30" s="2991">
        <v>0.05</v>
      </c>
      <c r="F30" s="2992">
        <f>IF(B2&lt;DATE(2016,5,1),0,E30)</f>
        <v>0.05</v>
      </c>
      <c r="G30" s="2920"/>
      <c r="H30" s="2920"/>
      <c r="K30" s="1014"/>
      <c r="N30" s="1014"/>
    </row>
    <row r="31" spans="1:41" ht="14.25">
      <c r="A31" s="2941" t="s">
        <v>509</v>
      </c>
      <c r="B31" s="2993">
        <f ca="1">存贷款利率!I1</f>
        <v>1.4999999999999999E-2</v>
      </c>
      <c r="D31" s="2954" t="s">
        <v>510</v>
      </c>
      <c r="E31" s="2994">
        <f>E30*(E32+E33+E34)+E35</f>
        <v>6.0000000000000001E-3</v>
      </c>
      <c r="F31" s="873"/>
      <c r="G31" s="2920"/>
      <c r="H31" s="2920"/>
      <c r="K31" s="1014"/>
      <c r="N31" s="1014"/>
    </row>
    <row r="32" spans="1:41" ht="14.25">
      <c r="A32" s="2941" t="s">
        <v>511</v>
      </c>
      <c r="B32" s="2952">
        <v>0.03</v>
      </c>
      <c r="D32" s="2954" t="s">
        <v>512</v>
      </c>
      <c r="E32" s="2995">
        <v>7.0000000000000007E-2</v>
      </c>
      <c r="F32" s="2969" t="s">
        <v>513</v>
      </c>
      <c r="G32" s="2920"/>
      <c r="H32" s="2920"/>
      <c r="K32" s="1014"/>
      <c r="L32" s="1014"/>
      <c r="M32" s="1014"/>
      <c r="N32" s="1014"/>
    </row>
    <row r="33" spans="1:14" ht="14.25">
      <c r="A33" s="2941" t="s">
        <v>514</v>
      </c>
      <c r="B33" s="2952">
        <v>0.08</v>
      </c>
      <c r="D33" s="2954" t="s">
        <v>515</v>
      </c>
      <c r="E33" s="2991">
        <v>0.03</v>
      </c>
      <c r="F33" s="2996" t="s">
        <v>516</v>
      </c>
      <c r="G33" s="2920"/>
      <c r="H33" s="2920"/>
      <c r="K33" s="1014"/>
      <c r="L33" s="1014"/>
      <c r="M33" s="1014"/>
      <c r="N33" s="1014"/>
    </row>
    <row r="34" spans="1:14" s="2837" customFormat="1" ht="14.25">
      <c r="A34" s="2941" t="s">
        <v>517</v>
      </c>
      <c r="B34" s="2997">
        <f>收益法!J54</f>
        <v>33</v>
      </c>
      <c r="D34" s="2954" t="s">
        <v>518</v>
      </c>
      <c r="E34" s="2991">
        <v>0.02</v>
      </c>
      <c r="F34" s="2996" t="s">
        <v>519</v>
      </c>
      <c r="G34" s="2920"/>
      <c r="H34" s="2920"/>
      <c r="I34" s="1014"/>
      <c r="J34" s="1014"/>
      <c r="K34" s="1014"/>
      <c r="L34" s="1014"/>
      <c r="M34" s="1014"/>
      <c r="N34" s="1014"/>
    </row>
    <row r="35" spans="1:14" s="2837" customFormat="1" ht="14.25">
      <c r="A35" s="2954" t="str">
        <f>IF(B29="租赁期内按合同租金","剩余租赁期","——")</f>
        <v>——</v>
      </c>
      <c r="B35" s="2998"/>
      <c r="D35" s="2947" t="s">
        <v>520</v>
      </c>
      <c r="E35" s="2999"/>
      <c r="F35" s="2940" t="s">
        <v>467</v>
      </c>
      <c r="G35" s="2920"/>
      <c r="H35" s="2920"/>
      <c r="I35" s="1014"/>
      <c r="J35" s="1014"/>
      <c r="K35" s="1014"/>
      <c r="L35" s="1014"/>
      <c r="M35" s="1014"/>
      <c r="N35" s="1014"/>
    </row>
    <row r="36" spans="1:14" s="2837" customFormat="1" ht="15">
      <c r="A36" s="3000" t="s">
        <v>521</v>
      </c>
      <c r="B36" s="3001"/>
      <c r="D36" s="3002" t="s">
        <v>522</v>
      </c>
      <c r="E36" s="3003">
        <v>0.03</v>
      </c>
      <c r="F36" s="2524" t="s">
        <v>523</v>
      </c>
      <c r="G36" s="2920"/>
      <c r="H36" s="2920"/>
      <c r="I36" s="1014"/>
      <c r="J36" s="1014"/>
      <c r="K36" s="1014"/>
      <c r="L36" s="1014"/>
      <c r="M36" s="1014"/>
      <c r="N36" s="1014"/>
    </row>
    <row r="37" spans="1:14" s="2837" customFormat="1" ht="14.25">
      <c r="A37" s="2950" t="str">
        <f>IF(B29="租赁期内按合同租金","租金","——")</f>
        <v>——</v>
      </c>
      <c r="B37" s="3004"/>
      <c r="D37" s="2954" t="s">
        <v>524</v>
      </c>
      <c r="E37" s="2991">
        <v>5.0000000000000001E-4</v>
      </c>
      <c r="F37" s="2524" t="s">
        <v>525</v>
      </c>
      <c r="G37" s="2920"/>
      <c r="H37" s="2920"/>
      <c r="I37" s="1014"/>
      <c r="J37" s="1014"/>
      <c r="K37" s="1014"/>
      <c r="L37" s="1014"/>
      <c r="M37" s="1014"/>
      <c r="N37" s="1014"/>
    </row>
    <row r="38" spans="1:14" s="2837" customFormat="1" ht="14.25">
      <c r="A38" s="2941" t="str">
        <f>IF(B29="租赁期内按合同租金","年租金增长率","——")</f>
        <v>——</v>
      </c>
      <c r="B38" s="2952"/>
      <c r="D38" s="3005" t="s">
        <v>526</v>
      </c>
      <c r="E38" s="3006">
        <v>1.2E-2</v>
      </c>
      <c r="F38" s="2524"/>
      <c r="G38" s="2914"/>
      <c r="H38" s="2914"/>
      <c r="I38" s="2920"/>
      <c r="J38" s="1014"/>
      <c r="K38" s="1014"/>
      <c r="L38" s="1014"/>
      <c r="M38" s="1014"/>
      <c r="N38" s="1014"/>
    </row>
    <row r="39" spans="1:14" s="2837" customFormat="1" ht="14.25">
      <c r="A39" s="2941" t="str">
        <f>IF(B29="租赁期内按合同租金","空置率","——")</f>
        <v>——</v>
      </c>
      <c r="B39" s="2952"/>
      <c r="D39" s="2947" t="s">
        <v>527</v>
      </c>
      <c r="E39" s="3007">
        <v>0.12</v>
      </c>
      <c r="F39" s="2524"/>
      <c r="G39" s="2920"/>
      <c r="H39" s="2920"/>
      <c r="I39" s="1014"/>
      <c r="J39" s="1014"/>
      <c r="K39" s="1014"/>
      <c r="L39" s="1014"/>
      <c r="M39" s="1014"/>
      <c r="N39" s="1014"/>
    </row>
    <row r="40" spans="1:14" ht="14.25">
      <c r="A40" s="2941" t="str">
        <f>IF(B29="租赁期内按合同租金","成新率","——")</f>
        <v>——</v>
      </c>
      <c r="B40" s="2952"/>
      <c r="D40" s="3005" t="s">
        <v>528</v>
      </c>
      <c r="E40" s="3008">
        <f>SUMIF(D42:D51,E41,E42:E51)</f>
        <v>0</v>
      </c>
      <c r="F40" s="2524"/>
      <c r="G40" s="2920"/>
      <c r="H40" s="2920"/>
      <c r="I40" s="1014"/>
      <c r="J40" s="1014"/>
      <c r="K40" s="1014"/>
      <c r="L40" s="1014"/>
      <c r="M40" s="1014"/>
      <c r="N40" s="1014"/>
    </row>
    <row r="41" spans="1:14" ht="14.25">
      <c r="A41" s="2954" t="str">
        <f>IF(B29="租赁期内按合同租金","租赁期外收益期","——")</f>
        <v>——</v>
      </c>
      <c r="B41" s="3009" t="str">
        <f>IF(B29="租赁期内按合同租金",B34-B35,"——")</f>
        <v>——</v>
      </c>
      <c r="D41" s="2941" t="s">
        <v>529</v>
      </c>
      <c r="E41" s="3010"/>
      <c r="F41" s="2524" t="s">
        <v>530</v>
      </c>
      <c r="G41" s="1016" t="s">
        <v>531</v>
      </c>
      <c r="H41" s="2920"/>
      <c r="I41" s="1014"/>
      <c r="J41" s="1014"/>
      <c r="K41" s="1014"/>
      <c r="L41" s="1014"/>
      <c r="M41" s="1014"/>
      <c r="N41" s="1014"/>
    </row>
    <row r="42" spans="1:14" ht="14.25">
      <c r="A42" s="2938" t="s">
        <v>532</v>
      </c>
      <c r="B42" s="3011"/>
      <c r="D42" s="3012" t="s">
        <v>533</v>
      </c>
      <c r="E42" s="2990"/>
      <c r="F42" s="2524">
        <v>30</v>
      </c>
      <c r="G42" s="2920"/>
      <c r="H42" s="2920"/>
      <c r="I42" s="1014"/>
      <c r="J42" s="1014"/>
      <c r="K42" s="1014"/>
      <c r="L42" s="1014"/>
      <c r="M42" s="1014"/>
      <c r="N42" s="1014"/>
    </row>
    <row r="43" spans="1:14" ht="14.25">
      <c r="A43" s="2941" t="s">
        <v>534</v>
      </c>
      <c r="B43" s="3013">
        <v>12</v>
      </c>
      <c r="D43" s="3012" t="s">
        <v>535</v>
      </c>
      <c r="E43" s="2990"/>
      <c r="F43" s="2524">
        <v>24</v>
      </c>
      <c r="G43" s="2920"/>
      <c r="H43" s="2920"/>
      <c r="I43" s="1014"/>
      <c r="J43" s="1014"/>
      <c r="K43" s="1014"/>
      <c r="L43" s="1014"/>
      <c r="M43" s="1014"/>
      <c r="N43" s="1014"/>
    </row>
    <row r="44" spans="1:14" ht="14.25">
      <c r="A44" s="2941" t="s">
        <v>536</v>
      </c>
      <c r="B44" s="2990"/>
      <c r="D44" s="3012" t="s">
        <v>537</v>
      </c>
      <c r="E44" s="2990"/>
      <c r="F44" s="2524">
        <v>18</v>
      </c>
      <c r="G44" s="2837"/>
      <c r="H44" s="2837"/>
      <c r="I44" s="2920"/>
      <c r="J44" s="1014"/>
      <c r="K44" s="1014"/>
      <c r="L44" s="1014"/>
      <c r="M44" s="1014"/>
      <c r="N44" s="1014"/>
    </row>
    <row r="45" spans="1:14" ht="14.25">
      <c r="A45" s="2941" t="s">
        <v>538</v>
      </c>
      <c r="B45" s="3014">
        <v>5.0000000000000001E-3</v>
      </c>
      <c r="C45" s="2472" t="s">
        <v>539</v>
      </c>
      <c r="D45" s="3012" t="s">
        <v>540</v>
      </c>
      <c r="E45" s="2990"/>
      <c r="F45" s="2524">
        <v>12</v>
      </c>
      <c r="G45" s="2837"/>
      <c r="H45" s="2837"/>
      <c r="M45" s="1014"/>
      <c r="N45" s="1014"/>
    </row>
    <row r="46" spans="1:14" ht="14.25">
      <c r="A46" s="2941" t="s">
        <v>541</v>
      </c>
      <c r="B46" s="3014">
        <v>1E-3</v>
      </c>
      <c r="C46" s="2472" t="s">
        <v>542</v>
      </c>
      <c r="D46" s="3012" t="s">
        <v>264</v>
      </c>
      <c r="E46" s="2990"/>
      <c r="F46" s="2524">
        <v>3</v>
      </c>
      <c r="G46" s="2837"/>
      <c r="H46" s="2837"/>
      <c r="M46" s="1014"/>
      <c r="N46" s="1014"/>
    </row>
    <row r="47" spans="1:14" ht="14.25">
      <c r="A47" s="2947" t="s">
        <v>543</v>
      </c>
      <c r="B47" s="3014">
        <v>5.0000000000000001E-3</v>
      </c>
      <c r="C47" s="2472" t="s">
        <v>544</v>
      </c>
      <c r="D47" s="3012" t="s">
        <v>545</v>
      </c>
      <c r="E47" s="2990"/>
      <c r="F47" s="2524">
        <v>1.5</v>
      </c>
      <c r="G47" s="2837"/>
      <c r="H47" s="2837"/>
      <c r="M47" s="1014"/>
      <c r="N47" s="1014"/>
    </row>
    <row r="48" spans="1:14" ht="14.25">
      <c r="A48" s="2837"/>
      <c r="B48" s="2837"/>
      <c r="D48" s="3012" t="s">
        <v>546</v>
      </c>
      <c r="E48" s="2990"/>
      <c r="F48" s="2524"/>
      <c r="G48" s="2837"/>
      <c r="H48" s="2837"/>
      <c r="M48" s="1014"/>
      <c r="N48" s="1014"/>
    </row>
    <row r="49" spans="1:41" ht="14.25">
      <c r="A49" s="2837"/>
      <c r="B49" s="2837"/>
      <c r="D49" s="3012" t="s">
        <v>547</v>
      </c>
      <c r="E49" s="2990"/>
      <c r="F49" s="2524"/>
      <c r="G49" s="2837"/>
      <c r="H49" s="2837"/>
      <c r="M49" s="1014"/>
      <c r="N49" s="1014"/>
    </row>
    <row r="50" spans="1:41" ht="14.25">
      <c r="A50" s="2837"/>
      <c r="B50" s="2837"/>
      <c r="D50" s="3012" t="s">
        <v>548</v>
      </c>
      <c r="E50" s="2990"/>
      <c r="F50" s="2524"/>
      <c r="G50" s="2837"/>
      <c r="H50" s="2837"/>
      <c r="M50" s="1014"/>
      <c r="N50" s="1014"/>
    </row>
    <row r="51" spans="1:41" s="2298" customFormat="1" ht="14.25">
      <c r="A51" s="2837"/>
      <c r="B51" s="2837"/>
      <c r="C51" s="2837"/>
      <c r="D51" s="3015" t="s">
        <v>549</v>
      </c>
      <c r="E51" s="3016"/>
      <c r="F51" s="2524"/>
      <c r="G51" s="2837"/>
      <c r="H51" s="2837"/>
      <c r="I51" s="2837"/>
      <c r="J51" s="2837"/>
      <c r="K51" s="2837"/>
      <c r="L51" s="2837"/>
      <c r="M51" s="1014"/>
      <c r="N51" s="1014"/>
      <c r="O51" s="2837"/>
      <c r="P51" s="2837"/>
      <c r="Q51" s="2837"/>
      <c r="R51" s="2837"/>
      <c r="S51" s="2837"/>
      <c r="T51" s="2837"/>
      <c r="U51" s="2837"/>
      <c r="V51" s="2837"/>
      <c r="W51" s="2837"/>
      <c r="X51" s="2837"/>
      <c r="Y51" s="2837"/>
      <c r="Z51" s="2837"/>
      <c r="AA51" s="2837"/>
      <c r="AB51" s="2837"/>
      <c r="AC51" s="2837"/>
      <c r="AD51" s="2837"/>
      <c r="AE51" s="2837"/>
      <c r="AF51" s="2837"/>
      <c r="AG51" s="2837"/>
      <c r="AH51" s="2837"/>
      <c r="AI51" s="2837"/>
      <c r="AJ51" s="2837"/>
      <c r="AK51" s="2837"/>
      <c r="AL51" s="2837"/>
      <c r="AM51" s="2837"/>
      <c r="AN51" s="2837"/>
      <c r="AO51" s="2837"/>
    </row>
    <row r="52" spans="1:41" s="2837" customFormat="1" ht="14.25">
      <c r="D52" s="2920"/>
      <c r="E52" s="2920"/>
      <c r="F52" s="2920"/>
      <c r="G52" s="2920"/>
      <c r="H52" s="2920"/>
      <c r="I52" s="1014"/>
      <c r="J52" s="1014"/>
      <c r="K52" s="1014"/>
      <c r="L52" s="1014"/>
      <c r="M52" s="1014"/>
      <c r="N52" s="1014"/>
    </row>
    <row r="53" spans="1:41" s="2837" customFormat="1" ht="14.25">
      <c r="D53" s="2920"/>
      <c r="E53" s="2920"/>
      <c r="F53" s="2920"/>
      <c r="G53" s="2920"/>
      <c r="H53" s="2920"/>
      <c r="I53" s="1014"/>
      <c r="J53" s="1014"/>
      <c r="K53" s="1014"/>
      <c r="L53" s="1014"/>
      <c r="M53" s="1014"/>
      <c r="N53" s="1014"/>
    </row>
    <row r="54" spans="1:41" s="2837" customFormat="1" ht="14.25">
      <c r="D54" s="2920"/>
      <c r="E54" s="2920"/>
      <c r="F54" s="2920"/>
      <c r="G54" s="2920"/>
      <c r="H54" s="2920"/>
      <c r="I54" s="1014"/>
      <c r="J54" s="1014"/>
      <c r="K54" s="1014"/>
      <c r="L54" s="1014"/>
      <c r="M54" s="1014"/>
      <c r="N54" s="1014"/>
    </row>
    <row r="55" spans="1:41" s="2837" customFormat="1" ht="14.25">
      <c r="D55" s="2920"/>
      <c r="E55" s="2920"/>
      <c r="F55" s="2920"/>
      <c r="G55" s="2920"/>
      <c r="H55" s="2920"/>
      <c r="I55" s="1014"/>
      <c r="J55" s="1014"/>
      <c r="K55" s="1014"/>
      <c r="L55" s="1014"/>
      <c r="M55" s="1014"/>
      <c r="N55" s="1014"/>
    </row>
    <row r="56" spans="1:41" s="2837" customFormat="1" ht="14.25">
      <c r="D56" s="2920"/>
      <c r="E56" s="2920"/>
      <c r="F56" s="2920"/>
      <c r="G56" s="2920"/>
      <c r="H56" s="2920"/>
      <c r="I56" s="1014"/>
      <c r="J56" s="1014"/>
      <c r="K56" s="1014"/>
      <c r="L56" s="1014"/>
      <c r="M56" s="1014"/>
      <c r="N56" s="1014"/>
    </row>
    <row r="57" spans="1:41" s="2837" customFormat="1" ht="14.25">
      <c r="D57" s="2920"/>
      <c r="E57" s="2920"/>
      <c r="F57" s="2920"/>
      <c r="G57" s="2920"/>
      <c r="H57" s="2920"/>
      <c r="I57" s="1014"/>
      <c r="J57" s="1014"/>
      <c r="K57" s="1014"/>
      <c r="L57" s="1014"/>
      <c r="M57" s="1014"/>
      <c r="N57" s="1014"/>
    </row>
    <row r="58" spans="1:41" s="2837" customFormat="1" ht="14.25">
      <c r="D58" s="2920"/>
      <c r="E58" s="2920"/>
      <c r="F58" s="2920"/>
      <c r="G58" s="2920"/>
      <c r="H58" s="2920"/>
      <c r="I58" s="1014"/>
      <c r="J58" s="1014"/>
      <c r="K58" s="1014"/>
      <c r="L58" s="1014"/>
      <c r="M58" s="1014"/>
      <c r="N58" s="1014"/>
    </row>
    <row r="59" spans="1:41" s="2837" customFormat="1" ht="14.25">
      <c r="D59" s="2920"/>
      <c r="E59" s="2920"/>
      <c r="F59" s="2920"/>
      <c r="G59" s="2920"/>
      <c r="H59" s="2920"/>
      <c r="I59" s="1014"/>
      <c r="J59" s="1014"/>
      <c r="K59" s="1014"/>
      <c r="L59" s="1014"/>
      <c r="M59" s="1162"/>
      <c r="N59" s="1014"/>
    </row>
    <row r="60" spans="1:41" s="2837" customFormat="1" ht="14.25">
      <c r="D60" s="2920"/>
      <c r="E60" s="2920"/>
      <c r="F60" s="2920"/>
      <c r="G60" s="2920"/>
      <c r="H60" s="2920"/>
      <c r="I60" s="1014"/>
      <c r="J60" s="1014"/>
      <c r="K60" s="1014"/>
      <c r="L60" s="1014"/>
      <c r="M60" s="1014"/>
      <c r="N60" s="1014"/>
    </row>
    <row r="61" spans="1:41" s="2837" customFormat="1" ht="14.25">
      <c r="D61" s="2920"/>
      <c r="E61" s="2920"/>
      <c r="F61" s="2920"/>
      <c r="G61" s="2920"/>
      <c r="H61" s="2920"/>
      <c r="I61" s="1014"/>
      <c r="J61" s="1014"/>
      <c r="K61" s="1014"/>
      <c r="L61" s="1014"/>
      <c r="M61" s="1014"/>
      <c r="N61" s="1014"/>
    </row>
    <row r="62" spans="1:41" s="2837" customFormat="1" ht="14.25">
      <c r="D62" s="2920"/>
      <c r="E62" s="2920"/>
      <c r="F62" s="2920"/>
      <c r="G62" s="2920"/>
      <c r="H62" s="2920"/>
      <c r="I62" s="1014"/>
      <c r="J62" s="1014"/>
      <c r="K62" s="1014"/>
      <c r="L62" s="1014"/>
      <c r="M62" s="1014"/>
      <c r="N62" s="1014"/>
    </row>
    <row r="63" spans="1:41" s="2837" customFormat="1" ht="14.25">
      <c r="D63" s="2920"/>
      <c r="E63" s="2920"/>
      <c r="F63" s="2920"/>
      <c r="G63" s="2920"/>
      <c r="H63" s="2920"/>
      <c r="I63" s="1014"/>
      <c r="J63" s="1014"/>
      <c r="K63" s="1014"/>
      <c r="L63" s="1014"/>
      <c r="M63" s="1014"/>
      <c r="N63" s="1014"/>
    </row>
    <row r="64" spans="1:41" s="2837" customFormat="1" ht="14.25">
      <c r="D64" s="2920"/>
      <c r="E64" s="2920"/>
      <c r="F64" s="2920"/>
      <c r="G64" s="2920"/>
      <c r="H64" s="2920"/>
      <c r="I64" s="1014"/>
      <c r="J64" s="1014"/>
      <c r="K64" s="1014"/>
      <c r="L64" s="1014"/>
      <c r="M64" s="1014"/>
      <c r="N64" s="1014"/>
    </row>
    <row r="65" spans="1:14" s="2837" customFormat="1" ht="14.25">
      <c r="D65" s="2920"/>
      <c r="E65" s="2920"/>
      <c r="F65" s="2920"/>
      <c r="G65" s="2920"/>
      <c r="H65" s="2920"/>
      <c r="I65" s="1014"/>
      <c r="J65" s="1014"/>
      <c r="K65" s="1014"/>
      <c r="L65" s="1014"/>
      <c r="M65" s="1014"/>
      <c r="N65" s="1014"/>
    </row>
    <row r="66" spans="1:14" s="2837" customFormat="1" ht="14.25">
      <c r="D66" s="2920"/>
      <c r="E66" s="2920"/>
      <c r="F66" s="2920"/>
      <c r="G66" s="2920"/>
      <c r="H66" s="2920"/>
      <c r="I66" s="1014"/>
      <c r="J66" s="1014"/>
      <c r="K66" s="1014"/>
      <c r="L66" s="1014"/>
      <c r="M66" s="1014"/>
      <c r="N66" s="1014"/>
    </row>
    <row r="67" spans="1:14" s="2837" customFormat="1" ht="14.25">
      <c r="A67" s="3017"/>
      <c r="D67" s="2920"/>
      <c r="E67" s="2920"/>
      <c r="F67" s="2920"/>
      <c r="G67" s="2920"/>
      <c r="H67" s="2920"/>
      <c r="I67" s="1014"/>
      <c r="J67" s="1014"/>
      <c r="K67" s="1014"/>
      <c r="L67" s="1014"/>
      <c r="M67" s="1014"/>
      <c r="N67" s="1014"/>
    </row>
    <row r="68" spans="1:14" s="2837" customFormat="1" ht="14.25">
      <c r="A68" s="3017"/>
      <c r="D68" s="2920"/>
      <c r="E68" s="2920"/>
      <c r="F68" s="2920"/>
      <c r="G68" s="2914"/>
      <c r="H68" s="2914"/>
    </row>
    <row r="69" spans="1:14" s="2837" customFormat="1">
      <c r="A69" s="3017"/>
      <c r="D69" s="2914"/>
      <c r="E69" s="2914"/>
      <c r="F69" s="2914"/>
      <c r="G69" s="2914"/>
      <c r="H69" s="2914"/>
    </row>
    <row r="70" spans="1:14" s="2837" customFormat="1">
      <c r="A70" s="3017"/>
      <c r="D70" s="2914"/>
      <c r="E70" s="2914"/>
      <c r="F70" s="2914"/>
      <c r="G70" s="2914"/>
      <c r="H70" s="2914"/>
    </row>
    <row r="71" spans="1:14" s="2837" customFormat="1">
      <c r="A71" s="3017"/>
      <c r="D71" s="2914"/>
      <c r="E71" s="2914"/>
      <c r="F71" s="2914"/>
      <c r="G71" s="2914"/>
      <c r="H71" s="2914"/>
    </row>
    <row r="72" spans="1:14" s="2837" customFormat="1">
      <c r="A72" s="3017"/>
      <c r="D72" s="2914"/>
      <c r="E72" s="2914"/>
      <c r="F72" s="2914"/>
      <c r="G72" s="2914"/>
      <c r="H72" s="2914"/>
    </row>
    <row r="73" spans="1:14" s="2837" customFormat="1">
      <c r="A73" s="3017"/>
      <c r="D73" s="2914"/>
      <c r="E73" s="2914"/>
      <c r="F73" s="2914"/>
      <c r="G73" s="2914"/>
      <c r="H73" s="2914"/>
    </row>
    <row r="74" spans="1:14" s="2837" customFormat="1">
      <c r="A74" s="3017"/>
      <c r="D74" s="2914"/>
      <c r="E74" s="2914"/>
      <c r="F74" s="2914"/>
      <c r="G74" s="2914"/>
      <c r="H74" s="2914"/>
    </row>
    <row r="75" spans="1:14" s="2837" customFormat="1">
      <c r="A75" s="3017"/>
      <c r="D75" s="2914"/>
      <c r="E75" s="2914"/>
      <c r="F75" s="2914"/>
      <c r="G75" s="2914"/>
      <c r="H75" s="2914"/>
    </row>
    <row r="76" spans="1:14" s="2837" customFormat="1">
      <c r="A76" s="3017"/>
      <c r="D76" s="2914"/>
      <c r="E76" s="2914"/>
      <c r="F76" s="2914"/>
      <c r="G76" s="2914"/>
      <c r="H76" s="2914"/>
    </row>
    <row r="77" spans="1:14" s="2837" customFormat="1">
      <c r="A77" s="3017"/>
      <c r="D77" s="2914"/>
      <c r="E77" s="2914"/>
      <c r="F77" s="2914"/>
      <c r="G77" s="2914"/>
      <c r="H77" s="2914"/>
    </row>
    <row r="78" spans="1:14" s="2837" customFormat="1">
      <c r="A78" s="3017"/>
      <c r="D78" s="2914"/>
      <c r="E78" s="2914"/>
      <c r="F78" s="2914"/>
      <c r="G78" s="2914"/>
      <c r="H78" s="2914"/>
    </row>
    <row r="79" spans="1:14" s="2837" customFormat="1">
      <c r="A79" s="3017"/>
      <c r="D79" s="2914"/>
      <c r="E79" s="2914"/>
      <c r="F79" s="2914"/>
      <c r="G79" s="2914"/>
      <c r="H79" s="2914"/>
    </row>
    <row r="80" spans="1:14" s="2837" customFormat="1">
      <c r="A80" s="3017"/>
      <c r="D80" s="2914"/>
      <c r="E80" s="2914"/>
      <c r="F80" s="2914"/>
      <c r="G80" s="2914"/>
      <c r="H80" s="2914"/>
    </row>
    <row r="81" spans="1:8" s="2837" customFormat="1">
      <c r="A81" s="3017"/>
      <c r="D81" s="2914"/>
      <c r="E81" s="2914"/>
      <c r="F81" s="2914"/>
      <c r="G81" s="2914"/>
      <c r="H81" s="2914"/>
    </row>
    <row r="82" spans="1:8" s="2837" customFormat="1">
      <c r="A82" s="3017"/>
      <c r="D82" s="2914"/>
      <c r="E82" s="2914"/>
      <c r="F82" s="2914"/>
      <c r="G82" s="2914"/>
      <c r="H82" s="2914"/>
    </row>
    <row r="83" spans="1:8" s="2837" customFormat="1">
      <c r="A83" s="3017"/>
      <c r="D83" s="2914"/>
      <c r="E83" s="2914"/>
      <c r="F83" s="2914"/>
      <c r="G83" s="2914"/>
      <c r="H83" s="2914"/>
    </row>
    <row r="84" spans="1:8" s="2837" customFormat="1">
      <c r="A84" s="3017"/>
      <c r="D84" s="2914"/>
      <c r="E84" s="2914"/>
      <c r="F84" s="2914"/>
      <c r="G84" s="2914"/>
      <c r="H84" s="2914"/>
    </row>
    <row r="85" spans="1:8" s="2837" customFormat="1">
      <c r="A85" s="3017"/>
      <c r="D85" s="2914"/>
      <c r="E85" s="2914"/>
      <c r="F85" s="2914"/>
      <c r="G85" s="2914"/>
      <c r="H85" s="2914"/>
    </row>
    <row r="86" spans="1:8" s="2837" customFormat="1">
      <c r="A86" s="3017"/>
      <c r="D86" s="2914"/>
      <c r="E86" s="2914"/>
      <c r="F86" s="2914"/>
      <c r="G86" s="2914"/>
      <c r="H86" s="2914"/>
    </row>
    <row r="87" spans="1:8" s="2837" customFormat="1">
      <c r="A87" s="3017"/>
      <c r="D87" s="2914"/>
      <c r="E87" s="2914"/>
      <c r="F87" s="2914"/>
      <c r="G87" s="2914"/>
      <c r="H87" s="2914"/>
    </row>
    <row r="88" spans="1:8" s="2837" customFormat="1">
      <c r="A88" s="3017"/>
      <c r="D88" s="2914"/>
      <c r="E88" s="2914"/>
      <c r="F88" s="2914"/>
      <c r="G88" s="2914"/>
      <c r="H88" s="2914"/>
    </row>
    <row r="89" spans="1:8" s="2837" customFormat="1">
      <c r="A89" s="3017"/>
      <c r="D89" s="2914"/>
      <c r="E89" s="2914"/>
      <c r="F89" s="2914"/>
      <c r="G89" s="2914"/>
      <c r="H89" s="2914"/>
    </row>
    <row r="90" spans="1:8" s="2837" customFormat="1">
      <c r="A90" s="3017"/>
      <c r="D90" s="2914"/>
      <c r="E90" s="2914"/>
      <c r="F90" s="2914"/>
      <c r="G90" s="2914"/>
      <c r="H90" s="2914"/>
    </row>
    <row r="91" spans="1:8" s="2837" customFormat="1">
      <c r="A91" s="3017"/>
      <c r="D91" s="2914"/>
      <c r="E91" s="2914"/>
      <c r="F91" s="2914"/>
      <c r="G91" s="2914"/>
      <c r="H91" s="2914"/>
    </row>
    <row r="92" spans="1:8" s="2837" customFormat="1">
      <c r="A92" s="3017"/>
      <c r="D92" s="2914"/>
      <c r="E92" s="2914"/>
      <c r="F92" s="2914"/>
      <c r="G92" s="2914"/>
      <c r="H92" s="2914"/>
    </row>
    <row r="93" spans="1:8" s="2837" customFormat="1">
      <c r="A93" s="3017"/>
      <c r="D93" s="2914"/>
      <c r="E93" s="2914"/>
      <c r="F93" s="2914"/>
      <c r="G93" s="2914"/>
      <c r="H93" s="2914"/>
    </row>
    <row r="94" spans="1:8" s="2837" customFormat="1">
      <c r="A94" s="3017"/>
      <c r="D94" s="2914"/>
      <c r="E94" s="2914"/>
      <c r="F94" s="2914"/>
      <c r="G94" s="2914"/>
      <c r="H94" s="2914"/>
    </row>
    <row r="95" spans="1:8" s="2837" customFormat="1">
      <c r="A95" s="3017"/>
      <c r="D95" s="2914"/>
      <c r="E95" s="2914"/>
      <c r="F95" s="2914"/>
      <c r="G95" s="2914"/>
      <c r="H95" s="2914"/>
    </row>
    <row r="96" spans="1:8" s="2837" customFormat="1">
      <c r="A96" s="3017"/>
      <c r="D96" s="2914"/>
      <c r="E96" s="2914"/>
      <c r="F96" s="2914"/>
      <c r="G96" s="2914"/>
      <c r="H96" s="2914"/>
    </row>
    <row r="97" spans="1:8" s="2837" customFormat="1">
      <c r="A97" s="3017"/>
      <c r="D97" s="2914"/>
      <c r="E97" s="2914"/>
      <c r="F97" s="2914"/>
      <c r="G97" s="2914"/>
      <c r="H97" s="2914"/>
    </row>
    <row r="98" spans="1:8" s="2837" customFormat="1">
      <c r="A98" s="3017"/>
      <c r="D98" s="2914"/>
      <c r="E98" s="2914"/>
      <c r="F98" s="2914"/>
      <c r="G98" s="2914"/>
      <c r="H98" s="2914"/>
    </row>
    <row r="99" spans="1:8" s="2837" customFormat="1">
      <c r="A99" s="3017"/>
      <c r="D99" s="2914"/>
      <c r="E99" s="2914"/>
      <c r="F99" s="2914"/>
      <c r="G99" s="2914"/>
      <c r="H99" s="2914"/>
    </row>
    <row r="100" spans="1:8" s="2837" customFormat="1">
      <c r="A100" s="3017"/>
      <c r="D100" s="2914"/>
      <c r="E100" s="2914"/>
      <c r="F100" s="2914"/>
      <c r="G100" s="2914"/>
      <c r="H100" s="2914"/>
    </row>
    <row r="101" spans="1:8" s="2837" customFormat="1">
      <c r="A101" s="3017"/>
      <c r="D101" s="2914"/>
      <c r="E101" s="2914"/>
      <c r="F101" s="2914"/>
      <c r="G101" s="2914"/>
      <c r="H101" s="2914"/>
    </row>
    <row r="102" spans="1:8" s="2837" customFormat="1">
      <c r="A102" s="3017"/>
      <c r="D102" s="2914"/>
      <c r="E102" s="2914"/>
      <c r="F102" s="2914"/>
      <c r="G102" s="2914"/>
      <c r="H102" s="2914"/>
    </row>
    <row r="103" spans="1:8" s="2837" customFormat="1">
      <c r="A103" s="3017"/>
      <c r="D103" s="2914"/>
      <c r="E103" s="2914"/>
      <c r="F103" s="2914"/>
      <c r="G103" s="2914"/>
      <c r="H103" s="2914"/>
    </row>
    <row r="104" spans="1:8" s="2837" customFormat="1">
      <c r="A104" s="3017"/>
      <c r="D104" s="2914"/>
      <c r="E104" s="2914"/>
      <c r="F104" s="2914"/>
      <c r="G104" s="2914"/>
      <c r="H104" s="2914"/>
    </row>
    <row r="105" spans="1:8" s="2837" customFormat="1">
      <c r="A105" s="3017"/>
      <c r="D105" s="2914"/>
      <c r="E105" s="2914"/>
      <c r="F105" s="2914"/>
      <c r="G105" s="2914"/>
      <c r="H105" s="2914"/>
    </row>
    <row r="106" spans="1:8" s="2837" customFormat="1">
      <c r="A106" s="3017"/>
      <c r="D106" s="2914"/>
      <c r="E106" s="2914"/>
      <c r="F106" s="2914"/>
      <c r="G106" s="2914"/>
      <c r="H106" s="2914"/>
    </row>
    <row r="107" spans="1:8" s="2837" customFormat="1">
      <c r="A107" s="3017"/>
      <c r="D107" s="2914"/>
      <c r="E107" s="2914"/>
      <c r="F107" s="2914"/>
      <c r="G107" s="2914"/>
      <c r="H107" s="2914"/>
    </row>
    <row r="108" spans="1:8" s="2837" customFormat="1">
      <c r="A108" s="3017"/>
      <c r="D108" s="2914"/>
      <c r="E108" s="2914"/>
      <c r="F108" s="2914"/>
      <c r="G108" s="2914"/>
      <c r="H108" s="2914"/>
    </row>
    <row r="109" spans="1:8" s="2837" customFormat="1">
      <c r="A109" s="3017"/>
      <c r="D109" s="2914"/>
      <c r="E109" s="2914"/>
      <c r="F109" s="2914"/>
      <c r="G109" s="2914"/>
      <c r="H109" s="2914"/>
    </row>
    <row r="110" spans="1:8" s="2837" customFormat="1">
      <c r="A110" s="3017"/>
      <c r="D110" s="2914"/>
      <c r="E110" s="2914"/>
      <c r="F110" s="2914"/>
      <c r="G110" s="2914"/>
      <c r="H110" s="2914"/>
    </row>
    <row r="111" spans="1:8" s="2837" customFormat="1">
      <c r="A111" s="3017"/>
      <c r="D111" s="2914"/>
      <c r="E111" s="2914"/>
      <c r="F111" s="2914"/>
      <c r="G111" s="2914"/>
      <c r="H111" s="2914"/>
    </row>
    <row r="112" spans="1:8" s="2837" customFormat="1">
      <c r="A112" s="3017"/>
      <c r="D112" s="2914"/>
      <c r="E112" s="2914"/>
      <c r="F112" s="2914"/>
      <c r="G112" s="2914"/>
      <c r="H112" s="2914"/>
    </row>
    <row r="113" spans="1:8" s="2837" customFormat="1">
      <c r="A113" s="3017"/>
      <c r="D113" s="2914"/>
      <c r="E113" s="2914"/>
      <c r="F113" s="2914"/>
      <c r="G113" s="2914"/>
      <c r="H113" s="2914"/>
    </row>
    <row r="114" spans="1:8" s="2837" customFormat="1">
      <c r="A114" s="3017"/>
      <c r="D114" s="2914"/>
      <c r="E114" s="2914"/>
      <c r="F114" s="2914"/>
      <c r="G114" s="2914"/>
      <c r="H114" s="2914"/>
    </row>
    <row r="115" spans="1:8" s="2837" customFormat="1">
      <c r="A115" s="3017"/>
      <c r="D115" s="2914"/>
      <c r="E115" s="2914"/>
      <c r="F115" s="2914"/>
      <c r="G115" s="2914"/>
      <c r="H115" s="2914"/>
    </row>
    <row r="116" spans="1:8" s="2837" customFormat="1">
      <c r="A116" s="3017"/>
      <c r="D116" s="2914"/>
      <c r="E116" s="2914"/>
      <c r="F116" s="2914"/>
      <c r="G116" s="2914"/>
      <c r="H116" s="2914"/>
    </row>
    <row r="117" spans="1:8" s="2837" customFormat="1">
      <c r="A117" s="3017"/>
      <c r="D117" s="2914"/>
      <c r="E117" s="2914"/>
      <c r="F117" s="2914"/>
      <c r="G117" s="2914"/>
      <c r="H117" s="2914"/>
    </row>
    <row r="118" spans="1:8" s="2837" customFormat="1">
      <c r="A118" s="3017"/>
      <c r="D118" s="2914"/>
      <c r="E118" s="2914"/>
      <c r="F118" s="2914"/>
      <c r="G118" s="2914"/>
      <c r="H118" s="2914"/>
    </row>
    <row r="119" spans="1:8" s="2837" customFormat="1">
      <c r="A119" s="3017"/>
      <c r="D119" s="2914"/>
      <c r="E119" s="2914"/>
      <c r="F119" s="2914"/>
      <c r="G119" s="2914"/>
      <c r="H119" s="2914"/>
    </row>
    <row r="120" spans="1:8" s="2837" customFormat="1">
      <c r="A120" s="3017"/>
      <c r="D120" s="2914"/>
      <c r="E120" s="2914"/>
      <c r="F120" s="2914"/>
      <c r="G120" s="2914"/>
      <c r="H120" s="2914"/>
    </row>
    <row r="121" spans="1:8" s="2837" customFormat="1">
      <c r="A121" s="3017"/>
      <c r="D121" s="2914"/>
      <c r="E121" s="2914"/>
      <c r="F121" s="2914"/>
      <c r="G121" s="2914"/>
      <c r="H121" s="2914"/>
    </row>
    <row r="122" spans="1:8" s="2837" customFormat="1">
      <c r="A122" s="3017"/>
      <c r="D122" s="2914"/>
      <c r="E122" s="2914"/>
      <c r="F122" s="2914"/>
      <c r="G122" s="2914"/>
      <c r="H122" s="2914"/>
    </row>
    <row r="123" spans="1:8" s="2837" customFormat="1">
      <c r="A123" s="3017"/>
      <c r="D123" s="2914"/>
      <c r="E123" s="2914"/>
      <c r="F123" s="2914"/>
      <c r="G123" s="2914"/>
      <c r="H123" s="2914"/>
    </row>
    <row r="124" spans="1:8" s="2837" customFormat="1">
      <c r="A124" s="3017"/>
      <c r="D124" s="2914"/>
      <c r="E124" s="2914"/>
      <c r="F124" s="2914"/>
      <c r="G124" s="2914"/>
      <c r="H124" s="2914"/>
    </row>
    <row r="125" spans="1:8" s="2837" customFormat="1">
      <c r="A125" s="3017"/>
      <c r="D125" s="2914"/>
      <c r="E125" s="2914"/>
      <c r="F125" s="2914"/>
      <c r="G125" s="2914"/>
      <c r="H125" s="2914"/>
    </row>
    <row r="126" spans="1:8" s="2837" customFormat="1">
      <c r="A126" s="3017"/>
      <c r="D126" s="2914"/>
      <c r="E126" s="2914"/>
      <c r="F126" s="2914"/>
      <c r="G126" s="2914"/>
      <c r="H126" s="2914"/>
    </row>
    <row r="127" spans="1:8" s="2837" customFormat="1">
      <c r="A127" s="3017"/>
      <c r="D127" s="2914"/>
      <c r="E127" s="2914"/>
      <c r="F127" s="2914"/>
      <c r="G127" s="2914"/>
      <c r="H127" s="2914"/>
    </row>
    <row r="128" spans="1:8" s="2837" customFormat="1">
      <c r="A128" s="3017"/>
      <c r="D128" s="2914"/>
      <c r="E128" s="2914"/>
      <c r="F128" s="2914"/>
      <c r="G128" s="2914"/>
      <c r="H128" s="2914"/>
    </row>
    <row r="129" spans="1:8" s="2837" customFormat="1">
      <c r="A129" s="3017"/>
      <c r="D129" s="2914"/>
      <c r="E129" s="2914"/>
      <c r="F129" s="2914"/>
      <c r="G129" s="2914"/>
      <c r="H129" s="2914"/>
    </row>
    <row r="130" spans="1:8" s="2837" customFormat="1">
      <c r="A130" s="3017"/>
      <c r="D130" s="2914"/>
      <c r="E130" s="2914"/>
      <c r="F130" s="2914"/>
      <c r="G130" s="2914"/>
      <c r="H130" s="2914"/>
    </row>
    <row r="131" spans="1:8" s="2837" customFormat="1">
      <c r="A131" s="3017"/>
      <c r="D131" s="2914"/>
      <c r="E131" s="2914"/>
      <c r="F131" s="2914"/>
      <c r="G131" s="2914"/>
      <c r="H131" s="2914"/>
    </row>
    <row r="132" spans="1:8" s="2837" customFormat="1">
      <c r="A132" s="3017"/>
      <c r="D132" s="2914"/>
      <c r="E132" s="2914"/>
      <c r="F132" s="2914"/>
      <c r="G132" s="2914"/>
      <c r="H132" s="2914"/>
    </row>
    <row r="133" spans="1:8" s="2837" customFormat="1">
      <c r="A133" s="3017"/>
      <c r="D133" s="2914"/>
      <c r="E133" s="2914"/>
      <c r="F133" s="2914"/>
      <c r="G133" s="2914"/>
      <c r="H133" s="2914"/>
    </row>
    <row r="134" spans="1:8" s="2837" customFormat="1">
      <c r="A134" s="3017"/>
      <c r="D134" s="2914"/>
      <c r="E134" s="2914"/>
      <c r="F134" s="2914"/>
      <c r="G134" s="2914"/>
      <c r="H134" s="2914"/>
    </row>
    <row r="135" spans="1:8" s="2837" customFormat="1">
      <c r="A135" s="3017"/>
      <c r="D135" s="2914"/>
      <c r="E135" s="2914"/>
      <c r="F135" s="2914"/>
      <c r="G135" s="2914"/>
      <c r="H135" s="2914"/>
    </row>
    <row r="136" spans="1:8" s="2837" customFormat="1">
      <c r="A136" s="3017"/>
      <c r="D136" s="2914"/>
      <c r="E136" s="2914"/>
      <c r="F136" s="2914"/>
      <c r="G136" s="2914"/>
      <c r="H136" s="2914"/>
    </row>
    <row r="137" spans="1:8" s="2837" customFormat="1">
      <c r="A137" s="3017"/>
      <c r="D137" s="2914"/>
      <c r="E137" s="2914"/>
      <c r="F137" s="2914"/>
      <c r="G137" s="2914"/>
      <c r="H137" s="2914"/>
    </row>
    <row r="138" spans="1:8" s="2837" customFormat="1">
      <c r="A138" s="3017"/>
      <c r="D138" s="2914"/>
      <c r="E138" s="2914"/>
      <c r="F138" s="2914"/>
      <c r="G138" s="2914"/>
      <c r="H138" s="2914"/>
    </row>
    <row r="139" spans="1:8" s="2837" customFormat="1">
      <c r="A139" s="3017"/>
      <c r="D139" s="2914"/>
      <c r="E139" s="2914"/>
      <c r="F139" s="2914"/>
      <c r="G139" s="2914"/>
      <c r="H139" s="2914"/>
    </row>
    <row r="140" spans="1:8" s="2837" customFormat="1">
      <c r="A140" s="3017"/>
      <c r="D140" s="2914"/>
      <c r="E140" s="2914"/>
      <c r="F140" s="2914"/>
      <c r="G140" s="2914"/>
      <c r="H140" s="2914"/>
    </row>
    <row r="141" spans="1:8" s="2837" customFormat="1">
      <c r="A141" s="3017"/>
      <c r="D141" s="2914"/>
      <c r="E141" s="2914"/>
      <c r="F141" s="2914"/>
      <c r="G141" s="2914"/>
      <c r="H141" s="2914"/>
    </row>
    <row r="142" spans="1:8" s="2837" customFormat="1">
      <c r="A142" s="3017"/>
      <c r="D142" s="2914"/>
      <c r="E142" s="2914"/>
      <c r="F142" s="2914"/>
      <c r="G142" s="2914"/>
      <c r="H142" s="2914"/>
    </row>
    <row r="143" spans="1:8" s="2837" customFormat="1">
      <c r="A143" s="3017"/>
      <c r="D143" s="2914"/>
      <c r="E143" s="2914"/>
      <c r="F143" s="2914"/>
      <c r="G143" s="2914"/>
      <c r="H143" s="2914"/>
    </row>
    <row r="144" spans="1:8" s="2837" customFormat="1">
      <c r="A144" s="3017"/>
      <c r="D144" s="2914"/>
      <c r="E144" s="2914"/>
      <c r="F144" s="2914"/>
      <c r="G144" s="2914"/>
      <c r="H144" s="2914"/>
    </row>
    <row r="145" spans="1:8" s="2837" customFormat="1">
      <c r="A145" s="3017"/>
      <c r="D145" s="2914"/>
      <c r="E145" s="2914"/>
      <c r="F145" s="2914"/>
      <c r="G145" s="2914"/>
      <c r="H145" s="2914"/>
    </row>
    <row r="146" spans="1:8" s="2837" customFormat="1">
      <c r="A146" s="3017"/>
      <c r="D146" s="2914"/>
      <c r="E146" s="2914"/>
      <c r="F146" s="2914"/>
      <c r="G146" s="2914"/>
      <c r="H146" s="2914"/>
    </row>
    <row r="147" spans="1:8" s="2837" customFormat="1">
      <c r="A147" s="3017"/>
      <c r="D147" s="2914"/>
      <c r="E147" s="2914"/>
      <c r="F147" s="2914"/>
      <c r="G147" s="2914"/>
      <c r="H147" s="2914"/>
    </row>
    <row r="148" spans="1:8" s="2837" customFormat="1">
      <c r="A148" s="3017"/>
      <c r="D148" s="2914"/>
      <c r="E148" s="2914"/>
      <c r="F148" s="2914"/>
      <c r="G148" s="2914"/>
      <c r="H148" s="2914"/>
    </row>
    <row r="149" spans="1:8" s="2837" customFormat="1">
      <c r="A149" s="3017"/>
      <c r="D149" s="2914"/>
      <c r="E149" s="2914"/>
      <c r="F149" s="2914"/>
      <c r="G149" s="2914"/>
      <c r="H149" s="2914"/>
    </row>
    <row r="150" spans="1:8" s="2837" customFormat="1">
      <c r="A150" s="3017"/>
      <c r="D150" s="2914"/>
      <c r="E150" s="2914"/>
      <c r="F150" s="2914"/>
      <c r="G150" s="2914"/>
      <c r="H150" s="2914"/>
    </row>
    <row r="151" spans="1:8" s="2837" customFormat="1">
      <c r="A151" s="3017"/>
      <c r="D151" s="2914"/>
      <c r="E151" s="2914"/>
      <c r="F151" s="2914"/>
      <c r="G151" s="2914"/>
      <c r="H151" s="2914"/>
    </row>
    <row r="152" spans="1:8" s="2837" customFormat="1">
      <c r="A152" s="3017"/>
      <c r="D152" s="2914"/>
      <c r="E152" s="2914"/>
      <c r="F152" s="2914"/>
      <c r="G152" s="2914"/>
      <c r="H152" s="2914"/>
    </row>
    <row r="153" spans="1:8" s="2837" customFormat="1">
      <c r="A153" s="3017"/>
      <c r="D153" s="2914"/>
      <c r="E153" s="2914"/>
      <c r="F153" s="2914"/>
      <c r="G153" s="2914"/>
      <c r="H153" s="2914"/>
    </row>
    <row r="154" spans="1:8" s="2837" customFormat="1">
      <c r="A154" s="3017"/>
      <c r="D154" s="2914"/>
      <c r="E154" s="2914"/>
      <c r="F154" s="2914"/>
      <c r="G154" s="2914"/>
      <c r="H154" s="2914"/>
    </row>
    <row r="155" spans="1:8" s="2837" customFormat="1">
      <c r="A155" s="3017"/>
      <c r="D155" s="2914"/>
      <c r="E155" s="2914"/>
      <c r="F155" s="2914"/>
      <c r="G155" s="2914"/>
      <c r="H155" s="2914"/>
    </row>
    <row r="156" spans="1:8" s="2837" customFormat="1">
      <c r="A156" s="3017"/>
      <c r="D156" s="2914"/>
      <c r="E156" s="2914"/>
      <c r="F156" s="2914"/>
      <c r="G156" s="2914"/>
      <c r="H156" s="2914"/>
    </row>
    <row r="157" spans="1:8" s="2837" customFormat="1">
      <c r="A157" s="3017"/>
      <c r="D157" s="2914"/>
      <c r="E157" s="2914"/>
      <c r="F157" s="2914"/>
      <c r="G157" s="2914"/>
      <c r="H157" s="2914"/>
    </row>
    <row r="158" spans="1:8">
      <c r="A158" s="3017"/>
      <c r="B158" s="2837"/>
    </row>
  </sheetData>
  <sheetProtection formatCells="0" formatColumns="0" formatRows="0"/>
  <mergeCells count="1">
    <mergeCell ref="D2:D4"/>
  </mergeCells>
  <phoneticPr fontId="211" type="noConversion"/>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J18" sqref="J18"/>
    </sheetView>
  </sheetViews>
  <sheetFormatPr defaultColWidth="9" defaultRowHeight="14.25"/>
  <cols>
    <col min="1" max="1" width="14.75" style="2840" customWidth="1"/>
    <col min="2" max="2" width="24.5" style="2841" customWidth="1"/>
    <col min="3" max="3" width="28.375" style="2842" customWidth="1"/>
    <col min="4" max="4" width="2.625" style="2842" customWidth="1"/>
    <col min="5" max="5" width="5.875" style="2842" customWidth="1"/>
    <col min="6" max="6" width="27" style="2841" customWidth="1"/>
    <col min="7" max="7" width="32.375" style="2843" customWidth="1"/>
    <col min="8" max="8" width="11.875" style="2844" customWidth="1"/>
    <col min="9" max="9" width="16.75" style="2845" customWidth="1"/>
    <col min="10" max="10" width="2.625" style="2844" customWidth="1"/>
    <col min="11" max="11" width="11.875" style="2844" customWidth="1"/>
    <col min="12" max="12" width="16.75" style="2845" customWidth="1"/>
    <col min="13" max="13" width="2.625" style="2844" customWidth="1"/>
    <col min="14" max="14" width="11.875" style="2844" customWidth="1"/>
    <col min="15" max="15" width="16.75" style="2845" customWidth="1"/>
    <col min="16" max="16" width="2.625" style="2844" customWidth="1"/>
    <col min="17" max="17" width="11.875" style="2844" customWidth="1"/>
    <col min="18" max="18" width="16.75" style="2846" customWidth="1"/>
    <col min="19" max="29" width="9" style="2839"/>
    <col min="30" max="16384" width="9" style="2840"/>
  </cols>
  <sheetData>
    <row r="1" spans="1:29" s="2835" customFormat="1" ht="18.75">
      <c r="A1" s="3402" t="s">
        <v>550</v>
      </c>
      <c r="B1" s="3403"/>
      <c r="C1" s="3403"/>
      <c r="D1" s="3403"/>
      <c r="E1" s="3403"/>
      <c r="F1" s="3403"/>
      <c r="G1" s="3403"/>
      <c r="H1" s="2847"/>
      <c r="I1" s="2899"/>
      <c r="J1" s="2847"/>
      <c r="K1" s="2847"/>
      <c r="L1" s="2899"/>
      <c r="M1" s="2847"/>
      <c r="N1" s="2847"/>
      <c r="O1" s="2899"/>
      <c r="P1" s="2847"/>
      <c r="Q1" s="2907"/>
      <c r="R1" s="2908"/>
      <c r="S1" s="2909"/>
      <c r="T1" s="2909"/>
      <c r="U1" s="2909"/>
      <c r="V1" s="2909"/>
      <c r="W1" s="2909"/>
      <c r="X1" s="2909"/>
      <c r="Y1" s="2909"/>
      <c r="Z1" s="2909"/>
      <c r="AA1" s="2909"/>
      <c r="AB1" s="2909"/>
      <c r="AC1" s="2909"/>
    </row>
    <row r="2" spans="1:29" s="2836" customFormat="1" ht="12.75">
      <c r="A2" s="2848"/>
      <c r="B2" s="2849"/>
      <c r="C2" s="2850" t="s">
        <v>551</v>
      </c>
      <c r="D2" s="2851"/>
      <c r="E2" s="2848"/>
      <c r="F2" s="2852"/>
      <c r="G2" s="2850" t="s">
        <v>552</v>
      </c>
      <c r="H2" s="2838"/>
      <c r="I2" s="2838"/>
      <c r="J2" s="2838"/>
      <c r="K2" s="2838"/>
      <c r="L2" s="2838"/>
      <c r="M2" s="2838"/>
      <c r="N2" s="2838"/>
      <c r="O2" s="2838"/>
      <c r="P2" s="2838"/>
      <c r="Q2" s="2838"/>
      <c r="R2" s="2838"/>
      <c r="S2" s="2838"/>
      <c r="T2" s="2838"/>
      <c r="U2" s="2838"/>
      <c r="V2" s="2838"/>
      <c r="W2" s="2838"/>
      <c r="X2" s="2838"/>
      <c r="Y2" s="2838"/>
      <c r="Z2" s="2838"/>
      <c r="AA2" s="2838"/>
      <c r="AB2" s="2838"/>
      <c r="AC2" s="2838"/>
    </row>
    <row r="3" spans="1:29" s="2836" customFormat="1" ht="36">
      <c r="A3" s="2853" t="s">
        <v>553</v>
      </c>
      <c r="B3" s="2854" t="s">
        <v>554</v>
      </c>
      <c r="C3" s="2855" t="s">
        <v>555</v>
      </c>
      <c r="D3" s="2856"/>
      <c r="E3" s="2857" t="s">
        <v>553</v>
      </c>
      <c r="F3" s="2858" t="s">
        <v>556</v>
      </c>
      <c r="G3" s="2859" t="s">
        <v>557</v>
      </c>
      <c r="H3" s="2838"/>
      <c r="I3" s="2838"/>
      <c r="J3" s="2838"/>
      <c r="K3" s="2838"/>
      <c r="L3" s="2838"/>
      <c r="M3" s="2838"/>
      <c r="N3" s="2838"/>
      <c r="O3" s="2838"/>
      <c r="P3" s="2838"/>
      <c r="Q3" s="2838"/>
      <c r="R3" s="2838"/>
      <c r="S3" s="2838"/>
      <c r="T3" s="2838"/>
      <c r="U3" s="2838"/>
      <c r="V3" s="2838"/>
      <c r="W3" s="2838"/>
      <c r="X3" s="2838"/>
      <c r="Y3" s="2838"/>
      <c r="Z3" s="2838"/>
      <c r="AA3" s="2838"/>
      <c r="AB3" s="2838"/>
      <c r="AC3" s="2838"/>
    </row>
    <row r="4" spans="1:29" s="2836" customFormat="1" ht="24.75">
      <c r="A4" s="2857"/>
      <c r="B4" s="2202" t="s">
        <v>558</v>
      </c>
      <c r="C4" s="2860" t="s">
        <v>559</v>
      </c>
      <c r="D4" s="2856"/>
      <c r="E4" s="2861"/>
      <c r="F4" s="2564" t="s">
        <v>560</v>
      </c>
      <c r="G4" s="2862" t="s">
        <v>561</v>
      </c>
      <c r="H4" s="2838"/>
      <c r="I4" s="2838"/>
      <c r="J4" s="2838"/>
      <c r="K4" s="2838"/>
      <c r="L4" s="2838"/>
      <c r="M4" s="2838"/>
      <c r="N4" s="2838"/>
      <c r="O4" s="2838"/>
      <c r="P4" s="2838"/>
      <c r="Q4" s="2838"/>
      <c r="R4" s="2838"/>
      <c r="S4" s="2838"/>
      <c r="T4" s="2838"/>
      <c r="U4" s="2838"/>
      <c r="V4" s="2838"/>
      <c r="W4" s="2838"/>
      <c r="X4" s="2838"/>
      <c r="Y4" s="2838"/>
      <c r="Z4" s="2838"/>
      <c r="AA4" s="2838"/>
      <c r="AB4" s="2838"/>
      <c r="AC4" s="2838"/>
    </row>
    <row r="5" spans="1:29" s="2836" customFormat="1" ht="24.75">
      <c r="A5" s="2857"/>
      <c r="B5" s="2202" t="s">
        <v>562</v>
      </c>
      <c r="C5" s="2860" t="s">
        <v>563</v>
      </c>
      <c r="D5" s="2856"/>
      <c r="E5" s="2861"/>
      <c r="F5" s="2202" t="s">
        <v>564</v>
      </c>
      <c r="G5" s="2862" t="s">
        <v>565</v>
      </c>
      <c r="H5" s="2838"/>
      <c r="I5" s="2838"/>
      <c r="J5" s="2838"/>
      <c r="K5" s="2838"/>
      <c r="L5" s="2838"/>
      <c r="M5" s="2838"/>
      <c r="N5" s="2838"/>
      <c r="O5" s="2838"/>
      <c r="P5" s="2838"/>
      <c r="Q5" s="2838"/>
      <c r="R5" s="2838"/>
      <c r="S5" s="2838"/>
      <c r="T5" s="2838"/>
      <c r="U5" s="2838"/>
      <c r="V5" s="2838"/>
      <c r="W5" s="2838"/>
      <c r="X5" s="2838"/>
      <c r="Y5" s="2838"/>
      <c r="Z5" s="2838"/>
      <c r="AA5" s="2838"/>
      <c r="AB5" s="2838"/>
      <c r="AC5" s="2838"/>
    </row>
    <row r="6" spans="1:29" s="2836" customFormat="1" ht="36">
      <c r="A6" s="2857"/>
      <c r="B6" s="2202" t="s">
        <v>560</v>
      </c>
      <c r="C6" s="2862" t="s">
        <v>561</v>
      </c>
      <c r="D6" s="2856"/>
      <c r="E6" s="2861"/>
      <c r="F6" s="2202" t="s">
        <v>566</v>
      </c>
      <c r="G6" s="2862" t="s">
        <v>567</v>
      </c>
      <c r="H6" s="2838"/>
      <c r="I6" s="2838"/>
      <c r="J6" s="2838"/>
      <c r="K6" s="2838"/>
      <c r="L6" s="2838"/>
      <c r="M6" s="2838"/>
      <c r="N6" s="2838"/>
      <c r="O6" s="2838"/>
      <c r="P6" s="2838"/>
      <c r="Q6" s="2838"/>
      <c r="R6" s="2838"/>
      <c r="S6" s="2838"/>
      <c r="T6" s="2838"/>
      <c r="U6" s="2838"/>
      <c r="V6" s="2838"/>
      <c r="W6" s="2838"/>
      <c r="X6" s="2838"/>
      <c r="Y6" s="2838"/>
      <c r="Z6" s="2838"/>
      <c r="AA6" s="2838"/>
      <c r="AB6" s="2838"/>
      <c r="AC6" s="2838"/>
    </row>
    <row r="7" spans="1:29" s="2836" customFormat="1" ht="24">
      <c r="A7" s="2857"/>
      <c r="B7" s="2202" t="s">
        <v>564</v>
      </c>
      <c r="C7" s="2862" t="s">
        <v>565</v>
      </c>
      <c r="D7" s="2568"/>
      <c r="E7" s="2863"/>
      <c r="F7" s="2864" t="s">
        <v>568</v>
      </c>
      <c r="G7" s="2865" t="s">
        <v>569</v>
      </c>
      <c r="H7" s="2838"/>
      <c r="I7" s="2838"/>
      <c r="J7" s="2838"/>
      <c r="K7" s="2838"/>
      <c r="L7" s="2838"/>
      <c r="M7" s="2838"/>
      <c r="N7" s="2838"/>
      <c r="O7" s="2838"/>
      <c r="P7" s="2838"/>
      <c r="Q7" s="2838"/>
      <c r="R7" s="2838"/>
      <c r="S7" s="2838"/>
      <c r="T7" s="2838"/>
      <c r="U7" s="2838"/>
      <c r="V7" s="2838"/>
      <c r="W7" s="2838"/>
      <c r="X7" s="2838"/>
      <c r="Y7" s="2838"/>
      <c r="Z7" s="2838"/>
      <c r="AA7" s="2838"/>
      <c r="AB7" s="2838"/>
      <c r="AC7" s="2838"/>
    </row>
    <row r="8" spans="1:29" s="2836" customFormat="1" ht="12.75">
      <c r="A8" s="2857"/>
      <c r="B8" s="2202" t="s">
        <v>566</v>
      </c>
      <c r="C8" s="2862" t="s">
        <v>567</v>
      </c>
      <c r="D8" s="2568"/>
      <c r="E8" s="2568"/>
      <c r="F8" s="2576"/>
      <c r="G8" s="2576"/>
      <c r="H8" s="2838"/>
      <c r="I8" s="2838"/>
      <c r="J8" s="2838"/>
      <c r="K8" s="2838"/>
      <c r="L8" s="2838"/>
      <c r="M8" s="2838"/>
      <c r="N8" s="2838"/>
      <c r="O8" s="2838"/>
      <c r="P8" s="2838"/>
      <c r="Q8" s="2838"/>
      <c r="R8" s="2838"/>
      <c r="S8" s="2838"/>
      <c r="T8" s="2838"/>
      <c r="U8" s="2838"/>
      <c r="V8" s="2838"/>
      <c r="W8" s="2838"/>
      <c r="X8" s="2838"/>
      <c r="Y8" s="2838"/>
      <c r="Z8" s="2838"/>
      <c r="AA8" s="2838"/>
      <c r="AB8" s="2838"/>
      <c r="AC8" s="2838"/>
    </row>
    <row r="9" spans="1:29" s="2836" customFormat="1" ht="24">
      <c r="A9" s="2857"/>
      <c r="B9" s="2202" t="s">
        <v>570</v>
      </c>
      <c r="C9" s="2860" t="s">
        <v>571</v>
      </c>
      <c r="D9" s="2856"/>
      <c r="E9" s="2568"/>
      <c r="F9" s="2576"/>
      <c r="G9" s="2576"/>
      <c r="H9" s="2838"/>
      <c r="I9" s="2838"/>
      <c r="J9" s="2838"/>
      <c r="K9" s="2838"/>
      <c r="L9" s="2838"/>
      <c r="M9" s="2838"/>
      <c r="N9" s="2838"/>
      <c r="O9" s="2838"/>
      <c r="P9" s="2838"/>
      <c r="Q9" s="2838"/>
      <c r="R9" s="2838"/>
      <c r="S9" s="2838"/>
      <c r="T9" s="2838"/>
      <c r="U9" s="2838"/>
      <c r="V9" s="2838"/>
      <c r="W9" s="2838"/>
      <c r="X9" s="2838"/>
      <c r="Y9" s="2838"/>
      <c r="Z9" s="2838"/>
      <c r="AA9" s="2838"/>
      <c r="AB9" s="2838"/>
      <c r="AC9" s="2838"/>
    </row>
    <row r="10" spans="1:29" s="2837" customFormat="1" ht="12.75">
      <c r="A10" s="2866"/>
      <c r="B10" s="2570" t="s">
        <v>572</v>
      </c>
      <c r="C10" s="2867"/>
      <c r="D10" s="2856"/>
      <c r="E10" s="2856"/>
      <c r="F10" s="2576"/>
      <c r="G10" s="2576"/>
      <c r="H10" s="2728"/>
      <c r="I10" s="2900"/>
      <c r="J10" s="2901"/>
      <c r="K10" s="2728"/>
      <c r="L10" s="2900"/>
      <c r="M10" s="2901"/>
      <c r="N10" s="2728"/>
      <c r="O10" s="2900"/>
      <c r="P10" s="2901"/>
      <c r="Q10" s="2728"/>
      <c r="R10" s="2900"/>
      <c r="S10" s="2838"/>
      <c r="T10" s="2838"/>
      <c r="U10" s="2838"/>
      <c r="V10" s="2838"/>
      <c r="W10" s="2838"/>
      <c r="X10" s="2838"/>
      <c r="Y10" s="2838"/>
      <c r="Z10" s="2838"/>
      <c r="AA10" s="2838"/>
      <c r="AB10" s="2838"/>
      <c r="AC10" s="2838"/>
    </row>
    <row r="11" spans="1:29" s="2837" customFormat="1" ht="12.75">
      <c r="A11" s="2868"/>
      <c r="B11" s="2568"/>
      <c r="C11" s="2856"/>
      <c r="D11" s="2856"/>
      <c r="E11" s="2856"/>
      <c r="F11" s="2568"/>
      <c r="G11" s="2869"/>
      <c r="H11" s="2728"/>
      <c r="I11" s="2900"/>
      <c r="J11" s="2901"/>
      <c r="K11" s="2728"/>
      <c r="L11" s="2900"/>
      <c r="M11" s="2901"/>
      <c r="N11" s="2728"/>
      <c r="O11" s="2900"/>
      <c r="P11" s="2901"/>
      <c r="Q11" s="2728"/>
      <c r="R11" s="2900"/>
      <c r="S11" s="2838"/>
      <c r="T11" s="2838"/>
      <c r="U11" s="2838"/>
      <c r="V11" s="2838"/>
      <c r="W11" s="2838"/>
      <c r="X11" s="2838"/>
      <c r="Y11" s="2838"/>
      <c r="Z11" s="2838"/>
      <c r="AA11" s="2838"/>
      <c r="AB11" s="2838"/>
      <c r="AC11" s="2838"/>
    </row>
    <row r="12" spans="1:29" s="2835" customFormat="1" ht="18">
      <c r="A12" s="2870"/>
      <c r="B12" s="2871"/>
      <c r="C12" s="2872"/>
      <c r="D12" s="2873"/>
      <c r="E12" s="2872"/>
      <c r="F12" s="2871"/>
      <c r="G12" s="2405"/>
      <c r="H12" s="2874"/>
      <c r="I12" s="2902"/>
      <c r="J12" s="2874"/>
      <c r="K12" s="2874"/>
      <c r="L12" s="2903"/>
      <c r="M12" s="2874"/>
      <c r="N12" s="2904"/>
      <c r="O12" s="2905"/>
      <c r="P12" s="2904"/>
      <c r="Q12" s="2904"/>
      <c r="R12" s="2908"/>
      <c r="S12" s="2909"/>
      <c r="T12" s="2909"/>
      <c r="U12" s="2909"/>
      <c r="V12" s="2909"/>
      <c r="W12" s="2909"/>
      <c r="X12" s="2909"/>
      <c r="Y12" s="2909"/>
      <c r="Z12" s="2909"/>
      <c r="AA12" s="2909"/>
      <c r="AB12" s="2909"/>
      <c r="AC12" s="2909"/>
    </row>
    <row r="13" spans="1:29" ht="18.75">
      <c r="A13" s="2875" t="s">
        <v>573</v>
      </c>
      <c r="B13" s="2873"/>
      <c r="C13" s="2873"/>
      <c r="D13" s="2876"/>
      <c r="E13" s="2873"/>
      <c r="F13" s="2873"/>
      <c r="G13" s="2873"/>
    </row>
    <row r="14" spans="1:29" s="2836" customFormat="1" ht="12.75">
      <c r="A14" s="2877"/>
      <c r="B14" s="2877"/>
      <c r="C14" s="2878" t="s">
        <v>551</v>
      </c>
      <c r="D14" s="2856"/>
      <c r="E14" s="2879"/>
      <c r="F14" s="2879"/>
      <c r="G14" s="2850" t="s">
        <v>552</v>
      </c>
      <c r="H14" s="2880"/>
      <c r="I14" s="2906"/>
      <c r="J14" s="2880"/>
      <c r="K14" s="2880"/>
      <c r="L14" s="2906"/>
      <c r="M14" s="2880"/>
      <c r="N14" s="2880"/>
      <c r="O14" s="2906"/>
      <c r="P14" s="2880"/>
      <c r="Q14" s="2880"/>
      <c r="R14" s="2910"/>
      <c r="S14" s="2838"/>
      <c r="T14" s="2838"/>
      <c r="U14" s="2838"/>
      <c r="V14" s="2838"/>
      <c r="W14" s="2838"/>
      <c r="X14" s="2838"/>
      <c r="Y14" s="2838"/>
      <c r="Z14" s="2838"/>
      <c r="AA14" s="2838"/>
      <c r="AB14" s="2838"/>
      <c r="AC14" s="2838"/>
    </row>
    <row r="15" spans="1:29" s="2836" customFormat="1" ht="38.25">
      <c r="A15" s="2881" t="s">
        <v>553</v>
      </c>
      <c r="B15" s="2882" t="s">
        <v>554</v>
      </c>
      <c r="C15" s="2883" t="str">
        <f>C3</f>
        <v>估价对象周边居住用地比例、居住小区规模和社区发展完善程度，综合评价居住社区成熟度一般</v>
      </c>
      <c r="D15" s="2856"/>
      <c r="E15" s="2884" t="s">
        <v>553</v>
      </c>
      <c r="F15" s="2882" t="s">
        <v>556</v>
      </c>
      <c r="G15" s="2885" t="str">
        <f>G3</f>
        <v>估价对象位于XX开发区，园区建设成熟度XX，产业集聚程度XX</v>
      </c>
      <c r="H15" s="2880"/>
      <c r="I15" s="2906"/>
      <c r="J15" s="2880"/>
      <c r="K15" s="2880"/>
      <c r="L15" s="2906"/>
      <c r="M15" s="2880"/>
      <c r="N15" s="2880"/>
      <c r="O15" s="2906"/>
      <c r="P15" s="2880"/>
      <c r="Q15" s="2880"/>
      <c r="R15" s="2910"/>
      <c r="S15" s="2838"/>
      <c r="T15" s="2838"/>
      <c r="U15" s="2838"/>
      <c r="V15" s="2838"/>
      <c r="W15" s="2838"/>
      <c r="X15" s="2838"/>
      <c r="Y15" s="2838"/>
      <c r="Z15" s="2838"/>
      <c r="AA15" s="2838"/>
      <c r="AB15" s="2838"/>
      <c r="AC15" s="2838"/>
    </row>
    <row r="16" spans="1:29" s="2836" customFormat="1" ht="25.5">
      <c r="A16" s="2886"/>
      <c r="B16" s="2560" t="s">
        <v>558</v>
      </c>
      <c r="C16" s="2887" t="str">
        <f>C4</f>
        <v>估价对象位于XX商圈，周边商业氛围成熟，人流量大，商业繁华度好</v>
      </c>
      <c r="D16" s="2856"/>
      <c r="E16" s="2888"/>
      <c r="F16" s="2561" t="s">
        <v>560</v>
      </c>
      <c r="G16" s="2889" t="str">
        <f>G4</f>
        <v>估价对象周边道路状况、公共交通通达情况、停车便捷程度，综合评价交通便捷度较好</v>
      </c>
      <c r="H16" s="2880"/>
      <c r="I16" s="2906"/>
      <c r="J16" s="2880"/>
      <c r="K16" s="2880"/>
      <c r="L16" s="2906"/>
      <c r="M16" s="2880"/>
      <c r="N16" s="2880"/>
      <c r="O16" s="2906"/>
      <c r="P16" s="2880"/>
      <c r="Q16" s="2880"/>
      <c r="R16" s="2910"/>
      <c r="S16" s="2838"/>
      <c r="T16" s="2838"/>
      <c r="U16" s="2838"/>
      <c r="V16" s="2838"/>
      <c r="W16" s="2838"/>
      <c r="X16" s="2838"/>
      <c r="Y16" s="2838"/>
      <c r="Z16" s="2838"/>
      <c r="AA16" s="2838"/>
      <c r="AB16" s="2838"/>
      <c r="AC16" s="2838"/>
    </row>
    <row r="17" spans="1:29" s="2836" customFormat="1" ht="25.5">
      <c r="A17" s="2886"/>
      <c r="B17" s="2560" t="s">
        <v>562</v>
      </c>
      <c r="C17" s="2887" t="str">
        <f>C5</f>
        <v>估价对象位于XX商圈，周边办公楼项目较多，入驻率高，办公集聚程度较好</v>
      </c>
      <c r="D17" s="2568"/>
      <c r="E17" s="2888"/>
      <c r="F17" s="2561" t="s">
        <v>574</v>
      </c>
      <c r="G17" s="2890"/>
      <c r="H17" s="2880"/>
      <c r="I17" s="2906"/>
      <c r="J17" s="2880"/>
      <c r="K17" s="2880"/>
      <c r="L17" s="2906"/>
      <c r="M17" s="2880"/>
      <c r="N17" s="2880"/>
      <c r="O17" s="2906"/>
      <c r="P17" s="2880"/>
      <c r="Q17" s="2880"/>
      <c r="R17" s="2910"/>
      <c r="S17" s="2838"/>
      <c r="T17" s="2838"/>
      <c r="U17" s="2838"/>
      <c r="V17" s="2838"/>
      <c r="W17" s="2838"/>
      <c r="X17" s="2838"/>
      <c r="Y17" s="2838"/>
      <c r="Z17" s="2838"/>
      <c r="AA17" s="2838"/>
      <c r="AB17" s="2838"/>
      <c r="AC17" s="2838"/>
    </row>
    <row r="18" spans="1:29" s="2836" customFormat="1" ht="38.25">
      <c r="A18" s="2886"/>
      <c r="B18" s="2561" t="s">
        <v>560</v>
      </c>
      <c r="C18" s="2889" t="str">
        <f>C6</f>
        <v>估价对象周边道路状况、公共交通通达情况、停车便捷程度，综合评价交通便捷度较好</v>
      </c>
      <c r="D18" s="2568"/>
      <c r="E18" s="2888"/>
      <c r="F18" s="2561" t="s">
        <v>568</v>
      </c>
      <c r="G18" s="2889" t="str">
        <f>G7</f>
        <v>该园区内是否有污染型企业，绿化情况，卫生条件，整体环境状况判断</v>
      </c>
      <c r="H18" s="2880"/>
      <c r="I18" s="2906"/>
      <c r="J18" s="2880"/>
      <c r="K18" s="2880"/>
      <c r="L18" s="2906"/>
      <c r="M18" s="2880"/>
      <c r="N18" s="2880"/>
      <c r="O18" s="2906"/>
      <c r="P18" s="2880"/>
      <c r="Q18" s="2880"/>
      <c r="R18" s="2910"/>
      <c r="S18" s="2838"/>
      <c r="T18" s="2838"/>
      <c r="U18" s="2838"/>
      <c r="V18" s="2838"/>
      <c r="W18" s="2838"/>
      <c r="X18" s="2838"/>
      <c r="Y18" s="2838"/>
      <c r="Z18" s="2838"/>
      <c r="AA18" s="2838"/>
      <c r="AB18" s="2838"/>
      <c r="AC18" s="2838"/>
    </row>
    <row r="19" spans="1:29" s="2836" customFormat="1" ht="12.75">
      <c r="A19" s="2886"/>
      <c r="B19" s="2561" t="s">
        <v>574</v>
      </c>
      <c r="C19" s="2890"/>
      <c r="D19" s="2856"/>
      <c r="E19" s="2888"/>
      <c r="F19" s="2202" t="s">
        <v>564</v>
      </c>
      <c r="G19" s="2889" t="str">
        <f>G5</f>
        <v>估价对象所在区域公共配套设施齐备情况</v>
      </c>
      <c r="H19" s="2880"/>
      <c r="I19" s="2906"/>
      <c r="J19" s="2880"/>
      <c r="K19" s="2880"/>
      <c r="L19" s="2906"/>
      <c r="M19" s="2880"/>
      <c r="N19" s="2880"/>
      <c r="O19" s="2906"/>
      <c r="P19" s="2880"/>
      <c r="Q19" s="2880"/>
      <c r="R19" s="2910"/>
      <c r="S19" s="2838"/>
      <c r="T19" s="2838"/>
      <c r="U19" s="2838"/>
      <c r="V19" s="2838"/>
      <c r="W19" s="2838"/>
      <c r="X19" s="2838"/>
      <c r="Y19" s="2838"/>
      <c r="Z19" s="2838"/>
      <c r="AA19" s="2838"/>
      <c r="AB19" s="2838"/>
      <c r="AC19" s="2838"/>
    </row>
    <row r="20" spans="1:29" s="2836" customFormat="1" ht="25.5">
      <c r="A20" s="2886"/>
      <c r="B20" s="2561" t="s">
        <v>575</v>
      </c>
      <c r="C20" s="2887" t="str">
        <f>C9</f>
        <v>区域自然环境：；人文环境；综合评价环境状况一般</v>
      </c>
      <c r="D20" s="2568"/>
      <c r="E20" s="2888"/>
      <c r="F20" s="2202" t="s">
        <v>566</v>
      </c>
      <c r="G20" s="2889" t="str">
        <f>G6</f>
        <v>估价对象所在区域基础设施水平</v>
      </c>
      <c r="H20" s="2880"/>
      <c r="I20" s="2906"/>
      <c r="J20" s="2880"/>
      <c r="K20" s="2880"/>
      <c r="L20" s="2906"/>
      <c r="M20" s="2880"/>
      <c r="N20" s="2880"/>
      <c r="O20" s="2906"/>
      <c r="P20" s="2880"/>
      <c r="Q20" s="2880"/>
      <c r="R20" s="2910"/>
      <c r="S20" s="2838"/>
      <c r="T20" s="2838"/>
      <c r="U20" s="2838"/>
      <c r="V20" s="2838"/>
      <c r="W20" s="2838"/>
      <c r="X20" s="2838"/>
      <c r="Y20" s="2838"/>
      <c r="Z20" s="2838"/>
      <c r="AA20" s="2838"/>
      <c r="AB20" s="2838"/>
      <c r="AC20" s="2838"/>
    </row>
    <row r="21" spans="1:29" s="2836" customFormat="1" ht="25.5">
      <c r="A21" s="2886"/>
      <c r="B21" s="2202" t="s">
        <v>564</v>
      </c>
      <c r="C21" s="2889" t="str">
        <f>C7</f>
        <v>估价对象所在区域公共配套设施齐备情况</v>
      </c>
      <c r="D21" s="2856"/>
      <c r="E21" s="2888"/>
      <c r="F21" s="2561" t="s">
        <v>576</v>
      </c>
      <c r="G21" s="2891"/>
      <c r="H21" s="2880"/>
      <c r="I21" s="2906"/>
      <c r="J21" s="2880"/>
      <c r="K21" s="2880"/>
      <c r="L21" s="2906"/>
      <c r="M21" s="2880"/>
      <c r="N21" s="2880"/>
      <c r="O21" s="2906"/>
      <c r="P21" s="2880"/>
      <c r="Q21" s="2880"/>
      <c r="R21" s="2910"/>
      <c r="S21" s="2838"/>
      <c r="T21" s="2838"/>
      <c r="U21" s="2838"/>
      <c r="V21" s="2838"/>
      <c r="W21" s="2838"/>
      <c r="X21" s="2838"/>
      <c r="Y21" s="2838"/>
      <c r="Z21" s="2838"/>
      <c r="AA21" s="2838"/>
      <c r="AB21" s="2838"/>
      <c r="AC21" s="2838"/>
    </row>
    <row r="22" spans="1:29" s="2836" customFormat="1" ht="12.75">
      <c r="A22" s="2886"/>
      <c r="B22" s="2202" t="s">
        <v>566</v>
      </c>
      <c r="C22" s="2889" t="str">
        <f>C8</f>
        <v>估价对象所在区域基础设施水平</v>
      </c>
      <c r="D22" s="2856"/>
      <c r="E22" s="2888"/>
      <c r="F22" s="2561" t="s">
        <v>572</v>
      </c>
      <c r="G22" s="2892"/>
      <c r="H22" s="2880"/>
      <c r="I22" s="2906"/>
      <c r="J22" s="2880"/>
      <c r="K22" s="2880"/>
      <c r="L22" s="2906"/>
      <c r="M22" s="2880"/>
      <c r="N22" s="2880"/>
      <c r="O22" s="2906"/>
      <c r="P22" s="2880"/>
      <c r="Q22" s="2880"/>
      <c r="R22" s="2910"/>
      <c r="S22" s="2838"/>
      <c r="T22" s="2838"/>
      <c r="U22" s="2838"/>
      <c r="V22" s="2838"/>
      <c r="W22" s="2838"/>
      <c r="X22" s="2838"/>
      <c r="Y22" s="2838"/>
      <c r="Z22" s="2838"/>
      <c r="AA22" s="2838"/>
      <c r="AB22" s="2838"/>
      <c r="AC22" s="2838"/>
    </row>
    <row r="23" spans="1:29" s="2838" customFormat="1" ht="12.75">
      <c r="A23" s="2886"/>
      <c r="B23" s="2561" t="s">
        <v>576</v>
      </c>
      <c r="C23" s="2891"/>
      <c r="D23" s="2880"/>
      <c r="E23" s="2893"/>
      <c r="F23" s="2569" t="s">
        <v>352</v>
      </c>
      <c r="G23" s="2894"/>
      <c r="H23" s="2880"/>
      <c r="I23" s="2906"/>
      <c r="J23" s="2880"/>
      <c r="K23" s="2880"/>
      <c r="L23" s="2906"/>
      <c r="M23" s="2880"/>
      <c r="N23" s="2880"/>
      <c r="O23" s="2906"/>
      <c r="P23" s="2880"/>
      <c r="Q23" s="2880"/>
      <c r="R23" s="2910"/>
    </row>
    <row r="24" spans="1:29" s="2838" customFormat="1" ht="12.75">
      <c r="A24" s="2895"/>
      <c r="B24" s="2569" t="s">
        <v>572</v>
      </c>
      <c r="C24" s="2896">
        <f>C10</f>
        <v>0</v>
      </c>
      <c r="D24" s="2880"/>
      <c r="E24" s="2897"/>
      <c r="F24" s="2897"/>
      <c r="G24" s="2898"/>
      <c r="H24" s="2880"/>
      <c r="I24" s="2906"/>
      <c r="J24" s="2880"/>
      <c r="K24" s="2880"/>
      <c r="L24" s="2906"/>
      <c r="M24" s="2880"/>
      <c r="N24" s="2880"/>
      <c r="O24" s="2906"/>
      <c r="P24" s="2880"/>
      <c r="Q24" s="2880"/>
      <c r="R24" s="2910"/>
    </row>
    <row r="25" spans="1:29" s="2839" customFormat="1">
      <c r="B25" s="2844"/>
      <c r="C25" s="2844"/>
      <c r="D25" s="2844"/>
      <c r="H25" s="2844"/>
      <c r="I25" s="2845"/>
      <c r="J25" s="2844"/>
      <c r="K25" s="2844"/>
      <c r="L25" s="2845"/>
      <c r="M25" s="2844"/>
      <c r="N25" s="2844"/>
      <c r="O25" s="2845"/>
      <c r="P25" s="2844"/>
      <c r="Q25" s="2844"/>
      <c r="R25" s="2846"/>
    </row>
    <row r="26" spans="1:29" s="2839" customFormat="1">
      <c r="B26" s="2844"/>
      <c r="C26" s="2844"/>
      <c r="D26" s="2844"/>
      <c r="H26" s="2844"/>
      <c r="I26" s="2845"/>
      <c r="J26" s="2844"/>
      <c r="K26" s="2844"/>
      <c r="L26" s="2845"/>
      <c r="M26" s="2844"/>
      <c r="N26" s="2844"/>
      <c r="O26" s="2845"/>
      <c r="P26" s="2844"/>
      <c r="Q26" s="2844"/>
      <c r="R26" s="2846"/>
    </row>
    <row r="27" spans="1:29" s="2839" customFormat="1">
      <c r="B27" s="2844"/>
      <c r="C27" s="2844"/>
      <c r="D27" s="2844"/>
      <c r="H27" s="2844"/>
      <c r="I27" s="2845"/>
      <c r="J27" s="2844"/>
      <c r="K27" s="2844"/>
      <c r="L27" s="2845"/>
      <c r="M27" s="2844"/>
      <c r="N27" s="2844"/>
      <c r="O27" s="2845"/>
      <c r="P27" s="2844"/>
      <c r="Q27" s="2844"/>
      <c r="R27" s="2846"/>
    </row>
    <row r="28" spans="1:29" s="2839" customFormat="1">
      <c r="B28" s="2844"/>
      <c r="C28" s="2844"/>
      <c r="D28" s="2844"/>
      <c r="H28" s="2844"/>
      <c r="I28" s="2845"/>
      <c r="J28" s="2844"/>
      <c r="K28" s="2844"/>
      <c r="L28" s="2845"/>
      <c r="M28" s="2844"/>
      <c r="N28" s="2844"/>
      <c r="O28" s="2845"/>
      <c r="P28" s="2844"/>
      <c r="Q28" s="2844"/>
      <c r="R28" s="2846"/>
    </row>
    <row r="29" spans="1:29" s="2839" customFormat="1">
      <c r="B29" s="2844"/>
      <c r="C29" s="2844"/>
      <c r="D29" s="2844"/>
      <c r="H29" s="2844"/>
      <c r="I29" s="2845"/>
      <c r="J29" s="2844"/>
      <c r="K29" s="2844"/>
      <c r="L29" s="2845"/>
      <c r="M29" s="2844"/>
      <c r="N29" s="2844"/>
      <c r="O29" s="2845"/>
      <c r="P29" s="2844"/>
      <c r="Q29" s="2844"/>
      <c r="R29" s="2846"/>
    </row>
    <row r="30" spans="1:29" s="2839" customFormat="1">
      <c r="B30" s="2844"/>
      <c r="C30" s="2844"/>
      <c r="D30" s="2844"/>
      <c r="H30" s="2844"/>
      <c r="I30" s="2845"/>
      <c r="J30" s="2844"/>
      <c r="K30" s="2844"/>
      <c r="L30" s="2845"/>
      <c r="M30" s="2844"/>
      <c r="N30" s="2844"/>
      <c r="O30" s="2845"/>
      <c r="P30" s="2844"/>
      <c r="Q30" s="2844"/>
      <c r="R30" s="2846"/>
    </row>
    <row r="31" spans="1:29" s="2839" customFormat="1">
      <c r="B31" s="2844"/>
      <c r="C31" s="2844"/>
      <c r="D31" s="2844"/>
      <c r="H31" s="2844"/>
      <c r="I31" s="2845"/>
      <c r="J31" s="2844"/>
      <c r="K31" s="2844"/>
      <c r="L31" s="2845"/>
      <c r="M31" s="2844"/>
      <c r="N31" s="2844"/>
      <c r="O31" s="2845"/>
      <c r="P31" s="2844"/>
      <c r="Q31" s="2844"/>
      <c r="R31" s="2846"/>
    </row>
    <row r="32" spans="1:29" s="2839" customFormat="1">
      <c r="B32" s="2844"/>
      <c r="C32" s="2844"/>
      <c r="D32" s="2844"/>
      <c r="H32" s="2844"/>
      <c r="I32" s="2845"/>
      <c r="J32" s="2844"/>
      <c r="K32" s="2844"/>
      <c r="L32" s="2845"/>
      <c r="M32" s="2844"/>
      <c r="N32" s="2844"/>
      <c r="O32" s="2845"/>
      <c r="P32" s="2844"/>
      <c r="Q32" s="2844"/>
      <c r="R32" s="2846"/>
    </row>
    <row r="33" spans="2:18" s="2839" customFormat="1">
      <c r="B33" s="2844"/>
      <c r="C33" s="2844"/>
      <c r="D33" s="2844"/>
      <c r="H33" s="2844"/>
      <c r="I33" s="2845"/>
      <c r="J33" s="2844"/>
      <c r="K33" s="2844"/>
      <c r="L33" s="2845"/>
      <c r="M33" s="2844"/>
      <c r="N33" s="2844"/>
      <c r="O33" s="2845"/>
      <c r="P33" s="2844"/>
      <c r="Q33" s="2844"/>
      <c r="R33" s="2846"/>
    </row>
    <row r="34" spans="2:18" s="2839" customFormat="1">
      <c r="B34" s="2844"/>
      <c r="C34" s="2844"/>
      <c r="D34" s="2844"/>
      <c r="H34" s="2844"/>
      <c r="I34" s="2845"/>
      <c r="J34" s="2844"/>
      <c r="K34" s="2844"/>
      <c r="L34" s="2845"/>
      <c r="M34" s="2844"/>
      <c r="N34" s="2844"/>
      <c r="O34" s="2845"/>
      <c r="P34" s="2844"/>
      <c r="Q34" s="2844"/>
      <c r="R34" s="2846"/>
    </row>
    <row r="35" spans="2:18" s="2839" customFormat="1">
      <c r="B35" s="2844"/>
      <c r="C35" s="2844"/>
      <c r="D35" s="2844"/>
      <c r="H35" s="2844"/>
      <c r="I35" s="2845"/>
      <c r="J35" s="2844"/>
      <c r="K35" s="2844"/>
      <c r="L35" s="2845"/>
      <c r="M35" s="2844"/>
      <c r="N35" s="2844"/>
      <c r="O35" s="2845"/>
      <c r="P35" s="2844"/>
      <c r="Q35" s="2844"/>
      <c r="R35" s="2846"/>
    </row>
    <row r="36" spans="2:18" s="2839" customFormat="1">
      <c r="B36" s="2844"/>
      <c r="C36" s="2844"/>
      <c r="D36" s="2844"/>
      <c r="H36" s="2844"/>
      <c r="I36" s="2845"/>
      <c r="J36" s="2844"/>
      <c r="K36" s="2844"/>
      <c r="L36" s="2845"/>
      <c r="M36" s="2844"/>
      <c r="N36" s="2844"/>
      <c r="O36" s="2845"/>
      <c r="P36" s="2844"/>
      <c r="Q36" s="2844"/>
      <c r="R36" s="2846"/>
    </row>
    <row r="37" spans="2:18" s="2839" customFormat="1">
      <c r="B37" s="2844"/>
      <c r="C37" s="2844"/>
      <c r="D37" s="2844"/>
      <c r="H37" s="2844"/>
      <c r="I37" s="2845"/>
      <c r="J37" s="2844"/>
      <c r="K37" s="2844"/>
      <c r="L37" s="2845"/>
      <c r="M37" s="2844"/>
      <c r="N37" s="2844"/>
      <c r="O37" s="2845"/>
      <c r="P37" s="2844"/>
      <c r="Q37" s="2844"/>
      <c r="R37" s="2846"/>
    </row>
    <row r="38" spans="2:18" s="2839" customFormat="1">
      <c r="B38" s="2844"/>
      <c r="C38" s="2844"/>
      <c r="D38" s="2844"/>
      <c r="E38" s="2844"/>
      <c r="F38" s="2844"/>
      <c r="G38" s="2845"/>
      <c r="H38" s="2844"/>
      <c r="I38" s="2845"/>
      <c r="J38" s="2844"/>
      <c r="K38" s="2844"/>
      <c r="L38" s="2845"/>
      <c r="M38" s="2844"/>
      <c r="N38" s="2844"/>
      <c r="O38" s="2845"/>
      <c r="P38" s="2844"/>
      <c r="Q38" s="2844"/>
      <c r="R38" s="2846"/>
    </row>
    <row r="39" spans="2:18" s="2839" customFormat="1">
      <c r="B39" s="2844"/>
      <c r="C39" s="2844"/>
      <c r="D39" s="2844"/>
      <c r="E39" s="2844"/>
      <c r="F39" s="2844"/>
      <c r="G39" s="2845"/>
      <c r="H39" s="2844"/>
      <c r="I39" s="2845"/>
      <c r="J39" s="2844"/>
      <c r="K39" s="2844"/>
      <c r="L39" s="2845"/>
      <c r="M39" s="2844"/>
      <c r="N39" s="2844"/>
      <c r="O39" s="2845"/>
      <c r="P39" s="2844"/>
      <c r="Q39" s="2844"/>
      <c r="R39" s="2846"/>
    </row>
    <row r="40" spans="2:18" s="2839" customFormat="1">
      <c r="B40" s="2844"/>
      <c r="C40" s="2844"/>
      <c r="D40" s="2844"/>
      <c r="E40" s="2844"/>
      <c r="F40" s="2844"/>
      <c r="G40" s="2845"/>
      <c r="H40" s="2844"/>
      <c r="I40" s="2845"/>
      <c r="J40" s="2844"/>
      <c r="K40" s="2844"/>
      <c r="L40" s="2845"/>
      <c r="M40" s="2844"/>
      <c r="N40" s="2844"/>
      <c r="O40" s="2845"/>
      <c r="P40" s="2844"/>
      <c r="Q40" s="2844"/>
      <c r="R40" s="2846"/>
    </row>
    <row r="41" spans="2:18" s="2839" customFormat="1">
      <c r="B41" s="2844"/>
      <c r="C41" s="2844"/>
      <c r="D41" s="2844"/>
      <c r="E41" s="2844"/>
      <c r="F41" s="2844"/>
      <c r="G41" s="2845"/>
      <c r="H41" s="2844"/>
      <c r="I41" s="2845"/>
      <c r="J41" s="2844"/>
      <c r="K41" s="2844"/>
      <c r="L41" s="2845"/>
      <c r="M41" s="2844"/>
      <c r="N41" s="2844"/>
      <c r="O41" s="2845"/>
      <c r="P41" s="2844"/>
      <c r="Q41" s="2844"/>
      <c r="R41" s="2846"/>
    </row>
    <row r="42" spans="2:18" s="2839" customFormat="1">
      <c r="B42" s="2844"/>
      <c r="C42" s="2844"/>
      <c r="D42" s="2844"/>
      <c r="E42" s="2844"/>
      <c r="F42" s="2844"/>
      <c r="G42" s="2845"/>
      <c r="H42" s="2844"/>
      <c r="I42" s="2845"/>
      <c r="J42" s="2844"/>
      <c r="K42" s="2844"/>
      <c r="L42" s="2845"/>
      <c r="M42" s="2844"/>
      <c r="N42" s="2844"/>
      <c r="O42" s="2845"/>
      <c r="P42" s="2844"/>
      <c r="Q42" s="2844"/>
      <c r="R42" s="2846"/>
    </row>
    <row r="43" spans="2:18" s="2839" customFormat="1">
      <c r="B43" s="2844"/>
      <c r="C43" s="2844"/>
      <c r="D43" s="2844"/>
      <c r="E43" s="2844"/>
      <c r="F43" s="2844"/>
      <c r="G43" s="2845"/>
      <c r="H43" s="2844"/>
      <c r="I43" s="2845"/>
      <c r="J43" s="2844"/>
      <c r="K43" s="2844"/>
      <c r="L43" s="2845"/>
      <c r="M43" s="2844"/>
      <c r="N43" s="2844"/>
      <c r="O43" s="2845"/>
      <c r="P43" s="2844"/>
      <c r="Q43" s="2844"/>
      <c r="R43" s="2846"/>
    </row>
    <row r="44" spans="2:18" s="2839" customFormat="1">
      <c r="B44" s="2844"/>
      <c r="C44" s="2844"/>
      <c r="D44" s="2844"/>
      <c r="E44" s="2844"/>
      <c r="F44" s="2844"/>
      <c r="G44" s="2845"/>
      <c r="H44" s="2844"/>
      <c r="I44" s="2845"/>
      <c r="J44" s="2844"/>
      <c r="K44" s="2844"/>
      <c r="L44" s="2845"/>
      <c r="M44" s="2844"/>
      <c r="N44" s="2844"/>
      <c r="O44" s="2845"/>
      <c r="P44" s="2844"/>
      <c r="Q44" s="2844"/>
      <c r="R44" s="2846"/>
    </row>
    <row r="45" spans="2:18" s="2839" customFormat="1">
      <c r="B45" s="2844"/>
      <c r="C45" s="2844"/>
      <c r="D45" s="2844"/>
      <c r="E45" s="2844"/>
      <c r="F45" s="2844"/>
      <c r="G45" s="2845"/>
      <c r="H45" s="2844"/>
      <c r="I45" s="2845"/>
      <c r="J45" s="2844"/>
      <c r="K45" s="2844"/>
      <c r="L45" s="2845"/>
      <c r="M45" s="2844"/>
      <c r="N45" s="2844"/>
      <c r="O45" s="2845"/>
      <c r="P45" s="2844"/>
      <c r="Q45" s="2844"/>
      <c r="R45" s="2846"/>
    </row>
    <row r="46" spans="2:18" s="2839" customFormat="1">
      <c r="B46" s="2844"/>
      <c r="C46" s="2844"/>
      <c r="D46" s="2844"/>
      <c r="E46" s="2844"/>
      <c r="F46" s="2844"/>
      <c r="G46" s="2845"/>
      <c r="H46" s="2844"/>
      <c r="I46" s="2845"/>
      <c r="J46" s="2844"/>
      <c r="K46" s="2844"/>
      <c r="L46" s="2845"/>
      <c r="M46" s="2844"/>
      <c r="N46" s="2844"/>
      <c r="O46" s="2845"/>
      <c r="P46" s="2844"/>
      <c r="Q46" s="2844"/>
      <c r="R46" s="2846"/>
    </row>
    <row r="47" spans="2:18" s="2839" customFormat="1">
      <c r="B47" s="2844"/>
      <c r="C47" s="2844"/>
      <c r="D47" s="2844"/>
      <c r="E47" s="2844"/>
      <c r="F47" s="2844"/>
      <c r="G47" s="2845"/>
      <c r="H47" s="2844"/>
      <c r="I47" s="2845"/>
      <c r="J47" s="2844"/>
      <c r="K47" s="2844"/>
      <c r="L47" s="2845"/>
      <c r="M47" s="2844"/>
      <c r="N47" s="2844"/>
      <c r="O47" s="2845"/>
      <c r="P47" s="2844"/>
      <c r="Q47" s="2844"/>
      <c r="R47" s="2846"/>
    </row>
    <row r="48" spans="2:18" s="2839" customFormat="1">
      <c r="B48" s="2844"/>
      <c r="C48" s="2844"/>
      <c r="D48" s="2844"/>
      <c r="E48" s="2844"/>
      <c r="F48" s="2844"/>
      <c r="G48" s="2845"/>
      <c r="H48" s="2844"/>
      <c r="I48" s="2845"/>
      <c r="J48" s="2844"/>
      <c r="K48" s="2844"/>
      <c r="L48" s="2845"/>
      <c r="M48" s="2844"/>
      <c r="N48" s="2844"/>
      <c r="O48" s="2845"/>
      <c r="P48" s="2844"/>
      <c r="Q48" s="2844"/>
      <c r="R48" s="2846"/>
    </row>
    <row r="49" spans="2:18" s="2839" customFormat="1">
      <c r="B49" s="2844"/>
      <c r="C49" s="2844"/>
      <c r="D49" s="2844"/>
      <c r="E49" s="2844"/>
      <c r="F49" s="2844"/>
      <c r="G49" s="2845"/>
      <c r="H49" s="2844"/>
      <c r="I49" s="2845"/>
      <c r="J49" s="2844"/>
      <c r="K49" s="2844"/>
      <c r="L49" s="2845"/>
      <c r="M49" s="2844"/>
      <c r="N49" s="2844"/>
      <c r="O49" s="2845"/>
      <c r="P49" s="2844"/>
      <c r="Q49" s="2844"/>
      <c r="R49" s="2846"/>
    </row>
    <row r="50" spans="2:18" s="2839" customFormat="1">
      <c r="B50" s="2844"/>
      <c r="C50" s="2844"/>
      <c r="D50" s="2844"/>
      <c r="E50" s="2844"/>
      <c r="F50" s="2844"/>
      <c r="G50" s="2845"/>
      <c r="H50" s="2844"/>
      <c r="I50" s="2845"/>
      <c r="J50" s="2844"/>
      <c r="K50" s="2844"/>
      <c r="L50" s="2845"/>
      <c r="M50" s="2844"/>
      <c r="N50" s="2844"/>
      <c r="O50" s="2845"/>
      <c r="P50" s="2844"/>
      <c r="Q50" s="2844"/>
      <c r="R50" s="2846"/>
    </row>
    <row r="51" spans="2:18" s="2839" customFormat="1">
      <c r="B51" s="2844"/>
      <c r="C51" s="2844"/>
      <c r="D51" s="2844"/>
      <c r="E51" s="2844"/>
      <c r="F51" s="2844"/>
      <c r="G51" s="2845"/>
      <c r="H51" s="2844"/>
      <c r="I51" s="2845"/>
      <c r="J51" s="2844"/>
      <c r="K51" s="2844"/>
      <c r="L51" s="2845"/>
      <c r="M51" s="2844"/>
      <c r="N51" s="2844"/>
      <c r="O51" s="2845"/>
      <c r="P51" s="2844"/>
      <c r="Q51" s="2844"/>
      <c r="R51" s="2846"/>
    </row>
    <row r="52" spans="2:18" s="2839" customFormat="1">
      <c r="B52" s="2844"/>
      <c r="C52" s="2844"/>
      <c r="D52" s="2844"/>
      <c r="E52" s="2844"/>
      <c r="F52" s="2844"/>
      <c r="G52" s="2845"/>
      <c r="H52" s="2844"/>
      <c r="I52" s="2845"/>
      <c r="J52" s="2844"/>
      <c r="K52" s="2844"/>
      <c r="L52" s="2845"/>
      <c r="M52" s="2844"/>
      <c r="N52" s="2844"/>
      <c r="O52" s="2845"/>
      <c r="P52" s="2844"/>
      <c r="Q52" s="2844"/>
      <c r="R52" s="2846"/>
    </row>
    <row r="53" spans="2:18" s="2839" customFormat="1">
      <c r="B53" s="2844"/>
      <c r="C53" s="2844"/>
      <c r="D53" s="2844"/>
      <c r="E53" s="2844"/>
      <c r="F53" s="2844"/>
      <c r="G53" s="2845"/>
      <c r="H53" s="2844"/>
      <c r="I53" s="2845"/>
      <c r="J53" s="2844"/>
      <c r="K53" s="2844"/>
      <c r="L53" s="2845"/>
      <c r="M53" s="2844"/>
      <c r="N53" s="2844"/>
      <c r="O53" s="2845"/>
      <c r="P53" s="2844"/>
      <c r="Q53" s="2844"/>
      <c r="R53" s="2846"/>
    </row>
    <row r="54" spans="2:18" s="2839" customFormat="1">
      <c r="B54" s="2844"/>
      <c r="C54" s="2844"/>
      <c r="D54" s="2844"/>
      <c r="E54" s="2844"/>
      <c r="F54" s="2844"/>
      <c r="G54" s="2845"/>
      <c r="H54" s="2844"/>
      <c r="I54" s="2845"/>
      <c r="J54" s="2844"/>
      <c r="K54" s="2844"/>
      <c r="L54" s="2845"/>
      <c r="M54" s="2844"/>
      <c r="N54" s="2844"/>
      <c r="O54" s="2845"/>
      <c r="P54" s="2844"/>
      <c r="Q54" s="2844"/>
      <c r="R54" s="2846"/>
    </row>
    <row r="55" spans="2:18" s="2839" customFormat="1">
      <c r="B55" s="2844"/>
      <c r="C55" s="2844"/>
      <c r="D55" s="2844"/>
      <c r="E55" s="2844"/>
      <c r="F55" s="2844"/>
      <c r="G55" s="2845"/>
      <c r="H55" s="2844"/>
      <c r="I55" s="2845"/>
      <c r="J55" s="2844"/>
      <c r="K55" s="2844"/>
      <c r="L55" s="2845"/>
      <c r="M55" s="2844"/>
      <c r="N55" s="2844"/>
      <c r="O55" s="2845"/>
      <c r="P55" s="2844"/>
      <c r="Q55" s="2844"/>
      <c r="R55" s="2846"/>
    </row>
    <row r="56" spans="2:18" s="2839" customFormat="1">
      <c r="B56" s="2844"/>
      <c r="C56" s="2844"/>
      <c r="D56" s="2844"/>
      <c r="E56" s="2844"/>
      <c r="F56" s="2844"/>
      <c r="G56" s="2845"/>
      <c r="H56" s="2844"/>
      <c r="I56" s="2845"/>
      <c r="J56" s="2844"/>
      <c r="K56" s="2844"/>
      <c r="L56" s="2845"/>
      <c r="M56" s="2844"/>
      <c r="N56" s="2844"/>
      <c r="O56" s="2845"/>
      <c r="P56" s="2844"/>
      <c r="Q56" s="2844"/>
      <c r="R56" s="2846"/>
    </row>
    <row r="57" spans="2:18" s="2839" customFormat="1">
      <c r="B57" s="2844"/>
      <c r="C57" s="2844"/>
      <c r="D57" s="2844"/>
      <c r="E57" s="2844"/>
      <c r="F57" s="2844"/>
      <c r="G57" s="2845"/>
      <c r="H57" s="2844"/>
      <c r="I57" s="2845"/>
      <c r="J57" s="2844"/>
      <c r="K57" s="2844"/>
      <c r="L57" s="2845"/>
      <c r="M57" s="2844"/>
      <c r="N57" s="2844"/>
      <c r="O57" s="2845"/>
      <c r="P57" s="2844"/>
      <c r="Q57" s="2844"/>
      <c r="R57" s="2846"/>
    </row>
    <row r="58" spans="2:18" s="2839" customFormat="1">
      <c r="B58" s="2844"/>
      <c r="C58" s="2844"/>
      <c r="D58" s="2844"/>
      <c r="E58" s="2844"/>
      <c r="F58" s="2844"/>
      <c r="G58" s="2845"/>
      <c r="H58" s="2844"/>
      <c r="I58" s="2845"/>
      <c r="J58" s="2844"/>
      <c r="K58" s="2844"/>
      <c r="L58" s="2845"/>
      <c r="M58" s="2844"/>
      <c r="N58" s="2844"/>
      <c r="O58" s="2845"/>
      <c r="P58" s="2844"/>
      <c r="Q58" s="2844"/>
      <c r="R58" s="2846"/>
    </row>
    <row r="59" spans="2:18" s="2839" customFormat="1">
      <c r="B59" s="2844"/>
      <c r="C59" s="2844"/>
      <c r="D59" s="2844"/>
      <c r="E59" s="2844"/>
      <c r="F59" s="2844"/>
      <c r="G59" s="2845"/>
      <c r="H59" s="2844"/>
      <c r="I59" s="2845"/>
      <c r="J59" s="2844"/>
      <c r="K59" s="2844"/>
      <c r="L59" s="2845"/>
      <c r="M59" s="2844"/>
      <c r="N59" s="2844"/>
      <c r="O59" s="2845"/>
      <c r="P59" s="2844"/>
      <c r="Q59" s="2844"/>
      <c r="R59" s="2846"/>
    </row>
    <row r="60" spans="2:18" s="2839" customFormat="1">
      <c r="B60" s="2844"/>
      <c r="C60" s="2844"/>
      <c r="D60" s="2844"/>
      <c r="E60" s="2844"/>
      <c r="F60" s="2844"/>
      <c r="G60" s="2845"/>
      <c r="H60" s="2844"/>
      <c r="I60" s="2845"/>
      <c r="J60" s="2844"/>
      <c r="K60" s="2844"/>
      <c r="L60" s="2845"/>
      <c r="M60" s="2844"/>
      <c r="N60" s="2844"/>
      <c r="O60" s="2845"/>
      <c r="P60" s="2844"/>
      <c r="Q60" s="2844"/>
      <c r="R60" s="2846"/>
    </row>
    <row r="61" spans="2:18" s="2839" customFormat="1">
      <c r="B61" s="2844"/>
      <c r="C61" s="2844"/>
      <c r="D61" s="2844"/>
      <c r="E61" s="2844"/>
      <c r="F61" s="2844"/>
      <c r="G61" s="2845"/>
      <c r="H61" s="2844"/>
      <c r="I61" s="2845"/>
      <c r="J61" s="2844"/>
      <c r="K61" s="2844"/>
      <c r="L61" s="2845"/>
      <c r="M61" s="2844"/>
      <c r="N61" s="2844"/>
      <c r="O61" s="2845"/>
      <c r="P61" s="2844"/>
      <c r="Q61" s="2844"/>
      <c r="R61" s="2846"/>
    </row>
    <row r="62" spans="2:18" s="2839" customFormat="1">
      <c r="B62" s="2844"/>
      <c r="C62" s="2844"/>
      <c r="D62" s="2844"/>
      <c r="E62" s="2844"/>
      <c r="F62" s="2844"/>
      <c r="G62" s="2845"/>
      <c r="H62" s="2844"/>
      <c r="I62" s="2845"/>
      <c r="J62" s="2844"/>
      <c r="K62" s="2844"/>
      <c r="L62" s="2845"/>
      <c r="M62" s="2844"/>
      <c r="N62" s="2844"/>
      <c r="O62" s="2845"/>
      <c r="P62" s="2844"/>
      <c r="Q62" s="2844"/>
      <c r="R62" s="2846"/>
    </row>
    <row r="63" spans="2:18" s="2839" customFormat="1">
      <c r="B63" s="2844"/>
      <c r="C63" s="2844"/>
      <c r="D63" s="2844"/>
      <c r="E63" s="2844"/>
      <c r="F63" s="2844"/>
      <c r="G63" s="2845"/>
      <c r="H63" s="2844"/>
      <c r="I63" s="2845"/>
      <c r="J63" s="2844"/>
      <c r="K63" s="2844"/>
      <c r="L63" s="2845"/>
      <c r="M63" s="2844"/>
      <c r="N63" s="2844"/>
      <c r="O63" s="2845"/>
      <c r="P63" s="2844"/>
      <c r="Q63" s="2844"/>
      <c r="R63" s="2846"/>
    </row>
    <row r="64" spans="2:18" s="2839" customFormat="1">
      <c r="B64" s="2844"/>
      <c r="C64" s="2844"/>
      <c r="D64" s="2844"/>
      <c r="E64" s="2844"/>
      <c r="F64" s="2844"/>
      <c r="G64" s="2845"/>
      <c r="H64" s="2844"/>
      <c r="I64" s="2845"/>
      <c r="J64" s="2844"/>
      <c r="K64" s="2844"/>
      <c r="L64" s="2845"/>
      <c r="M64" s="2844"/>
      <c r="N64" s="2844"/>
      <c r="O64" s="2845"/>
      <c r="P64" s="2844"/>
      <c r="Q64" s="2844"/>
      <c r="R64" s="2846"/>
    </row>
    <row r="65" spans="2:18" s="2839" customFormat="1">
      <c r="B65" s="2844"/>
      <c r="C65" s="2844"/>
      <c r="D65" s="2844"/>
      <c r="E65" s="2844"/>
      <c r="F65" s="2844"/>
      <c r="G65" s="2845"/>
      <c r="H65" s="2844"/>
      <c r="I65" s="2845"/>
      <c r="J65" s="2844"/>
      <c r="K65" s="2844"/>
      <c r="L65" s="2845"/>
      <c r="M65" s="2844"/>
      <c r="N65" s="2844"/>
      <c r="O65" s="2845"/>
      <c r="P65" s="2844"/>
      <c r="Q65" s="2844"/>
      <c r="R65" s="2846"/>
    </row>
    <row r="66" spans="2:18" s="2839" customFormat="1">
      <c r="B66" s="2844"/>
      <c r="C66" s="2844"/>
      <c r="D66" s="2844"/>
      <c r="E66" s="2844"/>
      <c r="F66" s="2844"/>
      <c r="G66" s="2845"/>
      <c r="H66" s="2844"/>
      <c r="I66" s="2845"/>
      <c r="J66" s="2844"/>
      <c r="K66" s="2844"/>
      <c r="L66" s="2845"/>
      <c r="M66" s="2844"/>
      <c r="N66" s="2844"/>
      <c r="O66" s="2845"/>
      <c r="P66" s="2844"/>
      <c r="Q66" s="2844"/>
      <c r="R66" s="2846"/>
    </row>
    <row r="67" spans="2:18" s="2839" customFormat="1">
      <c r="B67" s="2844"/>
      <c r="C67" s="2844"/>
      <c r="D67" s="2844"/>
      <c r="E67" s="2844"/>
      <c r="F67" s="2844"/>
      <c r="G67" s="2845"/>
      <c r="H67" s="2844"/>
      <c r="I67" s="2845"/>
      <c r="J67" s="2844"/>
      <c r="K67" s="2844"/>
      <c r="L67" s="2845"/>
      <c r="M67" s="2844"/>
      <c r="N67" s="2844"/>
      <c r="O67" s="2845"/>
      <c r="P67" s="2844"/>
      <c r="Q67" s="2844"/>
      <c r="R67" s="2846"/>
    </row>
    <row r="68" spans="2:18" s="2839" customFormat="1">
      <c r="B68" s="2844"/>
      <c r="C68" s="2844"/>
      <c r="D68" s="2844"/>
      <c r="E68" s="2844"/>
      <c r="F68" s="2844"/>
      <c r="G68" s="2845"/>
      <c r="H68" s="2844"/>
      <c r="I68" s="2845"/>
      <c r="J68" s="2844"/>
      <c r="K68" s="2844"/>
      <c r="L68" s="2845"/>
      <c r="M68" s="2844"/>
      <c r="N68" s="2844"/>
      <c r="O68" s="2845"/>
      <c r="P68" s="2844"/>
      <c r="Q68" s="2844"/>
      <c r="R68" s="2846"/>
    </row>
    <row r="69" spans="2:18" s="2839" customFormat="1">
      <c r="B69" s="2844"/>
      <c r="C69" s="2844"/>
      <c r="D69" s="2844"/>
      <c r="E69" s="2844"/>
      <c r="F69" s="2844"/>
      <c r="G69" s="2845"/>
      <c r="H69" s="2844"/>
      <c r="I69" s="2845"/>
      <c r="J69" s="2844"/>
      <c r="K69" s="2844"/>
      <c r="L69" s="2845"/>
      <c r="M69" s="2844"/>
      <c r="N69" s="2844"/>
      <c r="O69" s="2845"/>
      <c r="P69" s="2844"/>
      <c r="Q69" s="2844"/>
      <c r="R69" s="2846"/>
    </row>
    <row r="70" spans="2:18" s="2839" customFormat="1">
      <c r="B70" s="2844"/>
      <c r="C70" s="2844"/>
      <c r="D70" s="2844"/>
      <c r="E70" s="2844"/>
      <c r="F70" s="2844"/>
      <c r="G70" s="2845"/>
      <c r="H70" s="2844"/>
      <c r="I70" s="2845"/>
      <c r="J70" s="2844"/>
      <c r="K70" s="2844"/>
      <c r="L70" s="2845"/>
      <c r="M70" s="2844"/>
      <c r="N70" s="2844"/>
      <c r="O70" s="2845"/>
      <c r="P70" s="2844"/>
      <c r="Q70" s="2844"/>
      <c r="R70" s="2846"/>
    </row>
    <row r="71" spans="2:18" s="2839" customFormat="1">
      <c r="B71" s="2844"/>
      <c r="C71" s="2844"/>
      <c r="D71" s="2844"/>
      <c r="E71" s="2844"/>
      <c r="F71" s="2844"/>
      <c r="G71" s="2845"/>
      <c r="H71" s="2844"/>
      <c r="I71" s="2845"/>
      <c r="J71" s="2844"/>
      <c r="K71" s="2844"/>
      <c r="L71" s="2845"/>
      <c r="M71" s="2844"/>
      <c r="N71" s="2844"/>
      <c r="O71" s="2845"/>
      <c r="P71" s="2844"/>
      <c r="Q71" s="2844"/>
      <c r="R71" s="2846"/>
    </row>
    <row r="72" spans="2:18" s="2839" customFormat="1">
      <c r="B72" s="2844"/>
      <c r="C72" s="2844"/>
      <c r="D72" s="2844"/>
      <c r="E72" s="2844"/>
      <c r="F72" s="2844"/>
      <c r="G72" s="2845"/>
      <c r="H72" s="2844"/>
      <c r="I72" s="2845"/>
      <c r="J72" s="2844"/>
      <c r="K72" s="2844"/>
      <c r="L72" s="2845"/>
      <c r="M72" s="2844"/>
      <c r="N72" s="2844"/>
      <c r="O72" s="2845"/>
      <c r="P72" s="2844"/>
      <c r="Q72" s="2844"/>
      <c r="R72" s="2846"/>
    </row>
    <row r="73" spans="2:18" s="2839" customFormat="1">
      <c r="B73" s="2844"/>
      <c r="C73" s="2844"/>
      <c r="D73" s="2844"/>
      <c r="E73" s="2844"/>
      <c r="F73" s="2844"/>
      <c r="G73" s="2845"/>
      <c r="H73" s="2844"/>
      <c r="I73" s="2845"/>
      <c r="J73" s="2844"/>
      <c r="K73" s="2844"/>
      <c r="L73" s="2845"/>
      <c r="M73" s="2844"/>
      <c r="N73" s="2844"/>
      <c r="O73" s="2845"/>
      <c r="P73" s="2844"/>
      <c r="Q73" s="2844"/>
      <c r="R73" s="2846"/>
    </row>
    <row r="74" spans="2:18" s="2839" customFormat="1">
      <c r="B74" s="2844"/>
      <c r="C74" s="2844"/>
      <c r="D74" s="2844"/>
      <c r="E74" s="2844"/>
      <c r="F74" s="2844"/>
      <c r="G74" s="2845"/>
      <c r="H74" s="2844"/>
      <c r="I74" s="2845"/>
      <c r="J74" s="2844"/>
      <c r="K74" s="2844"/>
      <c r="L74" s="2845"/>
      <c r="M74" s="2844"/>
      <c r="N74" s="2844"/>
      <c r="O74" s="2845"/>
      <c r="P74" s="2844"/>
      <c r="Q74" s="2844"/>
      <c r="R74" s="2846"/>
    </row>
    <row r="75" spans="2:18" s="2839" customFormat="1">
      <c r="B75" s="2844"/>
      <c r="C75" s="2844"/>
      <c r="D75" s="2844"/>
      <c r="E75" s="2844"/>
      <c r="F75" s="2844"/>
      <c r="G75" s="2845"/>
      <c r="H75" s="2844"/>
      <c r="I75" s="2845"/>
      <c r="J75" s="2844"/>
      <c r="K75" s="2844"/>
      <c r="L75" s="2845"/>
      <c r="M75" s="2844"/>
      <c r="N75" s="2844"/>
      <c r="O75" s="2845"/>
      <c r="P75" s="2844"/>
      <c r="Q75" s="2844"/>
      <c r="R75" s="2846"/>
    </row>
    <row r="76" spans="2:18" s="2839" customFormat="1">
      <c r="B76" s="2844"/>
      <c r="C76" s="2844"/>
      <c r="D76" s="2844"/>
      <c r="E76" s="2844"/>
      <c r="F76" s="2844"/>
      <c r="G76" s="2845"/>
      <c r="H76" s="2844"/>
      <c r="I76" s="2845"/>
      <c r="J76" s="2844"/>
      <c r="K76" s="2844"/>
      <c r="L76" s="2845"/>
      <c r="M76" s="2844"/>
      <c r="N76" s="2844"/>
      <c r="O76" s="2845"/>
      <c r="P76" s="2844"/>
      <c r="Q76" s="2844"/>
      <c r="R76" s="2846"/>
    </row>
    <row r="77" spans="2:18" s="2839" customFormat="1">
      <c r="B77" s="2844"/>
      <c r="C77" s="2844"/>
      <c r="D77" s="2844"/>
      <c r="E77" s="2844"/>
      <c r="F77" s="2844"/>
      <c r="G77" s="2845"/>
      <c r="H77" s="2844"/>
      <c r="I77" s="2845"/>
      <c r="J77" s="2844"/>
      <c r="K77" s="2844"/>
      <c r="L77" s="2845"/>
      <c r="M77" s="2844"/>
      <c r="N77" s="2844"/>
      <c r="O77" s="2845"/>
      <c r="P77" s="2844"/>
      <c r="Q77" s="2844"/>
      <c r="R77" s="2846"/>
    </row>
    <row r="78" spans="2:18" s="2839" customFormat="1">
      <c r="B78" s="2844"/>
      <c r="C78" s="2844"/>
      <c r="D78" s="2844"/>
      <c r="E78" s="2844"/>
      <c r="F78" s="2844"/>
      <c r="G78" s="2845"/>
      <c r="H78" s="2844"/>
      <c r="I78" s="2845"/>
      <c r="J78" s="2844"/>
      <c r="K78" s="2844"/>
      <c r="L78" s="2845"/>
      <c r="M78" s="2844"/>
      <c r="N78" s="2844"/>
      <c r="O78" s="2845"/>
      <c r="P78" s="2844"/>
      <c r="Q78" s="2844"/>
      <c r="R78" s="2846"/>
    </row>
    <row r="79" spans="2:18" s="2839" customFormat="1">
      <c r="B79" s="2844"/>
      <c r="C79" s="2844"/>
      <c r="D79" s="2844"/>
      <c r="E79" s="2844"/>
      <c r="F79" s="2844"/>
      <c r="G79" s="2845"/>
      <c r="H79" s="2844"/>
      <c r="I79" s="2845"/>
      <c r="J79" s="2844"/>
      <c r="K79" s="2844"/>
      <c r="L79" s="2845"/>
      <c r="M79" s="2844"/>
      <c r="N79" s="2844"/>
      <c r="O79" s="2845"/>
      <c r="P79" s="2844"/>
      <c r="Q79" s="2844"/>
      <c r="R79" s="2846"/>
    </row>
    <row r="80" spans="2:18" s="2839" customFormat="1">
      <c r="B80" s="2844"/>
      <c r="C80" s="2844"/>
      <c r="D80" s="2844"/>
      <c r="E80" s="2844"/>
      <c r="F80" s="2844"/>
      <c r="G80" s="2845"/>
      <c r="H80" s="2844"/>
      <c r="I80" s="2845"/>
      <c r="J80" s="2844"/>
      <c r="K80" s="2844"/>
      <c r="L80" s="2845"/>
      <c r="M80" s="2844"/>
      <c r="N80" s="2844"/>
      <c r="O80" s="2845"/>
      <c r="P80" s="2844"/>
      <c r="Q80" s="2844"/>
      <c r="R80" s="2846"/>
    </row>
    <row r="81" spans="2:18" s="2839" customFormat="1">
      <c r="B81" s="2844"/>
      <c r="C81" s="2844"/>
      <c r="D81" s="2844"/>
      <c r="E81" s="2844"/>
      <c r="F81" s="2844"/>
      <c r="G81" s="2845"/>
      <c r="H81" s="2844"/>
      <c r="I81" s="2845"/>
      <c r="J81" s="2844"/>
      <c r="K81" s="2844"/>
      <c r="L81" s="2845"/>
      <c r="M81" s="2844"/>
      <c r="N81" s="2844"/>
      <c r="O81" s="2845"/>
      <c r="P81" s="2844"/>
      <c r="Q81" s="2844"/>
      <c r="R81" s="2846"/>
    </row>
    <row r="82" spans="2:18" s="2839" customFormat="1">
      <c r="B82" s="2844"/>
      <c r="C82" s="2844"/>
      <c r="D82" s="2844"/>
      <c r="E82" s="2844"/>
      <c r="F82" s="2844"/>
      <c r="G82" s="2845"/>
      <c r="H82" s="2844"/>
      <c r="I82" s="2845"/>
      <c r="J82" s="2844"/>
      <c r="K82" s="2844"/>
      <c r="L82" s="2845"/>
      <c r="M82" s="2844"/>
      <c r="N82" s="2844"/>
      <c r="O82" s="2845"/>
      <c r="P82" s="2844"/>
      <c r="Q82" s="2844"/>
      <c r="R82" s="2846"/>
    </row>
    <row r="83" spans="2:18" s="2839" customFormat="1">
      <c r="B83" s="2844"/>
      <c r="C83" s="2844"/>
      <c r="D83" s="2844"/>
      <c r="E83" s="2844"/>
      <c r="F83" s="2844"/>
      <c r="G83" s="2845"/>
      <c r="H83" s="2844"/>
      <c r="I83" s="2845"/>
      <c r="J83" s="2844"/>
      <c r="K83" s="2844"/>
      <c r="L83" s="2845"/>
      <c r="M83" s="2844"/>
      <c r="N83" s="2844"/>
      <c r="O83" s="2845"/>
      <c r="P83" s="2844"/>
      <c r="Q83" s="2844"/>
      <c r="R83" s="2846"/>
    </row>
    <row r="84" spans="2:18" s="2839" customFormat="1">
      <c r="B84" s="2844"/>
      <c r="C84" s="2844"/>
      <c r="D84" s="2844"/>
      <c r="E84" s="2844"/>
      <c r="F84" s="2844"/>
      <c r="G84" s="2845"/>
      <c r="H84" s="2844"/>
      <c r="I84" s="2845"/>
      <c r="J84" s="2844"/>
      <c r="K84" s="2844"/>
      <c r="L84" s="2845"/>
      <c r="M84" s="2844"/>
      <c r="N84" s="2844"/>
      <c r="O84" s="2845"/>
      <c r="P84" s="2844"/>
      <c r="Q84" s="2844"/>
      <c r="R84" s="2846"/>
    </row>
    <row r="85" spans="2:18" s="2839" customFormat="1">
      <c r="B85" s="2844"/>
      <c r="C85" s="2844"/>
      <c r="D85" s="2844"/>
      <c r="E85" s="2844"/>
      <c r="F85" s="2844"/>
      <c r="G85" s="2845"/>
      <c r="H85" s="2844"/>
      <c r="I85" s="2845"/>
      <c r="J85" s="2844"/>
      <c r="K85" s="2844"/>
      <c r="L85" s="2845"/>
      <c r="M85" s="2844"/>
      <c r="N85" s="2844"/>
      <c r="O85" s="2845"/>
      <c r="P85" s="2844"/>
      <c r="Q85" s="2844"/>
      <c r="R85" s="2846"/>
    </row>
    <row r="86" spans="2:18" s="2839" customFormat="1">
      <c r="B86" s="2844"/>
      <c r="C86" s="2844"/>
      <c r="D86" s="2844"/>
      <c r="E86" s="2844"/>
      <c r="F86" s="2844"/>
      <c r="G86" s="2845"/>
      <c r="H86" s="2844"/>
      <c r="I86" s="2845"/>
      <c r="J86" s="2844"/>
      <c r="K86" s="2844"/>
      <c r="L86" s="2845"/>
      <c r="M86" s="2844"/>
      <c r="N86" s="2844"/>
      <c r="O86" s="2845"/>
      <c r="P86" s="2844"/>
      <c r="Q86" s="2844"/>
      <c r="R86" s="2846"/>
    </row>
    <row r="87" spans="2:18" s="2839" customFormat="1">
      <c r="B87" s="2844"/>
      <c r="C87" s="2844"/>
      <c r="D87" s="2844"/>
      <c r="E87" s="2844"/>
      <c r="F87" s="2844"/>
      <c r="G87" s="2845"/>
      <c r="H87" s="2844"/>
      <c r="I87" s="2845"/>
      <c r="J87" s="2844"/>
      <c r="K87" s="2844"/>
      <c r="L87" s="2845"/>
      <c r="M87" s="2844"/>
      <c r="N87" s="2844"/>
      <c r="O87" s="2845"/>
      <c r="P87" s="2844"/>
      <c r="Q87" s="2844"/>
      <c r="R87" s="2846"/>
    </row>
    <row r="88" spans="2:18" s="2839" customFormat="1">
      <c r="B88" s="2844"/>
      <c r="C88" s="2844"/>
      <c r="D88" s="2844"/>
      <c r="E88" s="2844"/>
      <c r="F88" s="2844"/>
      <c r="G88" s="2845"/>
      <c r="H88" s="2844"/>
      <c r="I88" s="2845"/>
      <c r="J88" s="2844"/>
      <c r="K88" s="2844"/>
      <c r="L88" s="2845"/>
      <c r="M88" s="2844"/>
      <c r="N88" s="2844"/>
      <c r="O88" s="2845"/>
      <c r="P88" s="2844"/>
      <c r="Q88" s="2844"/>
      <c r="R88" s="2846"/>
    </row>
    <row r="89" spans="2:18" s="2839" customFormat="1">
      <c r="B89" s="2844"/>
      <c r="C89" s="2844"/>
      <c r="D89" s="2844"/>
      <c r="E89" s="2844"/>
      <c r="F89" s="2844"/>
      <c r="G89" s="2845"/>
      <c r="H89" s="2844"/>
      <c r="I89" s="2845"/>
      <c r="J89" s="2844"/>
      <c r="K89" s="2844"/>
      <c r="L89" s="2845"/>
      <c r="M89" s="2844"/>
      <c r="N89" s="2844"/>
      <c r="O89" s="2845"/>
      <c r="P89" s="2844"/>
      <c r="Q89" s="2844"/>
      <c r="R89" s="2846"/>
    </row>
    <row r="90" spans="2:18" s="2839" customFormat="1">
      <c r="B90" s="2844"/>
      <c r="C90" s="2844"/>
      <c r="D90" s="2844"/>
      <c r="E90" s="2844"/>
      <c r="F90" s="2844"/>
      <c r="G90" s="2845"/>
      <c r="H90" s="2844"/>
      <c r="I90" s="2845"/>
      <c r="J90" s="2844"/>
      <c r="K90" s="2844"/>
      <c r="L90" s="2845"/>
      <c r="M90" s="2844"/>
      <c r="N90" s="2844"/>
      <c r="O90" s="2845"/>
      <c r="P90" s="2844"/>
      <c r="Q90" s="2844"/>
      <c r="R90" s="2846"/>
    </row>
    <row r="91" spans="2:18" s="2839" customFormat="1">
      <c r="B91" s="2844"/>
      <c r="C91" s="2844"/>
      <c r="D91" s="2844"/>
      <c r="E91" s="2844"/>
      <c r="F91" s="2844"/>
      <c r="G91" s="2845"/>
      <c r="H91" s="2844"/>
      <c r="I91" s="2845"/>
      <c r="J91" s="2844"/>
      <c r="K91" s="2844"/>
      <c r="L91" s="2845"/>
      <c r="M91" s="2844"/>
      <c r="N91" s="2844"/>
      <c r="O91" s="2845"/>
      <c r="P91" s="2844"/>
      <c r="Q91" s="2844"/>
      <c r="R91" s="2846"/>
    </row>
    <row r="92" spans="2:18" s="2839" customFormat="1">
      <c r="B92" s="2844"/>
      <c r="C92" s="2844"/>
      <c r="D92" s="2844"/>
      <c r="E92" s="2844"/>
      <c r="F92" s="2844"/>
      <c r="G92" s="2845"/>
      <c r="H92" s="2844"/>
      <c r="I92" s="2845"/>
      <c r="J92" s="2844"/>
      <c r="K92" s="2844"/>
      <c r="L92" s="2845"/>
      <c r="M92" s="2844"/>
      <c r="N92" s="2844"/>
      <c r="O92" s="2845"/>
      <c r="P92" s="2844"/>
      <c r="Q92" s="2844"/>
      <c r="R92" s="2846"/>
    </row>
    <row r="93" spans="2:18" s="2839" customFormat="1">
      <c r="B93" s="2844"/>
      <c r="C93" s="2844"/>
      <c r="D93" s="2844"/>
      <c r="E93" s="2844"/>
      <c r="F93" s="2844"/>
      <c r="G93" s="2845"/>
      <c r="H93" s="2844"/>
      <c r="I93" s="2845"/>
      <c r="J93" s="2844"/>
      <c r="K93" s="2844"/>
      <c r="L93" s="2845"/>
      <c r="M93" s="2844"/>
      <c r="N93" s="2844"/>
      <c r="O93" s="2845"/>
      <c r="P93" s="2844"/>
      <c r="Q93" s="2844"/>
      <c r="R93" s="2846"/>
    </row>
    <row r="94" spans="2:18" s="2839" customFormat="1">
      <c r="B94" s="2844"/>
      <c r="C94" s="2844"/>
      <c r="D94" s="2844"/>
      <c r="E94" s="2844"/>
      <c r="F94" s="2844"/>
      <c r="G94" s="2845"/>
      <c r="H94" s="2844"/>
      <c r="I94" s="2845"/>
      <c r="J94" s="2844"/>
      <c r="K94" s="2844"/>
      <c r="L94" s="2845"/>
      <c r="M94" s="2844"/>
      <c r="N94" s="2844"/>
      <c r="O94" s="2845"/>
      <c r="P94" s="2844"/>
      <c r="Q94" s="2844"/>
      <c r="R94" s="2846"/>
    </row>
    <row r="95" spans="2:18" s="2839" customFormat="1">
      <c r="B95" s="2844"/>
      <c r="C95" s="2844"/>
      <c r="D95" s="2844"/>
      <c r="E95" s="2844"/>
      <c r="F95" s="2844"/>
      <c r="G95" s="2845"/>
      <c r="H95" s="2844"/>
      <c r="I95" s="2845"/>
      <c r="J95" s="2844"/>
      <c r="K95" s="2844"/>
      <c r="L95" s="2845"/>
      <c r="M95" s="2844"/>
      <c r="N95" s="2844"/>
      <c r="O95" s="2845"/>
      <c r="P95" s="2844"/>
      <c r="Q95" s="2844"/>
      <c r="R95" s="2846"/>
    </row>
    <row r="96" spans="2:18" s="2839" customFormat="1">
      <c r="B96" s="2844"/>
      <c r="C96" s="2844"/>
      <c r="D96" s="2844"/>
      <c r="E96" s="2844"/>
      <c r="F96" s="2844"/>
      <c r="G96" s="2845"/>
      <c r="H96" s="2844"/>
      <c r="I96" s="2845"/>
      <c r="J96" s="2844"/>
      <c r="K96" s="2844"/>
      <c r="L96" s="2845"/>
      <c r="M96" s="2844"/>
      <c r="N96" s="2844"/>
      <c r="O96" s="2845"/>
      <c r="P96" s="2844"/>
      <c r="Q96" s="2844"/>
      <c r="R96" s="2846"/>
    </row>
    <row r="97" spans="2:18" s="2839" customFormat="1">
      <c r="B97" s="2844"/>
      <c r="C97" s="2844"/>
      <c r="D97" s="2844"/>
      <c r="E97" s="2844"/>
      <c r="F97" s="2844"/>
      <c r="G97" s="2845"/>
      <c r="H97" s="2844"/>
      <c r="I97" s="2845"/>
      <c r="J97" s="2844"/>
      <c r="K97" s="2844"/>
      <c r="L97" s="2845"/>
      <c r="M97" s="2844"/>
      <c r="N97" s="2844"/>
      <c r="O97" s="2845"/>
      <c r="P97" s="2844"/>
      <c r="Q97" s="2844"/>
      <c r="R97" s="2846"/>
    </row>
    <row r="98" spans="2:18" s="2839" customFormat="1">
      <c r="B98" s="2844"/>
      <c r="C98" s="2844"/>
      <c r="D98" s="2844"/>
      <c r="E98" s="2844"/>
      <c r="F98" s="2844"/>
      <c r="G98" s="2845"/>
      <c r="H98" s="2844"/>
      <c r="I98" s="2845"/>
      <c r="J98" s="2844"/>
      <c r="K98" s="2844"/>
      <c r="L98" s="2845"/>
      <c r="M98" s="2844"/>
      <c r="N98" s="2844"/>
      <c r="O98" s="2845"/>
      <c r="P98" s="2844"/>
      <c r="Q98" s="2844"/>
      <c r="R98" s="2846"/>
    </row>
    <row r="99" spans="2:18" s="2839" customFormat="1">
      <c r="B99" s="2844"/>
      <c r="C99" s="2844"/>
      <c r="D99" s="2844"/>
      <c r="E99" s="2844"/>
      <c r="F99" s="2844"/>
      <c r="G99" s="2845"/>
      <c r="H99" s="2844"/>
      <c r="I99" s="2845"/>
      <c r="J99" s="2844"/>
      <c r="K99" s="2844"/>
      <c r="L99" s="2845"/>
      <c r="M99" s="2844"/>
      <c r="N99" s="2844"/>
      <c r="O99" s="2845"/>
      <c r="P99" s="2844"/>
      <c r="Q99" s="2844"/>
      <c r="R99" s="2846"/>
    </row>
    <row r="100" spans="2:18" s="2839" customFormat="1">
      <c r="B100" s="2844"/>
      <c r="C100" s="2844"/>
      <c r="D100" s="2844"/>
      <c r="E100" s="2844"/>
      <c r="F100" s="2844"/>
      <c r="G100" s="2845"/>
      <c r="H100" s="2844"/>
      <c r="I100" s="2845"/>
      <c r="J100" s="2844"/>
      <c r="K100" s="2844"/>
      <c r="L100" s="2845"/>
      <c r="M100" s="2844"/>
      <c r="N100" s="2844"/>
      <c r="O100" s="2845"/>
      <c r="P100" s="2844"/>
      <c r="Q100" s="2844"/>
      <c r="R100" s="2846"/>
    </row>
    <row r="101" spans="2:18" s="2839" customFormat="1">
      <c r="B101" s="2844"/>
      <c r="C101" s="2844"/>
      <c r="D101" s="2844"/>
      <c r="E101" s="2844"/>
      <c r="F101" s="2844"/>
      <c r="G101" s="2845"/>
      <c r="H101" s="2844"/>
      <c r="I101" s="2845"/>
      <c r="J101" s="2844"/>
      <c r="K101" s="2844"/>
      <c r="L101" s="2845"/>
      <c r="M101" s="2844"/>
      <c r="N101" s="2844"/>
      <c r="O101" s="2845"/>
      <c r="P101" s="2844"/>
      <c r="Q101" s="2844"/>
      <c r="R101" s="2846"/>
    </row>
    <row r="102" spans="2:18" s="2839" customFormat="1">
      <c r="B102" s="2844"/>
      <c r="C102" s="2844"/>
      <c r="D102" s="2844"/>
      <c r="E102" s="2844"/>
      <c r="F102" s="2844"/>
      <c r="G102" s="2845"/>
      <c r="H102" s="2844"/>
      <c r="I102" s="2845"/>
      <c r="J102" s="2844"/>
      <c r="K102" s="2844"/>
      <c r="L102" s="2845"/>
      <c r="M102" s="2844"/>
      <c r="N102" s="2844"/>
      <c r="O102" s="2845"/>
      <c r="P102" s="2844"/>
      <c r="Q102" s="2844"/>
      <c r="R102" s="2846"/>
    </row>
    <row r="103" spans="2:18" s="2839" customFormat="1">
      <c r="B103" s="2844"/>
      <c r="C103" s="2844"/>
      <c r="D103" s="2844"/>
      <c r="E103" s="2844"/>
      <c r="F103" s="2844"/>
      <c r="G103" s="2845"/>
      <c r="H103" s="2844"/>
      <c r="I103" s="2845"/>
      <c r="J103" s="2844"/>
      <c r="K103" s="2844"/>
      <c r="L103" s="2845"/>
      <c r="M103" s="2844"/>
      <c r="N103" s="2844"/>
      <c r="O103" s="2845"/>
      <c r="P103" s="2844"/>
      <c r="Q103" s="2844"/>
      <c r="R103" s="2846"/>
    </row>
    <row r="104" spans="2:18" s="2839" customFormat="1">
      <c r="B104" s="2844"/>
      <c r="C104" s="2844"/>
      <c r="D104" s="2844"/>
      <c r="E104" s="2844"/>
      <c r="F104" s="2844"/>
      <c r="G104" s="2845"/>
      <c r="H104" s="2844"/>
      <c r="I104" s="2845"/>
      <c r="J104" s="2844"/>
      <c r="K104" s="2844"/>
      <c r="L104" s="2845"/>
      <c r="M104" s="2844"/>
      <c r="N104" s="2844"/>
      <c r="O104" s="2845"/>
      <c r="P104" s="2844"/>
      <c r="Q104" s="2844"/>
      <c r="R104" s="2846"/>
    </row>
    <row r="105" spans="2:18" s="2839" customFormat="1">
      <c r="B105" s="2844"/>
      <c r="C105" s="2844"/>
      <c r="D105" s="2844"/>
      <c r="E105" s="2844"/>
      <c r="F105" s="2844"/>
      <c r="G105" s="2845"/>
      <c r="H105" s="2844"/>
      <c r="I105" s="2845"/>
      <c r="J105" s="2844"/>
      <c r="K105" s="2844"/>
      <c r="L105" s="2845"/>
      <c r="M105" s="2844"/>
      <c r="N105" s="2844"/>
      <c r="O105" s="2845"/>
      <c r="P105" s="2844"/>
      <c r="Q105" s="2844"/>
      <c r="R105" s="2846"/>
    </row>
    <row r="106" spans="2:18" s="2839" customFormat="1">
      <c r="B106" s="2844"/>
      <c r="C106" s="2844"/>
      <c r="D106" s="2844"/>
      <c r="E106" s="2844"/>
      <c r="F106" s="2844"/>
      <c r="G106" s="2845"/>
      <c r="H106" s="2844"/>
      <c r="I106" s="2845"/>
      <c r="J106" s="2844"/>
      <c r="K106" s="2844"/>
      <c r="L106" s="2845"/>
      <c r="M106" s="2844"/>
      <c r="N106" s="2844"/>
      <c r="O106" s="2845"/>
      <c r="P106" s="2844"/>
      <c r="Q106" s="2844"/>
      <c r="R106" s="2846"/>
    </row>
    <row r="107" spans="2:18" s="2839" customFormat="1">
      <c r="B107" s="2844"/>
      <c r="C107" s="2844"/>
      <c r="D107" s="2844"/>
      <c r="E107" s="2844"/>
      <c r="F107" s="2844"/>
      <c r="G107" s="2845"/>
      <c r="H107" s="2844"/>
      <c r="I107" s="2845"/>
      <c r="J107" s="2844"/>
      <c r="K107" s="2844"/>
      <c r="L107" s="2845"/>
      <c r="M107" s="2844"/>
      <c r="N107" s="2844"/>
      <c r="O107" s="2845"/>
      <c r="P107" s="2844"/>
      <c r="Q107" s="2844"/>
      <c r="R107" s="2846"/>
    </row>
    <row r="108" spans="2:18" s="2839" customFormat="1">
      <c r="B108" s="2844"/>
      <c r="C108" s="2844"/>
      <c r="D108" s="2844"/>
      <c r="E108" s="2844"/>
      <c r="F108" s="2844"/>
      <c r="G108" s="2845"/>
      <c r="H108" s="2844"/>
      <c r="I108" s="2845"/>
      <c r="J108" s="2844"/>
      <c r="K108" s="2844"/>
      <c r="L108" s="2845"/>
      <c r="M108" s="2844"/>
      <c r="N108" s="2844"/>
      <c r="O108" s="2845"/>
      <c r="P108" s="2844"/>
      <c r="Q108" s="2844"/>
      <c r="R108" s="2846"/>
    </row>
    <row r="109" spans="2:18" s="2839" customFormat="1">
      <c r="B109" s="2844"/>
      <c r="C109" s="2844"/>
      <c r="D109" s="2844"/>
      <c r="E109" s="2844"/>
      <c r="F109" s="2844"/>
      <c r="G109" s="2845"/>
      <c r="H109" s="2844"/>
      <c r="I109" s="2845"/>
      <c r="J109" s="2844"/>
      <c r="K109" s="2844"/>
      <c r="L109" s="2845"/>
      <c r="M109" s="2844"/>
      <c r="N109" s="2844"/>
      <c r="O109" s="2845"/>
      <c r="P109" s="2844"/>
      <c r="Q109" s="2844"/>
      <c r="R109" s="2846"/>
    </row>
    <row r="110" spans="2:18" s="2839" customFormat="1">
      <c r="B110" s="2844"/>
      <c r="C110" s="2844"/>
      <c r="D110" s="2844"/>
      <c r="E110" s="2844"/>
      <c r="F110" s="2844"/>
      <c r="G110" s="2845"/>
      <c r="H110" s="2844"/>
      <c r="I110" s="2845"/>
      <c r="J110" s="2844"/>
      <c r="K110" s="2844"/>
      <c r="L110" s="2845"/>
      <c r="M110" s="2844"/>
      <c r="N110" s="2844"/>
      <c r="O110" s="2845"/>
      <c r="P110" s="2844"/>
      <c r="Q110" s="2844"/>
      <c r="R110" s="2846"/>
    </row>
    <row r="111" spans="2:18" s="2839" customFormat="1">
      <c r="B111" s="2844"/>
      <c r="C111" s="2844"/>
      <c r="D111" s="2844"/>
      <c r="E111" s="2844"/>
      <c r="F111" s="2844"/>
      <c r="G111" s="2845"/>
      <c r="H111" s="2844"/>
      <c r="I111" s="2845"/>
      <c r="J111" s="2844"/>
      <c r="K111" s="2844"/>
      <c r="L111" s="2845"/>
      <c r="M111" s="2844"/>
      <c r="N111" s="2844"/>
      <c r="O111" s="2845"/>
      <c r="P111" s="2844"/>
      <c r="Q111" s="2844"/>
      <c r="R111" s="2846"/>
    </row>
    <row r="112" spans="2:18" s="2839" customFormat="1">
      <c r="B112" s="2844"/>
      <c r="C112" s="2844"/>
      <c r="D112" s="2844"/>
      <c r="E112" s="2844"/>
      <c r="F112" s="2844"/>
      <c r="G112" s="2845"/>
      <c r="H112" s="2844"/>
      <c r="I112" s="2845"/>
      <c r="J112" s="2844"/>
      <c r="K112" s="2844"/>
      <c r="L112" s="2845"/>
      <c r="M112" s="2844"/>
      <c r="N112" s="2844"/>
      <c r="O112" s="2845"/>
      <c r="P112" s="2844"/>
      <c r="Q112" s="2844"/>
      <c r="R112" s="2846"/>
    </row>
    <row r="113" spans="2:18" s="2839" customFormat="1">
      <c r="B113" s="2844"/>
      <c r="C113" s="2844"/>
      <c r="D113" s="2844"/>
      <c r="E113" s="2844"/>
      <c r="F113" s="2844"/>
      <c r="G113" s="2845"/>
      <c r="H113" s="2844"/>
      <c r="I113" s="2845"/>
      <c r="J113" s="2844"/>
      <c r="K113" s="2844"/>
      <c r="L113" s="2845"/>
      <c r="M113" s="2844"/>
      <c r="N113" s="2844"/>
      <c r="O113" s="2845"/>
      <c r="P113" s="2844"/>
      <c r="Q113" s="2844"/>
      <c r="R113" s="2846"/>
    </row>
    <row r="114" spans="2:18" s="2839" customFormat="1">
      <c r="B114" s="2844"/>
      <c r="C114" s="2844"/>
      <c r="D114" s="2844"/>
      <c r="E114" s="2844"/>
      <c r="F114" s="2844"/>
      <c r="G114" s="2845"/>
      <c r="H114" s="2844"/>
      <c r="I114" s="2845"/>
      <c r="J114" s="2844"/>
      <c r="K114" s="2844"/>
      <c r="L114" s="2845"/>
      <c r="M114" s="2844"/>
      <c r="N114" s="2844"/>
      <c r="O114" s="2845"/>
      <c r="P114" s="2844"/>
      <c r="Q114" s="2844"/>
      <c r="R114" s="2846"/>
    </row>
    <row r="115" spans="2:18" s="2839" customFormat="1">
      <c r="B115" s="2844"/>
      <c r="C115" s="2844"/>
      <c r="D115" s="2844"/>
      <c r="E115" s="2844"/>
      <c r="F115" s="2844"/>
      <c r="G115" s="2845"/>
      <c r="H115" s="2844"/>
      <c r="I115" s="2845"/>
      <c r="J115" s="2844"/>
      <c r="K115" s="2844"/>
      <c r="L115" s="2845"/>
      <c r="M115" s="2844"/>
      <c r="N115" s="2844"/>
      <c r="O115" s="2845"/>
      <c r="P115" s="2844"/>
      <c r="Q115" s="2844"/>
      <c r="R115" s="2846"/>
    </row>
    <row r="116" spans="2:18" s="2839" customFormat="1">
      <c r="B116" s="2844"/>
      <c r="C116" s="2844"/>
      <c r="D116" s="2844"/>
      <c r="E116" s="2844"/>
      <c r="F116" s="2844"/>
      <c r="G116" s="2845"/>
      <c r="H116" s="2844"/>
      <c r="I116" s="2845"/>
      <c r="J116" s="2844"/>
      <c r="K116" s="2844"/>
      <c r="L116" s="2845"/>
      <c r="M116" s="2844"/>
      <c r="N116" s="2844"/>
      <c r="O116" s="2845"/>
      <c r="P116" s="2844"/>
      <c r="Q116" s="2844"/>
      <c r="R116" s="2846"/>
    </row>
    <row r="117" spans="2:18" s="2839" customFormat="1">
      <c r="B117" s="2844"/>
      <c r="C117" s="2844"/>
      <c r="D117" s="2844"/>
      <c r="E117" s="2844"/>
      <c r="F117" s="2844"/>
      <c r="G117" s="2845"/>
      <c r="H117" s="2844"/>
      <c r="I117" s="2845"/>
      <c r="J117" s="2844"/>
      <c r="K117" s="2844"/>
      <c r="L117" s="2845"/>
      <c r="M117" s="2844"/>
      <c r="N117" s="2844"/>
      <c r="O117" s="2845"/>
      <c r="P117" s="2844"/>
      <c r="Q117" s="2844"/>
      <c r="R117" s="2846"/>
    </row>
    <row r="118" spans="2:18" s="2839" customFormat="1">
      <c r="B118" s="2844"/>
      <c r="C118" s="2844"/>
      <c r="D118" s="2844"/>
      <c r="E118" s="2844"/>
      <c r="F118" s="2844"/>
      <c r="G118" s="2845"/>
      <c r="H118" s="2844"/>
      <c r="I118" s="2845"/>
      <c r="J118" s="2844"/>
      <c r="K118" s="2844"/>
      <c r="L118" s="2845"/>
      <c r="M118" s="2844"/>
      <c r="N118" s="2844"/>
      <c r="O118" s="2845"/>
      <c r="P118" s="2844"/>
      <c r="Q118" s="2844"/>
      <c r="R118" s="2846"/>
    </row>
    <row r="119" spans="2:18" s="2839" customFormat="1">
      <c r="B119" s="2844"/>
      <c r="C119" s="2844"/>
      <c r="D119" s="2844"/>
      <c r="E119" s="2844"/>
      <c r="F119" s="2844"/>
      <c r="G119" s="2845"/>
      <c r="H119" s="2844"/>
      <c r="I119" s="2845"/>
      <c r="J119" s="2844"/>
      <c r="K119" s="2844"/>
      <c r="L119" s="2845"/>
      <c r="M119" s="2844"/>
      <c r="N119" s="2844"/>
      <c r="O119" s="2845"/>
      <c r="P119" s="2844"/>
      <c r="Q119" s="2844"/>
      <c r="R119" s="2846"/>
    </row>
    <row r="120" spans="2:18" s="2839" customFormat="1">
      <c r="B120" s="2844"/>
      <c r="C120" s="2844"/>
      <c r="D120" s="2844"/>
      <c r="E120" s="2844"/>
      <c r="F120" s="2844"/>
      <c r="G120" s="2845"/>
      <c r="H120" s="2844"/>
      <c r="I120" s="2845"/>
      <c r="J120" s="2844"/>
      <c r="K120" s="2844"/>
      <c r="L120" s="2845"/>
      <c r="M120" s="2844"/>
      <c r="N120" s="2844"/>
      <c r="O120" s="2845"/>
      <c r="P120" s="2844"/>
      <c r="Q120" s="2844"/>
      <c r="R120" s="2846"/>
    </row>
    <row r="121" spans="2:18" s="2839" customFormat="1">
      <c r="B121" s="2844"/>
      <c r="C121" s="2844"/>
      <c r="D121" s="2844"/>
      <c r="E121" s="2844"/>
      <c r="F121" s="2844"/>
      <c r="G121" s="2845"/>
      <c r="H121" s="2844"/>
      <c r="I121" s="2845"/>
      <c r="J121" s="2844"/>
      <c r="K121" s="2844"/>
      <c r="L121" s="2845"/>
      <c r="M121" s="2844"/>
      <c r="N121" s="2844"/>
      <c r="O121" s="2845"/>
      <c r="P121" s="2844"/>
      <c r="Q121" s="2844"/>
      <c r="R121" s="2846"/>
    </row>
    <row r="122" spans="2:18" s="2839" customFormat="1">
      <c r="B122" s="2844"/>
      <c r="C122" s="2844"/>
      <c r="D122" s="2844"/>
      <c r="E122" s="2844"/>
      <c r="F122" s="2844"/>
      <c r="G122" s="2845"/>
      <c r="H122" s="2844"/>
      <c r="I122" s="2845"/>
      <c r="J122" s="2844"/>
      <c r="K122" s="2844"/>
      <c r="L122" s="2845"/>
      <c r="M122" s="2844"/>
      <c r="N122" s="2844"/>
      <c r="O122" s="2845"/>
      <c r="P122" s="2844"/>
      <c r="Q122" s="2844"/>
      <c r="R122" s="2846"/>
    </row>
    <row r="123" spans="2:18" s="2839" customFormat="1">
      <c r="B123" s="2844"/>
      <c r="C123" s="2844"/>
      <c r="D123" s="2844"/>
      <c r="E123" s="2844"/>
      <c r="F123" s="2844"/>
      <c r="G123" s="2845"/>
      <c r="H123" s="2844"/>
      <c r="I123" s="2845"/>
      <c r="J123" s="2844"/>
      <c r="K123" s="2844"/>
      <c r="L123" s="2845"/>
      <c r="M123" s="2844"/>
      <c r="N123" s="2844"/>
      <c r="O123" s="2845"/>
      <c r="P123" s="2844"/>
      <c r="Q123" s="2844"/>
      <c r="R123" s="2846"/>
    </row>
    <row r="124" spans="2:18" s="2839" customFormat="1">
      <c r="B124" s="2844"/>
      <c r="C124" s="2844"/>
      <c r="D124" s="2844"/>
      <c r="E124" s="2844"/>
      <c r="F124" s="2844"/>
      <c r="G124" s="2845"/>
      <c r="H124" s="2844"/>
      <c r="I124" s="2845"/>
      <c r="J124" s="2844"/>
      <c r="K124" s="2844"/>
      <c r="L124" s="2845"/>
      <c r="M124" s="2844"/>
      <c r="N124" s="2844"/>
      <c r="O124" s="2845"/>
      <c r="P124" s="2844"/>
      <c r="Q124" s="2844"/>
      <c r="R124" s="2846"/>
    </row>
    <row r="125" spans="2:18" s="2839" customFormat="1">
      <c r="B125" s="2844"/>
      <c r="C125" s="2844"/>
      <c r="D125" s="2844"/>
      <c r="E125" s="2844"/>
      <c r="F125" s="2844"/>
      <c r="G125" s="2845"/>
      <c r="H125" s="2844"/>
      <c r="I125" s="2845"/>
      <c r="J125" s="2844"/>
      <c r="K125" s="2844"/>
      <c r="L125" s="2845"/>
      <c r="M125" s="2844"/>
      <c r="N125" s="2844"/>
      <c r="O125" s="2845"/>
      <c r="P125" s="2844"/>
      <c r="Q125" s="2844"/>
      <c r="R125" s="2846"/>
    </row>
    <row r="126" spans="2:18" s="2839" customFormat="1">
      <c r="B126" s="2844"/>
      <c r="C126" s="2844"/>
      <c r="D126" s="2844"/>
      <c r="E126" s="2844"/>
      <c r="F126" s="2844"/>
      <c r="G126" s="2845"/>
      <c r="H126" s="2844"/>
      <c r="I126" s="2845"/>
      <c r="J126" s="2844"/>
      <c r="K126" s="2844"/>
      <c r="L126" s="2845"/>
      <c r="M126" s="2844"/>
      <c r="N126" s="2844"/>
      <c r="O126" s="2845"/>
      <c r="P126" s="2844"/>
      <c r="Q126" s="2844"/>
      <c r="R126" s="2846"/>
    </row>
    <row r="127" spans="2:18" s="2839" customFormat="1">
      <c r="B127" s="2844"/>
      <c r="C127" s="2844"/>
      <c r="D127" s="2844"/>
      <c r="E127" s="2844"/>
      <c r="F127" s="2844"/>
      <c r="G127" s="2845"/>
      <c r="H127" s="2844"/>
      <c r="I127" s="2845"/>
      <c r="J127" s="2844"/>
      <c r="K127" s="2844"/>
      <c r="L127" s="2845"/>
      <c r="M127" s="2844"/>
      <c r="N127" s="2844"/>
      <c r="O127" s="2845"/>
      <c r="P127" s="2844"/>
      <c r="Q127" s="2844"/>
      <c r="R127" s="2846"/>
    </row>
    <row r="128" spans="2:18" s="2839" customFormat="1">
      <c r="B128" s="2844"/>
      <c r="C128" s="2844"/>
      <c r="D128" s="2844"/>
      <c r="E128" s="2844"/>
      <c r="F128" s="2844"/>
      <c r="G128" s="2845"/>
      <c r="H128" s="2844"/>
      <c r="I128" s="2845"/>
      <c r="J128" s="2844"/>
      <c r="K128" s="2844"/>
      <c r="L128" s="2845"/>
      <c r="M128" s="2844"/>
      <c r="N128" s="2844"/>
      <c r="O128" s="2845"/>
      <c r="P128" s="2844"/>
      <c r="Q128" s="2844"/>
      <c r="R128" s="2846"/>
    </row>
    <row r="129" spans="2:18" s="2839" customFormat="1">
      <c r="B129" s="2844"/>
      <c r="C129" s="2844"/>
      <c r="D129" s="2844"/>
      <c r="E129" s="2844"/>
      <c r="F129" s="2844"/>
      <c r="G129" s="2845"/>
      <c r="H129" s="2844"/>
      <c r="I129" s="2845"/>
      <c r="J129" s="2844"/>
      <c r="K129" s="2844"/>
      <c r="L129" s="2845"/>
      <c r="M129" s="2844"/>
      <c r="N129" s="2844"/>
      <c r="O129" s="2845"/>
      <c r="P129" s="2844"/>
      <c r="Q129" s="2844"/>
      <c r="R129" s="2846"/>
    </row>
    <row r="130" spans="2:18" s="2839" customFormat="1">
      <c r="B130" s="2844"/>
      <c r="C130" s="2844"/>
      <c r="D130" s="2844"/>
      <c r="E130" s="2844"/>
      <c r="F130" s="2844"/>
      <c r="G130" s="2845"/>
      <c r="H130" s="2844"/>
      <c r="I130" s="2845"/>
      <c r="J130" s="2844"/>
      <c r="K130" s="2844"/>
      <c r="L130" s="2845"/>
      <c r="M130" s="2844"/>
      <c r="N130" s="2844"/>
      <c r="O130" s="2845"/>
      <c r="P130" s="2844"/>
      <c r="Q130" s="2844"/>
      <c r="R130" s="2846"/>
    </row>
    <row r="131" spans="2:18" s="2839" customFormat="1">
      <c r="B131" s="2844"/>
      <c r="C131" s="2844"/>
      <c r="D131" s="2844"/>
      <c r="E131" s="2844"/>
      <c r="F131" s="2844"/>
      <c r="G131" s="2845"/>
      <c r="H131" s="2844"/>
      <c r="I131" s="2845"/>
      <c r="J131" s="2844"/>
      <c r="K131" s="2844"/>
      <c r="L131" s="2845"/>
      <c r="M131" s="2844"/>
      <c r="N131" s="2844"/>
      <c r="O131" s="2845"/>
      <c r="P131" s="2844"/>
      <c r="Q131" s="2844"/>
      <c r="R131" s="2846"/>
    </row>
    <row r="132" spans="2:18" s="2839" customFormat="1">
      <c r="B132" s="2844"/>
      <c r="C132" s="2844"/>
      <c r="D132" s="2844"/>
      <c r="E132" s="2844"/>
      <c r="F132" s="2844"/>
      <c r="G132" s="2845"/>
      <c r="H132" s="2844"/>
      <c r="I132" s="2845"/>
      <c r="J132" s="2844"/>
      <c r="K132" s="2844"/>
      <c r="L132" s="2845"/>
      <c r="M132" s="2844"/>
      <c r="N132" s="2844"/>
      <c r="O132" s="2845"/>
      <c r="P132" s="2844"/>
      <c r="Q132" s="2844"/>
      <c r="R132" s="2846"/>
    </row>
    <row r="133" spans="2:18" s="2839" customFormat="1">
      <c r="B133" s="2844"/>
      <c r="C133" s="2844"/>
      <c r="D133" s="2844"/>
      <c r="E133" s="2844"/>
      <c r="F133" s="2844"/>
      <c r="G133" s="2845"/>
      <c r="H133" s="2844"/>
      <c r="I133" s="2845"/>
      <c r="J133" s="2844"/>
      <c r="K133" s="2844"/>
      <c r="L133" s="2845"/>
      <c r="M133" s="2844"/>
      <c r="N133" s="2844"/>
      <c r="O133" s="2845"/>
      <c r="P133" s="2844"/>
      <c r="Q133" s="2844"/>
      <c r="R133" s="2846"/>
    </row>
    <row r="134" spans="2:18" s="2839" customFormat="1">
      <c r="B134" s="2844"/>
      <c r="C134" s="2844"/>
      <c r="D134" s="2844"/>
      <c r="E134" s="2844"/>
      <c r="F134" s="2844"/>
      <c r="G134" s="2845"/>
      <c r="H134" s="2844"/>
      <c r="I134" s="2845"/>
      <c r="J134" s="2844"/>
      <c r="K134" s="2844"/>
      <c r="L134" s="2845"/>
      <c r="M134" s="2844"/>
      <c r="N134" s="2844"/>
      <c r="O134" s="2845"/>
      <c r="P134" s="2844"/>
      <c r="Q134" s="2844"/>
      <c r="R134" s="2846"/>
    </row>
    <row r="135" spans="2:18" s="2839" customFormat="1">
      <c r="B135" s="2844"/>
      <c r="C135" s="2844"/>
      <c r="D135" s="2844"/>
      <c r="E135" s="2844"/>
      <c r="F135" s="2844"/>
      <c r="G135" s="2845"/>
      <c r="H135" s="2844"/>
      <c r="I135" s="2845"/>
      <c r="J135" s="2844"/>
      <c r="K135" s="2844"/>
      <c r="L135" s="2845"/>
      <c r="M135" s="2844"/>
      <c r="N135" s="2844"/>
      <c r="O135" s="2845"/>
      <c r="P135" s="2844"/>
      <c r="Q135" s="2844"/>
      <c r="R135" s="2846"/>
    </row>
    <row r="136" spans="2:18" s="2839" customFormat="1">
      <c r="B136" s="2844"/>
      <c r="C136" s="2844"/>
      <c r="D136" s="2844"/>
      <c r="E136" s="2844"/>
      <c r="F136" s="2844"/>
      <c r="G136" s="2845"/>
      <c r="H136" s="2844"/>
      <c r="I136" s="2845"/>
      <c r="J136" s="2844"/>
      <c r="K136" s="2844"/>
      <c r="L136" s="2845"/>
      <c r="M136" s="2844"/>
      <c r="N136" s="2844"/>
      <c r="O136" s="2845"/>
      <c r="P136" s="2844"/>
      <c r="Q136" s="2844"/>
      <c r="R136" s="2846"/>
    </row>
    <row r="137" spans="2:18" s="2839" customFormat="1">
      <c r="B137" s="2844"/>
      <c r="C137" s="2844"/>
      <c r="D137" s="2844"/>
      <c r="E137" s="2844"/>
      <c r="F137" s="2844"/>
      <c r="G137" s="2845"/>
      <c r="H137" s="2844"/>
      <c r="I137" s="2845"/>
      <c r="J137" s="2844"/>
      <c r="K137" s="2844"/>
      <c r="L137" s="2845"/>
      <c r="M137" s="2844"/>
      <c r="N137" s="2844"/>
      <c r="O137" s="2845"/>
      <c r="P137" s="2844"/>
      <c r="Q137" s="2844"/>
      <c r="R137" s="2846"/>
    </row>
    <row r="138" spans="2:18" s="2839" customFormat="1">
      <c r="B138" s="2844"/>
      <c r="C138" s="2844"/>
      <c r="D138" s="2844"/>
      <c r="E138" s="2844"/>
      <c r="F138" s="2844"/>
      <c r="G138" s="2845"/>
      <c r="H138" s="2844"/>
      <c r="I138" s="2845"/>
      <c r="J138" s="2844"/>
      <c r="K138" s="2844"/>
      <c r="L138" s="2845"/>
      <c r="M138" s="2844"/>
      <c r="N138" s="2844"/>
      <c r="O138" s="2845"/>
      <c r="P138" s="2844"/>
      <c r="Q138" s="2844"/>
      <c r="R138" s="2846"/>
    </row>
    <row r="139" spans="2:18" s="2839" customFormat="1">
      <c r="B139" s="2844"/>
      <c r="C139" s="2844"/>
      <c r="D139" s="2844"/>
      <c r="E139" s="2844"/>
      <c r="F139" s="2844"/>
      <c r="G139" s="2845"/>
      <c r="H139" s="2844"/>
      <c r="I139" s="2845"/>
      <c r="J139" s="2844"/>
      <c r="K139" s="2844"/>
      <c r="L139" s="2845"/>
      <c r="M139" s="2844"/>
      <c r="N139" s="2844"/>
      <c r="O139" s="2845"/>
      <c r="P139" s="2844"/>
      <c r="Q139" s="2844"/>
      <c r="R139" s="2846"/>
    </row>
    <row r="140" spans="2:18" s="2839" customFormat="1">
      <c r="B140" s="2844"/>
      <c r="C140" s="2844"/>
      <c r="D140" s="2844"/>
      <c r="E140" s="2844"/>
      <c r="F140" s="2844"/>
      <c r="G140" s="2845"/>
      <c r="H140" s="2844"/>
      <c r="I140" s="2845"/>
      <c r="J140" s="2844"/>
      <c r="K140" s="2844"/>
      <c r="L140" s="2845"/>
      <c r="M140" s="2844"/>
      <c r="N140" s="2844"/>
      <c r="O140" s="2845"/>
      <c r="P140" s="2844"/>
      <c r="Q140" s="2844"/>
      <c r="R140" s="2846"/>
    </row>
    <row r="141" spans="2:18" s="2839" customFormat="1">
      <c r="B141" s="2844"/>
      <c r="C141" s="2844"/>
      <c r="D141" s="2844"/>
      <c r="E141" s="2844"/>
      <c r="F141" s="2844"/>
      <c r="G141" s="2845"/>
      <c r="H141" s="2844"/>
      <c r="I141" s="2845"/>
      <c r="J141" s="2844"/>
      <c r="K141" s="2844"/>
      <c r="L141" s="2845"/>
      <c r="M141" s="2844"/>
      <c r="N141" s="2844"/>
      <c r="O141" s="2845"/>
      <c r="P141" s="2844"/>
      <c r="Q141" s="2844"/>
      <c r="R141" s="2846"/>
    </row>
    <row r="142" spans="2:18" s="2839" customFormat="1">
      <c r="B142" s="2844"/>
      <c r="C142" s="2844"/>
      <c r="D142" s="2844"/>
      <c r="E142" s="2844"/>
      <c r="F142" s="2844"/>
      <c r="G142" s="2845"/>
      <c r="H142" s="2844"/>
      <c r="I142" s="2845"/>
      <c r="J142" s="2844"/>
      <c r="K142" s="2844"/>
      <c r="L142" s="2845"/>
      <c r="M142" s="2844"/>
      <c r="N142" s="2844"/>
      <c r="O142" s="2845"/>
      <c r="P142" s="2844"/>
      <c r="Q142" s="2844"/>
      <c r="R142" s="2846"/>
    </row>
    <row r="143" spans="2:18" s="2839" customFormat="1">
      <c r="B143" s="2844"/>
      <c r="C143" s="2844"/>
      <c r="D143" s="2844"/>
      <c r="E143" s="2844"/>
      <c r="F143" s="2844"/>
      <c r="G143" s="2845"/>
      <c r="H143" s="2844"/>
      <c r="I143" s="2845"/>
      <c r="J143" s="2844"/>
      <c r="K143" s="2844"/>
      <c r="L143" s="2845"/>
      <c r="M143" s="2844"/>
      <c r="N143" s="2844"/>
      <c r="O143" s="2845"/>
      <c r="P143" s="2844"/>
      <c r="Q143" s="2844"/>
      <c r="R143" s="2846"/>
    </row>
    <row r="144" spans="2:18" s="2839" customFormat="1">
      <c r="B144" s="2844"/>
      <c r="C144" s="2844"/>
      <c r="D144" s="2844"/>
      <c r="E144" s="2844"/>
      <c r="F144" s="2844"/>
      <c r="G144" s="2845"/>
      <c r="H144" s="2844"/>
      <c r="I144" s="2845"/>
      <c r="J144" s="2844"/>
      <c r="K144" s="2844"/>
      <c r="L144" s="2845"/>
      <c r="M144" s="2844"/>
      <c r="N144" s="2844"/>
      <c r="O144" s="2845"/>
      <c r="P144" s="2844"/>
      <c r="Q144" s="2844"/>
      <c r="R144" s="2846"/>
    </row>
    <row r="145" spans="2:18" s="2839" customFormat="1">
      <c r="B145" s="2844"/>
      <c r="C145" s="2844"/>
      <c r="D145" s="2844"/>
      <c r="E145" s="2844"/>
      <c r="F145" s="2844"/>
      <c r="G145" s="2845"/>
      <c r="H145" s="2844"/>
      <c r="I145" s="2845"/>
      <c r="J145" s="2844"/>
      <c r="K145" s="2844"/>
      <c r="L145" s="2845"/>
      <c r="M145" s="2844"/>
      <c r="N145" s="2844"/>
      <c r="O145" s="2845"/>
      <c r="P145" s="2844"/>
      <c r="Q145" s="2844"/>
      <c r="R145" s="2846"/>
    </row>
    <row r="146" spans="2:18" s="2839" customFormat="1">
      <c r="B146" s="2844"/>
      <c r="C146" s="2844"/>
      <c r="D146" s="2844"/>
      <c r="E146" s="2844"/>
      <c r="F146" s="2844"/>
      <c r="G146" s="2845"/>
      <c r="H146" s="2844"/>
      <c r="I146" s="2845"/>
      <c r="J146" s="2844"/>
      <c r="K146" s="2844"/>
      <c r="L146" s="2845"/>
      <c r="M146" s="2844"/>
      <c r="N146" s="2844"/>
      <c r="O146" s="2845"/>
      <c r="P146" s="2844"/>
      <c r="Q146" s="2844"/>
      <c r="R146" s="2846"/>
    </row>
    <row r="147" spans="2:18" s="2839" customFormat="1">
      <c r="B147" s="2844"/>
      <c r="C147" s="2844"/>
      <c r="D147" s="2844"/>
      <c r="E147" s="2844"/>
      <c r="F147" s="2844"/>
      <c r="G147" s="2845"/>
      <c r="H147" s="2844"/>
      <c r="I147" s="2845"/>
      <c r="J147" s="2844"/>
      <c r="K147" s="2844"/>
      <c r="L147" s="2845"/>
      <c r="M147" s="2844"/>
      <c r="N147" s="2844"/>
      <c r="O147" s="2845"/>
      <c r="P147" s="2844"/>
      <c r="Q147" s="2844"/>
      <c r="R147" s="2846"/>
    </row>
    <row r="148" spans="2:18" s="2839" customFormat="1">
      <c r="B148" s="2844"/>
      <c r="C148" s="2844"/>
      <c r="D148" s="2844"/>
      <c r="E148" s="2844"/>
      <c r="F148" s="2844"/>
      <c r="G148" s="2845"/>
      <c r="H148" s="2844"/>
      <c r="I148" s="2845"/>
      <c r="J148" s="2844"/>
      <c r="K148" s="2844"/>
      <c r="L148" s="2845"/>
      <c r="M148" s="2844"/>
      <c r="N148" s="2844"/>
      <c r="O148" s="2845"/>
      <c r="P148" s="2844"/>
      <c r="Q148" s="2844"/>
      <c r="R148" s="2846"/>
    </row>
    <row r="149" spans="2:18" s="2839" customFormat="1">
      <c r="B149" s="2844"/>
      <c r="C149" s="2844"/>
      <c r="D149" s="2844"/>
      <c r="E149" s="2844"/>
      <c r="F149" s="2844"/>
      <c r="G149" s="2845"/>
      <c r="H149" s="2844"/>
      <c r="I149" s="2845"/>
      <c r="J149" s="2844"/>
      <c r="K149" s="2844"/>
      <c r="L149" s="2845"/>
      <c r="M149" s="2844"/>
      <c r="N149" s="2844"/>
      <c r="O149" s="2845"/>
      <c r="P149" s="2844"/>
      <c r="Q149" s="2844"/>
      <c r="R149" s="2846"/>
    </row>
    <row r="150" spans="2:18" s="2839" customFormat="1">
      <c r="B150" s="2844"/>
      <c r="C150" s="2844"/>
      <c r="D150" s="2844"/>
      <c r="E150" s="2844"/>
      <c r="F150" s="2844"/>
      <c r="G150" s="2845"/>
      <c r="H150" s="2844"/>
      <c r="I150" s="2845"/>
      <c r="J150" s="2844"/>
      <c r="K150" s="2844"/>
      <c r="L150" s="2845"/>
      <c r="M150" s="2844"/>
      <c r="N150" s="2844"/>
      <c r="O150" s="2845"/>
      <c r="P150" s="2844"/>
      <c r="Q150" s="2844"/>
      <c r="R150" s="2846"/>
    </row>
    <row r="151" spans="2:18" s="2839" customFormat="1">
      <c r="B151" s="2844"/>
      <c r="C151" s="2844"/>
      <c r="D151" s="2844"/>
      <c r="E151" s="2844"/>
      <c r="F151" s="2844"/>
      <c r="G151" s="2845"/>
      <c r="H151" s="2844"/>
      <c r="I151" s="2845"/>
      <c r="J151" s="2844"/>
      <c r="K151" s="2844"/>
      <c r="L151" s="2845"/>
      <c r="M151" s="2844"/>
      <c r="N151" s="2844"/>
      <c r="O151" s="2845"/>
      <c r="P151" s="2844"/>
      <c r="Q151" s="2844"/>
      <c r="R151" s="2846"/>
    </row>
    <row r="152" spans="2:18" s="2839" customFormat="1">
      <c r="B152" s="2844"/>
      <c r="C152" s="2844"/>
      <c r="D152" s="2844"/>
      <c r="E152" s="2844"/>
      <c r="F152" s="2844"/>
      <c r="G152" s="2845"/>
      <c r="H152" s="2844"/>
      <c r="I152" s="2845"/>
      <c r="J152" s="2844"/>
      <c r="K152" s="2844"/>
      <c r="L152" s="2845"/>
      <c r="M152" s="2844"/>
      <c r="N152" s="2844"/>
      <c r="O152" s="2845"/>
      <c r="P152" s="2844"/>
      <c r="Q152" s="2844"/>
      <c r="R152" s="2846"/>
    </row>
    <row r="153" spans="2:18" s="2839" customFormat="1">
      <c r="B153" s="2844"/>
      <c r="C153" s="2844"/>
      <c r="D153" s="2844"/>
      <c r="E153" s="2844"/>
      <c r="F153" s="2844"/>
      <c r="G153" s="2845"/>
      <c r="H153" s="2844"/>
      <c r="I153" s="2845"/>
      <c r="J153" s="2844"/>
      <c r="K153" s="2844"/>
      <c r="L153" s="2845"/>
      <c r="M153" s="2844"/>
      <c r="N153" s="2844"/>
      <c r="O153" s="2845"/>
      <c r="P153" s="2844"/>
      <c r="Q153" s="2844"/>
      <c r="R153" s="2846"/>
    </row>
    <row r="154" spans="2:18" s="2839" customFormat="1">
      <c r="B154" s="2844"/>
      <c r="C154" s="2844"/>
      <c r="D154" s="2844"/>
      <c r="E154" s="2844"/>
      <c r="F154" s="2844"/>
      <c r="G154" s="2845"/>
      <c r="H154" s="2844"/>
      <c r="I154" s="2845"/>
      <c r="J154" s="2844"/>
      <c r="K154" s="2844"/>
      <c r="L154" s="2845"/>
      <c r="M154" s="2844"/>
      <c r="N154" s="2844"/>
      <c r="O154" s="2845"/>
      <c r="P154" s="2844"/>
      <c r="Q154" s="2844"/>
      <c r="R154" s="2846"/>
    </row>
    <row r="155" spans="2:18" s="2839" customFormat="1">
      <c r="B155" s="2844"/>
      <c r="C155" s="2844"/>
      <c r="D155" s="2844"/>
      <c r="E155" s="2844"/>
      <c r="F155" s="2844"/>
      <c r="G155" s="2845"/>
      <c r="H155" s="2844"/>
      <c r="I155" s="2845"/>
      <c r="J155" s="2844"/>
      <c r="K155" s="2844"/>
      <c r="L155" s="2845"/>
      <c r="M155" s="2844"/>
      <c r="N155" s="2844"/>
      <c r="O155" s="2845"/>
      <c r="P155" s="2844"/>
      <c r="Q155" s="2844"/>
      <c r="R155" s="2846"/>
    </row>
    <row r="156" spans="2:18" s="2839" customFormat="1">
      <c r="B156" s="2844"/>
      <c r="C156" s="2844"/>
      <c r="D156" s="2844"/>
      <c r="E156" s="2844"/>
      <c r="F156" s="2844"/>
      <c r="G156" s="2845"/>
      <c r="H156" s="2844"/>
      <c r="I156" s="2845"/>
      <c r="J156" s="2844"/>
      <c r="K156" s="2844"/>
      <c r="L156" s="2845"/>
      <c r="M156" s="2844"/>
      <c r="N156" s="2844"/>
      <c r="O156" s="2845"/>
      <c r="P156" s="2844"/>
      <c r="Q156" s="2844"/>
      <c r="R156" s="2846"/>
    </row>
    <row r="157" spans="2:18" s="2839" customFormat="1">
      <c r="B157" s="2844"/>
      <c r="C157" s="2844"/>
      <c r="D157" s="2844"/>
      <c r="E157" s="2844"/>
      <c r="F157" s="2844"/>
      <c r="G157" s="2845"/>
      <c r="H157" s="2844"/>
      <c r="I157" s="2845"/>
      <c r="J157" s="2844"/>
      <c r="K157" s="2844"/>
      <c r="L157" s="2845"/>
      <c r="M157" s="2844"/>
      <c r="N157" s="2844"/>
      <c r="O157" s="2845"/>
      <c r="P157" s="2844"/>
      <c r="Q157" s="2844"/>
      <c r="R157" s="2846"/>
    </row>
    <row r="158" spans="2:18" s="2839" customFormat="1">
      <c r="B158" s="2844"/>
      <c r="C158" s="2844"/>
      <c r="D158" s="2844"/>
      <c r="E158" s="2844"/>
      <c r="F158" s="2844"/>
      <c r="G158" s="2845"/>
      <c r="H158" s="2844"/>
      <c r="I158" s="2845"/>
      <c r="J158" s="2844"/>
      <c r="K158" s="2844"/>
      <c r="L158" s="2845"/>
      <c r="M158" s="2844"/>
      <c r="N158" s="2844"/>
      <c r="O158" s="2845"/>
      <c r="P158" s="2844"/>
      <c r="Q158" s="2844"/>
      <c r="R158" s="2846"/>
    </row>
    <row r="159" spans="2:18" s="2839" customFormat="1">
      <c r="B159" s="2844"/>
      <c r="C159" s="2844"/>
      <c r="D159" s="2844"/>
      <c r="E159" s="2844"/>
      <c r="F159" s="2844"/>
      <c r="G159" s="2845"/>
      <c r="H159" s="2844"/>
      <c r="I159" s="2845"/>
      <c r="J159" s="2844"/>
      <c r="K159" s="2844"/>
      <c r="L159" s="2845"/>
      <c r="M159" s="2844"/>
      <c r="N159" s="2844"/>
      <c r="O159" s="2845"/>
      <c r="P159" s="2844"/>
      <c r="Q159" s="2844"/>
      <c r="R159" s="2846"/>
    </row>
    <row r="160" spans="2:18" s="2839" customFormat="1">
      <c r="B160" s="2844"/>
      <c r="C160" s="2844"/>
      <c r="D160" s="2844"/>
      <c r="E160" s="2844"/>
      <c r="F160" s="2844"/>
      <c r="G160" s="2845"/>
      <c r="H160" s="2844"/>
      <c r="I160" s="2845"/>
      <c r="J160" s="2844"/>
      <c r="K160" s="2844"/>
      <c r="L160" s="2845"/>
      <c r="M160" s="2844"/>
      <c r="N160" s="2844"/>
      <c r="O160" s="2845"/>
      <c r="P160" s="2844"/>
      <c r="Q160" s="2844"/>
      <c r="R160" s="2846"/>
    </row>
    <row r="161" spans="2:18" s="2839" customFormat="1">
      <c r="B161" s="2844"/>
      <c r="C161" s="2844"/>
      <c r="D161" s="2844"/>
      <c r="E161" s="2844"/>
      <c r="F161" s="2844"/>
      <c r="G161" s="2845"/>
      <c r="H161" s="2844"/>
      <c r="I161" s="2845"/>
      <c r="J161" s="2844"/>
      <c r="K161" s="2844"/>
      <c r="L161" s="2845"/>
      <c r="M161" s="2844"/>
      <c r="N161" s="2844"/>
      <c r="O161" s="2845"/>
      <c r="P161" s="2844"/>
      <c r="Q161" s="2844"/>
      <c r="R161" s="2846"/>
    </row>
    <row r="162" spans="2:18" s="2839" customFormat="1">
      <c r="B162" s="2844"/>
      <c r="C162" s="2844"/>
      <c r="D162" s="2844"/>
      <c r="E162" s="2844"/>
      <c r="F162" s="2844"/>
      <c r="G162" s="2845"/>
      <c r="H162" s="2844"/>
      <c r="I162" s="2845"/>
      <c r="J162" s="2844"/>
      <c r="K162" s="2844"/>
      <c r="L162" s="2845"/>
      <c r="M162" s="2844"/>
      <c r="N162" s="2844"/>
      <c r="O162" s="2845"/>
      <c r="P162" s="2844"/>
      <c r="Q162" s="2844"/>
      <c r="R162" s="2846"/>
    </row>
    <row r="163" spans="2:18" s="2839" customFormat="1">
      <c r="B163" s="2844"/>
      <c r="C163" s="2844"/>
      <c r="D163" s="2844"/>
      <c r="E163" s="2844"/>
      <c r="F163" s="2844"/>
      <c r="G163" s="2845"/>
      <c r="H163" s="2844"/>
      <c r="I163" s="2845"/>
      <c r="J163" s="2844"/>
      <c r="K163" s="2844"/>
      <c r="L163" s="2845"/>
      <c r="M163" s="2844"/>
      <c r="N163" s="2844"/>
      <c r="O163" s="2845"/>
      <c r="P163" s="2844"/>
      <c r="Q163" s="2844"/>
      <c r="R163" s="2846"/>
    </row>
    <row r="164" spans="2:18" s="2839" customFormat="1">
      <c r="B164" s="2844"/>
      <c r="C164" s="2844"/>
      <c r="D164" s="2844"/>
      <c r="E164" s="2844"/>
      <c r="F164" s="2844"/>
      <c r="G164" s="2845"/>
      <c r="H164" s="2844"/>
      <c r="I164" s="2845"/>
      <c r="J164" s="2844"/>
      <c r="K164" s="2844"/>
      <c r="L164" s="2845"/>
      <c r="M164" s="2844"/>
      <c r="N164" s="2844"/>
      <c r="O164" s="2845"/>
      <c r="P164" s="2844"/>
      <c r="Q164" s="2844"/>
      <c r="R164" s="2846"/>
    </row>
    <row r="165" spans="2:18" s="2839" customFormat="1">
      <c r="B165" s="2844"/>
      <c r="C165" s="2844"/>
      <c r="D165" s="2844"/>
      <c r="E165" s="2844"/>
      <c r="F165" s="2844"/>
      <c r="G165" s="2845"/>
      <c r="H165" s="2844"/>
      <c r="I165" s="2845"/>
      <c r="J165" s="2844"/>
      <c r="K165" s="2844"/>
      <c r="L165" s="2845"/>
      <c r="M165" s="2844"/>
      <c r="N165" s="2844"/>
      <c r="O165" s="2845"/>
      <c r="P165" s="2844"/>
      <c r="Q165" s="2844"/>
      <c r="R165" s="2846"/>
    </row>
    <row r="166" spans="2:18" s="2839" customFormat="1">
      <c r="B166" s="2844"/>
      <c r="C166" s="2844"/>
      <c r="D166" s="2844"/>
      <c r="E166" s="2844"/>
      <c r="F166" s="2844"/>
      <c r="G166" s="2845"/>
      <c r="H166" s="2844"/>
      <c r="I166" s="2845"/>
      <c r="J166" s="2844"/>
      <c r="K166" s="2844"/>
      <c r="L166" s="2845"/>
      <c r="M166" s="2844"/>
      <c r="N166" s="2844"/>
      <c r="O166" s="2845"/>
      <c r="P166" s="2844"/>
      <c r="Q166" s="2844"/>
      <c r="R166" s="2846"/>
    </row>
    <row r="167" spans="2:18" s="2839" customFormat="1">
      <c r="B167" s="2844"/>
      <c r="C167" s="2844"/>
      <c r="D167" s="2844"/>
      <c r="E167" s="2844"/>
      <c r="F167" s="2844"/>
      <c r="G167" s="2845"/>
      <c r="H167" s="2844"/>
      <c r="I167" s="2845"/>
      <c r="J167" s="2844"/>
      <c r="K167" s="2844"/>
      <c r="L167" s="2845"/>
      <c r="M167" s="2844"/>
      <c r="N167" s="2844"/>
      <c r="O167" s="2845"/>
      <c r="P167" s="2844"/>
      <c r="Q167" s="2844"/>
      <c r="R167" s="2846"/>
    </row>
    <row r="168" spans="2:18" s="2839" customFormat="1">
      <c r="B168" s="2844"/>
      <c r="C168" s="2844"/>
      <c r="D168" s="2844"/>
      <c r="E168" s="2844"/>
      <c r="F168" s="2844"/>
      <c r="G168" s="2845"/>
      <c r="H168" s="2844"/>
      <c r="I168" s="2845"/>
      <c r="J168" s="2844"/>
      <c r="K168" s="2844"/>
      <c r="L168" s="2845"/>
      <c r="M168" s="2844"/>
      <c r="N168" s="2844"/>
      <c r="O168" s="2845"/>
      <c r="P168" s="2844"/>
      <c r="Q168" s="2844"/>
      <c r="R168" s="2846"/>
    </row>
    <row r="169" spans="2:18" s="2839" customFormat="1">
      <c r="B169" s="2844"/>
      <c r="C169" s="2844"/>
      <c r="D169" s="2844"/>
      <c r="E169" s="2844"/>
      <c r="F169" s="2844"/>
      <c r="G169" s="2845"/>
      <c r="H169" s="2844"/>
      <c r="I169" s="2845"/>
      <c r="J169" s="2844"/>
      <c r="K169" s="2844"/>
      <c r="L169" s="2845"/>
      <c r="M169" s="2844"/>
      <c r="N169" s="2844"/>
      <c r="O169" s="2845"/>
      <c r="P169" s="2844"/>
      <c r="Q169" s="2844"/>
      <c r="R169" s="2846"/>
    </row>
    <row r="170" spans="2:18" s="2839" customFormat="1">
      <c r="B170" s="2844"/>
      <c r="C170" s="2844"/>
      <c r="D170" s="2844"/>
      <c r="E170" s="2844"/>
      <c r="F170" s="2844"/>
      <c r="G170" s="2845"/>
      <c r="H170" s="2844"/>
      <c r="I170" s="2845"/>
      <c r="J170" s="2844"/>
      <c r="K170" s="2844"/>
      <c r="L170" s="2845"/>
      <c r="M170" s="2844"/>
      <c r="N170" s="2844"/>
      <c r="O170" s="2845"/>
      <c r="P170" s="2844"/>
      <c r="Q170" s="2844"/>
      <c r="R170" s="2846"/>
    </row>
    <row r="171" spans="2:18" s="2839" customFormat="1">
      <c r="B171" s="2844"/>
      <c r="C171" s="2844"/>
      <c r="D171" s="2844"/>
      <c r="E171" s="2844"/>
      <c r="F171" s="2844"/>
      <c r="G171" s="2845"/>
      <c r="H171" s="2844"/>
      <c r="I171" s="2845"/>
      <c r="J171" s="2844"/>
      <c r="K171" s="2844"/>
      <c r="L171" s="2845"/>
      <c r="M171" s="2844"/>
      <c r="N171" s="2844"/>
      <c r="O171" s="2845"/>
      <c r="P171" s="2844"/>
      <c r="Q171" s="2844"/>
      <c r="R171" s="2846"/>
    </row>
    <row r="172" spans="2:18" s="2839" customFormat="1">
      <c r="B172" s="2844"/>
      <c r="C172" s="2844"/>
      <c r="D172" s="2844"/>
      <c r="E172" s="2844"/>
      <c r="F172" s="2844"/>
      <c r="G172" s="2845"/>
      <c r="H172" s="2844"/>
      <c r="I172" s="2845"/>
      <c r="J172" s="2844"/>
      <c r="K172" s="2844"/>
      <c r="L172" s="2845"/>
      <c r="M172" s="2844"/>
      <c r="N172" s="2844"/>
      <c r="O172" s="2845"/>
      <c r="P172" s="2844"/>
      <c r="Q172" s="2844"/>
      <c r="R172" s="2846"/>
    </row>
    <row r="173" spans="2:18" s="2839" customFormat="1">
      <c r="B173" s="2844"/>
      <c r="C173" s="2844"/>
      <c r="D173" s="2844"/>
      <c r="E173" s="2844"/>
      <c r="F173" s="2844"/>
      <c r="G173" s="2845"/>
      <c r="H173" s="2844"/>
      <c r="I173" s="2845"/>
      <c r="J173" s="2844"/>
      <c r="K173" s="2844"/>
      <c r="L173" s="2845"/>
      <c r="M173" s="2844"/>
      <c r="N173" s="2844"/>
      <c r="O173" s="2845"/>
      <c r="P173" s="2844"/>
      <c r="Q173" s="2844"/>
      <c r="R173" s="2846"/>
    </row>
    <row r="174" spans="2:18" s="2839" customFormat="1">
      <c r="B174" s="2844"/>
      <c r="C174" s="2844"/>
      <c r="D174" s="2844"/>
      <c r="E174" s="2844"/>
      <c r="F174" s="2844"/>
      <c r="G174" s="2845"/>
      <c r="H174" s="2844"/>
      <c r="I174" s="2845"/>
      <c r="J174" s="2844"/>
      <c r="K174" s="2844"/>
      <c r="L174" s="2845"/>
      <c r="M174" s="2844"/>
      <c r="N174" s="2844"/>
      <c r="O174" s="2845"/>
      <c r="P174" s="2844"/>
      <c r="Q174" s="2844"/>
      <c r="R174" s="2846"/>
    </row>
    <row r="175" spans="2:18" s="2839" customFormat="1">
      <c r="B175" s="2844"/>
      <c r="C175" s="2844"/>
      <c r="D175" s="2844"/>
      <c r="E175" s="2844"/>
      <c r="F175" s="2844"/>
      <c r="G175" s="2845"/>
      <c r="H175" s="2844"/>
      <c r="I175" s="2845"/>
      <c r="J175" s="2844"/>
      <c r="K175" s="2844"/>
      <c r="L175" s="2845"/>
      <c r="M175" s="2844"/>
      <c r="N175" s="2844"/>
      <c r="O175" s="2845"/>
      <c r="P175" s="2844"/>
      <c r="Q175" s="2844"/>
      <c r="R175" s="2846"/>
    </row>
    <row r="176" spans="2:18" s="2839" customFormat="1">
      <c r="B176" s="2844"/>
      <c r="C176" s="2844"/>
      <c r="D176" s="2844"/>
      <c r="E176" s="2844"/>
      <c r="F176" s="2844"/>
      <c r="G176" s="2845"/>
      <c r="H176" s="2844"/>
      <c r="I176" s="2845"/>
      <c r="J176" s="2844"/>
      <c r="K176" s="2844"/>
      <c r="L176" s="2845"/>
      <c r="M176" s="2844"/>
      <c r="N176" s="2844"/>
      <c r="O176" s="2845"/>
      <c r="P176" s="2844"/>
      <c r="Q176" s="2844"/>
      <c r="R176" s="2846"/>
    </row>
    <row r="177" spans="1:18" s="2839" customFormat="1">
      <c r="B177" s="2844"/>
      <c r="C177" s="2844"/>
      <c r="D177" s="2844"/>
      <c r="E177" s="2844"/>
      <c r="F177" s="2844"/>
      <c r="G177" s="2845"/>
      <c r="H177" s="2844"/>
      <c r="I177" s="2845"/>
      <c r="J177" s="2844"/>
      <c r="K177" s="2844"/>
      <c r="L177" s="2845"/>
      <c r="M177" s="2844"/>
      <c r="N177" s="2844"/>
      <c r="O177" s="2845"/>
      <c r="P177" s="2844"/>
      <c r="Q177" s="2844"/>
      <c r="R177" s="2846"/>
    </row>
    <row r="178" spans="1:18" s="2839" customFormat="1">
      <c r="B178" s="2844"/>
      <c r="C178" s="2844"/>
      <c r="D178" s="2844"/>
      <c r="E178" s="2844"/>
      <c r="F178" s="2844"/>
      <c r="G178" s="2845"/>
      <c r="H178" s="2844"/>
      <c r="I178" s="2845"/>
      <c r="J178" s="2844"/>
      <c r="K178" s="2844"/>
      <c r="L178" s="2845"/>
      <c r="M178" s="2844"/>
      <c r="N178" s="2844"/>
      <c r="O178" s="2845"/>
      <c r="P178" s="2844"/>
      <c r="Q178" s="2844"/>
      <c r="R178" s="2846"/>
    </row>
    <row r="179" spans="1:18" s="2839" customFormat="1">
      <c r="B179" s="2844"/>
      <c r="C179" s="2844"/>
      <c r="D179" s="2844"/>
      <c r="E179" s="2844"/>
      <c r="F179" s="2844"/>
      <c r="G179" s="2845"/>
      <c r="H179" s="2844"/>
      <c r="I179" s="2845"/>
      <c r="J179" s="2844"/>
      <c r="K179" s="2844"/>
      <c r="L179" s="2845"/>
      <c r="M179" s="2844"/>
      <c r="N179" s="2844"/>
      <c r="O179" s="2845"/>
      <c r="P179" s="2844"/>
      <c r="Q179" s="2844"/>
      <c r="R179" s="2846"/>
    </row>
    <row r="180" spans="1:18" s="2839" customFormat="1">
      <c r="B180" s="2844"/>
      <c r="C180" s="2844"/>
      <c r="D180" s="2844"/>
      <c r="E180" s="2844"/>
      <c r="F180" s="2844"/>
      <c r="G180" s="2845"/>
      <c r="H180" s="2844"/>
      <c r="I180" s="2845"/>
      <c r="J180" s="2844"/>
      <c r="K180" s="2844"/>
      <c r="L180" s="2845"/>
      <c r="M180" s="2844"/>
      <c r="N180" s="2844"/>
      <c r="O180" s="2845"/>
      <c r="P180" s="2844"/>
      <c r="Q180" s="2844"/>
      <c r="R180" s="2846"/>
    </row>
    <row r="181" spans="1:18" s="2839" customFormat="1">
      <c r="B181" s="2844"/>
      <c r="C181" s="2844"/>
      <c r="D181" s="2844"/>
      <c r="E181" s="2844"/>
      <c r="F181" s="2844"/>
      <c r="G181" s="2845"/>
      <c r="H181" s="2844"/>
      <c r="I181" s="2845"/>
      <c r="J181" s="2844"/>
      <c r="K181" s="2844"/>
      <c r="L181" s="2845"/>
      <c r="M181" s="2844"/>
      <c r="N181" s="2844"/>
      <c r="O181" s="2845"/>
      <c r="P181" s="2844"/>
      <c r="Q181" s="2844"/>
      <c r="R181" s="2846"/>
    </row>
    <row r="182" spans="1:18" s="2839" customFormat="1">
      <c r="B182" s="2844"/>
      <c r="C182" s="2844"/>
      <c r="D182" s="2844"/>
      <c r="E182" s="2844"/>
      <c r="F182" s="2844"/>
      <c r="G182" s="2845"/>
      <c r="H182" s="2844"/>
      <c r="I182" s="2845"/>
      <c r="J182" s="2844"/>
      <c r="K182" s="2844"/>
      <c r="L182" s="2845"/>
      <c r="M182" s="2844"/>
      <c r="N182" s="2844"/>
      <c r="O182" s="2845"/>
      <c r="P182" s="2844"/>
      <c r="Q182" s="2844"/>
      <c r="R182" s="2846"/>
    </row>
    <row r="183" spans="1:18" s="2839" customFormat="1">
      <c r="B183" s="2844"/>
      <c r="C183" s="2844"/>
      <c r="D183" s="2844"/>
      <c r="E183" s="2844"/>
      <c r="F183" s="2844"/>
      <c r="G183" s="2845"/>
      <c r="H183" s="2844"/>
      <c r="I183" s="2845"/>
      <c r="J183" s="2844"/>
      <c r="K183" s="2844"/>
      <c r="L183" s="2845"/>
      <c r="M183" s="2844"/>
      <c r="N183" s="2844"/>
      <c r="O183" s="2845"/>
      <c r="P183" s="2844"/>
      <c r="Q183" s="2844"/>
      <c r="R183" s="2846"/>
    </row>
    <row r="184" spans="1:18" s="2839" customFormat="1">
      <c r="B184" s="2844"/>
      <c r="C184" s="2844"/>
      <c r="D184" s="2844"/>
      <c r="E184" s="2844"/>
      <c r="F184" s="2844"/>
      <c r="G184" s="2845"/>
      <c r="H184" s="2844"/>
      <c r="I184" s="2845"/>
      <c r="J184" s="2844"/>
      <c r="K184" s="2844"/>
      <c r="L184" s="2845"/>
      <c r="M184" s="2844"/>
      <c r="N184" s="2844"/>
      <c r="O184" s="2845"/>
      <c r="P184" s="2844"/>
      <c r="Q184" s="2844"/>
      <c r="R184" s="2846"/>
    </row>
    <row r="185" spans="1:18" s="2839" customFormat="1">
      <c r="B185" s="2844"/>
      <c r="C185" s="2844"/>
      <c r="D185" s="2844"/>
      <c r="E185" s="2844"/>
      <c r="F185" s="2844"/>
      <c r="G185" s="2845"/>
      <c r="H185" s="2844"/>
      <c r="I185" s="2845"/>
      <c r="J185" s="2844"/>
      <c r="K185" s="2844"/>
      <c r="L185" s="2845"/>
      <c r="M185" s="2844"/>
      <c r="N185" s="2844"/>
      <c r="O185" s="2845"/>
      <c r="P185" s="2844"/>
      <c r="Q185" s="2844"/>
      <c r="R185" s="2846"/>
    </row>
    <row r="186" spans="1:18">
      <c r="A186" s="2839"/>
      <c r="B186" s="2844"/>
      <c r="C186" s="2844"/>
      <c r="E186" s="2844"/>
      <c r="F186" s="2844"/>
      <c r="G186" s="2845"/>
    </row>
    <row r="187" spans="1:18">
      <c r="A187" s="2839"/>
      <c r="B187" s="2844"/>
      <c r="C187" s="2844"/>
      <c r="E187" s="2844"/>
      <c r="F187" s="2844"/>
      <c r="G187" s="2845"/>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sheetPr codeName="Sheet28">
    <tabColor rgb="FFFF0000"/>
  </sheetPr>
  <dimension ref="A1:I23"/>
  <sheetViews>
    <sheetView view="pageBreakPreview" topLeftCell="B1" zoomScale="80" zoomScaleNormal="100" workbookViewId="0">
      <selection activeCell="K25" sqref="K25"/>
    </sheetView>
  </sheetViews>
  <sheetFormatPr defaultColWidth="14.625" defaultRowHeight="13.5"/>
  <cols>
    <col min="1" max="1" width="24.375" style="2821" customWidth="1"/>
    <col min="2" max="16384" width="14.625" style="2821"/>
  </cols>
  <sheetData>
    <row r="1" spans="1:9" ht="16.5">
      <c r="A1" s="2822" t="s">
        <v>577</v>
      </c>
      <c r="B1" s="2822">
        <f>SUM(B14:B23)</f>
        <v>59.11</v>
      </c>
      <c r="C1" s="2823"/>
      <c r="D1" s="2823"/>
      <c r="E1" s="2823"/>
      <c r="F1" s="2823"/>
      <c r="G1" s="2824"/>
    </row>
    <row r="2" spans="1:9" ht="16.5">
      <c r="A2" s="2822" t="s">
        <v>578</v>
      </c>
      <c r="B2" s="2822">
        <f>SUM(C14:C23)</f>
        <v>0</v>
      </c>
      <c r="C2" s="2823"/>
      <c r="D2" s="2823"/>
      <c r="E2" s="2823"/>
      <c r="F2" s="2823"/>
      <c r="G2" s="2824"/>
    </row>
    <row r="3" spans="1:9" ht="16.5">
      <c r="A3" s="2822" t="s">
        <v>579</v>
      </c>
      <c r="B3" s="2825">
        <f>项目基本情况!D2</f>
        <v>44873</v>
      </c>
      <c r="C3" s="2823"/>
      <c r="D3" s="2823"/>
      <c r="E3" s="2823"/>
      <c r="F3" s="2823"/>
      <c r="G3" s="2824"/>
    </row>
    <row r="4" spans="1:9" ht="33">
      <c r="A4" s="2822" t="s">
        <v>580</v>
      </c>
      <c r="B4" s="2822" t="s">
        <v>581</v>
      </c>
      <c r="C4" s="2822" t="s">
        <v>582</v>
      </c>
      <c r="D4" s="2822" t="s">
        <v>583</v>
      </c>
      <c r="E4" s="2823"/>
      <c r="F4" s="2824"/>
      <c r="G4" s="2824"/>
    </row>
    <row r="5" spans="1:9" ht="16.5">
      <c r="A5" s="2822" t="s">
        <v>584</v>
      </c>
      <c r="B5" s="2822">
        <f ca="1">SUM(D14:D23)</f>
        <v>236.9956</v>
      </c>
      <c r="C5" s="2822">
        <f ca="1">ROUND(B5*10000/$B$1,0)</f>
        <v>40094</v>
      </c>
      <c r="D5" s="2822" t="e">
        <f ca="1">ROUND(B5*10000/$B$2,0)</f>
        <v>#DIV/0!</v>
      </c>
      <c r="E5" s="2823"/>
      <c r="F5" s="2824"/>
      <c r="G5" s="2824"/>
    </row>
    <row r="6" spans="1:9" ht="16.5">
      <c r="A6" s="2822" t="s">
        <v>585</v>
      </c>
      <c r="B6" s="2822">
        <f ca="1">SUM(G14:G23)</f>
        <v>236.9956</v>
      </c>
      <c r="C6" s="2822">
        <f t="shared" ref="C6:C8" ca="1" si="0">ROUND(B6*10000/$B$1,0)</f>
        <v>40094</v>
      </c>
      <c r="D6" s="2822" t="e">
        <f t="shared" ref="D6:D8" ca="1" si="1">ROUND(B6*10000/$B$2,0)</f>
        <v>#DIV/0!</v>
      </c>
      <c r="E6" s="2823"/>
      <c r="F6" s="2824"/>
      <c r="G6" s="2824"/>
    </row>
    <row r="7" spans="1:9" ht="16.5">
      <c r="A7" s="2822" t="s">
        <v>586</v>
      </c>
      <c r="B7" s="2822" t="e">
        <f>SUM(H14:H23)</f>
        <v>#VALUE!</v>
      </c>
      <c r="C7" s="2822" t="e">
        <f>ROUND(B7*10000/$B$1,0)</f>
        <v>#VALUE!</v>
      </c>
      <c r="D7" s="2822" t="e">
        <f t="shared" si="1"/>
        <v>#VALUE!</v>
      </c>
      <c r="E7" s="2823"/>
      <c r="F7" s="2824"/>
      <c r="G7" s="2824"/>
    </row>
    <row r="8" spans="1:9" ht="16.5">
      <c r="A8" s="2822" t="s">
        <v>587</v>
      </c>
      <c r="B8" s="2822" t="e">
        <f>SUM(I14:I23)</f>
        <v>#VALUE!</v>
      </c>
      <c r="C8" s="2822" t="e">
        <f t="shared" si="0"/>
        <v>#VALUE!</v>
      </c>
      <c r="D8" s="2822" t="e">
        <f t="shared" si="1"/>
        <v>#VALUE!</v>
      </c>
      <c r="E8" s="2823"/>
      <c r="F8" s="2824"/>
      <c r="G8" s="2824"/>
    </row>
    <row r="9" spans="1:9" ht="16.5">
      <c r="A9" s="2822" t="s">
        <v>588</v>
      </c>
      <c r="B9" s="2826"/>
      <c r="C9" s="2823"/>
      <c r="D9" s="2823"/>
      <c r="E9" s="2823"/>
      <c r="F9" s="2824"/>
      <c r="G9" s="2824"/>
    </row>
    <row r="10" spans="1:9" ht="16.5">
      <c r="A10" s="2822" t="s">
        <v>589</v>
      </c>
      <c r="B10" s="2826"/>
      <c r="C10" s="2823"/>
      <c r="D10" s="2823"/>
      <c r="E10" s="2823"/>
      <c r="F10" s="2824"/>
      <c r="G10" s="2824"/>
    </row>
    <row r="11" spans="1:9" ht="16.5">
      <c r="A11" s="2822" t="s">
        <v>590</v>
      </c>
      <c r="B11" s="2826"/>
      <c r="C11" s="2823"/>
      <c r="D11" s="2823"/>
      <c r="E11" s="2823"/>
      <c r="F11" s="2824"/>
      <c r="G11" s="2824"/>
    </row>
    <row r="12" spans="1:9" ht="16.5">
      <c r="A12" s="2823"/>
      <c r="B12" s="2823"/>
      <c r="C12" s="2823"/>
      <c r="D12" s="2823"/>
      <c r="E12" s="2823"/>
      <c r="F12" s="2824"/>
      <c r="G12" s="2824"/>
    </row>
    <row r="13" spans="1:9" ht="33">
      <c r="A13" s="2827" t="s">
        <v>591</v>
      </c>
      <c r="B13" s="2828" t="s">
        <v>577</v>
      </c>
      <c r="C13" s="2828" t="s">
        <v>578</v>
      </c>
      <c r="D13" s="2828" t="s">
        <v>592</v>
      </c>
      <c r="E13" s="2822" t="s">
        <v>582</v>
      </c>
      <c r="F13" s="2822" t="s">
        <v>583</v>
      </c>
      <c r="G13" s="2828" t="s">
        <v>593</v>
      </c>
      <c r="H13" s="2828" t="s">
        <v>594</v>
      </c>
      <c r="I13" s="2828" t="s">
        <v>595</v>
      </c>
    </row>
    <row r="14" spans="1:9" ht="16.5">
      <c r="A14" s="2829" t="s">
        <v>596</v>
      </c>
      <c r="B14" s="2830">
        <f>项目基本情况!C12</f>
        <v>59.11</v>
      </c>
      <c r="C14" s="2830">
        <f>项目基本情况!C13</f>
        <v>0</v>
      </c>
      <c r="D14" s="2830">
        <f ca="1">ROUND(E14*B14/10000,4)</f>
        <v>236.9956</v>
      </c>
      <c r="E14" s="2830">
        <f ca="1">结果表!G20</f>
        <v>40094</v>
      </c>
      <c r="F14" s="2830" t="e">
        <f ca="1">ROUND(D14*10000/C14,0)</f>
        <v>#DIV/0!</v>
      </c>
      <c r="G14" s="2830">
        <f ca="1">D14</f>
        <v>236.9956</v>
      </c>
      <c r="H14" s="2830" t="e">
        <f>IF('数据-取费表'!B3="万元",IF(A14="估价对象1（结果表）",结果表!D127,'结果表 (1修多)'!D131),IF(A14="估价对象1（结果表）",结果表!D127,'结果表 (1修多)'!D131)/10000)</f>
        <v>#VALUE!</v>
      </c>
      <c r="I14" s="2830" t="e">
        <f>IF('数据-取费表'!B3="万元",IF(A14="估价对象1（结果表）",结果表!D129,'结果表 (1修多)'!D133),IF(A14="估价对象1（结果表）",结果表!D129,'结果表 (1修多)'!D133)/10000)</f>
        <v>#VALUE!</v>
      </c>
    </row>
    <row r="15" spans="1:9" ht="16.5">
      <c r="A15" s="2831" t="s">
        <v>597</v>
      </c>
      <c r="B15" s="2832"/>
      <c r="C15" s="2832"/>
      <c r="D15" s="2832"/>
      <c r="E15" s="2830" t="e">
        <f t="shared" ref="E15:E23" si="2">ROUND(D15*10000/B15,0)</f>
        <v>#DIV/0!</v>
      </c>
      <c r="F15" s="2830" t="e">
        <f t="shared" ref="F15:F23" si="3">ROUND(D15*10000/C15,0)</f>
        <v>#DIV/0!</v>
      </c>
      <c r="G15" s="2833"/>
      <c r="H15" s="2833"/>
      <c r="I15" s="2832"/>
    </row>
    <row r="16" spans="1:9" ht="16.5">
      <c r="A16" s="2831" t="s">
        <v>598</v>
      </c>
      <c r="B16" s="2832"/>
      <c r="C16" s="2832"/>
      <c r="D16" s="2832"/>
      <c r="E16" s="2830" t="e">
        <f t="shared" si="2"/>
        <v>#DIV/0!</v>
      </c>
      <c r="F16" s="2830" t="e">
        <f t="shared" si="3"/>
        <v>#DIV/0!</v>
      </c>
      <c r="G16" s="2833"/>
      <c r="H16" s="2833"/>
      <c r="I16" s="2832"/>
    </row>
    <row r="17" spans="1:9" ht="16.5">
      <c r="A17" s="2831" t="s">
        <v>599</v>
      </c>
      <c r="B17" s="2832"/>
      <c r="C17" s="2832"/>
      <c r="D17" s="2832"/>
      <c r="E17" s="2830" t="e">
        <f t="shared" si="2"/>
        <v>#DIV/0!</v>
      </c>
      <c r="F17" s="2830" t="e">
        <f t="shared" si="3"/>
        <v>#DIV/0!</v>
      </c>
      <c r="G17" s="2833"/>
      <c r="H17" s="2833"/>
      <c r="I17" s="2832"/>
    </row>
    <row r="18" spans="1:9" ht="16.5">
      <c r="A18" s="2831" t="s">
        <v>600</v>
      </c>
      <c r="B18" s="2832"/>
      <c r="C18" s="2832"/>
      <c r="D18" s="2832"/>
      <c r="E18" s="2830" t="e">
        <f t="shared" si="2"/>
        <v>#DIV/0!</v>
      </c>
      <c r="F18" s="2830" t="e">
        <f t="shared" si="3"/>
        <v>#DIV/0!</v>
      </c>
      <c r="G18" s="2832"/>
      <c r="H18" s="2832"/>
      <c r="I18" s="2832"/>
    </row>
    <row r="19" spans="1:9" ht="16.5">
      <c r="A19" s="2831" t="s">
        <v>601</v>
      </c>
      <c r="B19" s="2832"/>
      <c r="C19" s="2832"/>
      <c r="D19" s="2832"/>
      <c r="E19" s="2830" t="e">
        <f t="shared" si="2"/>
        <v>#DIV/0!</v>
      </c>
      <c r="F19" s="2830" t="e">
        <f t="shared" si="3"/>
        <v>#DIV/0!</v>
      </c>
      <c r="G19" s="2832"/>
      <c r="H19" s="2832"/>
      <c r="I19" s="2832"/>
    </row>
    <row r="20" spans="1:9" ht="16.5">
      <c r="A20" s="2831" t="s">
        <v>602</v>
      </c>
      <c r="B20" s="2832"/>
      <c r="C20" s="2832"/>
      <c r="D20" s="2832"/>
      <c r="E20" s="2830" t="e">
        <f t="shared" si="2"/>
        <v>#DIV/0!</v>
      </c>
      <c r="F20" s="2830" t="e">
        <f t="shared" si="3"/>
        <v>#DIV/0!</v>
      </c>
      <c r="G20" s="2832"/>
      <c r="H20" s="2832"/>
      <c r="I20" s="2832"/>
    </row>
    <row r="21" spans="1:9" ht="16.5">
      <c r="A21" s="2831" t="s">
        <v>603</v>
      </c>
      <c r="B21" s="2832"/>
      <c r="C21" s="2832"/>
      <c r="D21" s="2832"/>
      <c r="E21" s="2830" t="e">
        <f t="shared" si="2"/>
        <v>#DIV/0!</v>
      </c>
      <c r="F21" s="2830" t="e">
        <f t="shared" si="3"/>
        <v>#DIV/0!</v>
      </c>
      <c r="G21" s="2832"/>
      <c r="H21" s="2832"/>
      <c r="I21" s="2832"/>
    </row>
    <row r="22" spans="1:9" ht="16.5">
      <c r="A22" s="2831" t="s">
        <v>604</v>
      </c>
      <c r="B22" s="2832"/>
      <c r="C22" s="2832"/>
      <c r="D22" s="2832"/>
      <c r="E22" s="2830" t="e">
        <f t="shared" si="2"/>
        <v>#DIV/0!</v>
      </c>
      <c r="F22" s="2830" t="e">
        <f t="shared" si="3"/>
        <v>#DIV/0!</v>
      </c>
      <c r="G22" s="2832"/>
      <c r="H22" s="2832"/>
      <c r="I22" s="2832"/>
    </row>
    <row r="23" spans="1:9" ht="16.5">
      <c r="A23" s="2831" t="s">
        <v>605</v>
      </c>
      <c r="B23" s="2832"/>
      <c r="C23" s="2832"/>
      <c r="D23" s="2832"/>
      <c r="E23" s="2834" t="e">
        <f t="shared" si="2"/>
        <v>#DIV/0!</v>
      </c>
      <c r="F23" s="2834" t="e">
        <f t="shared" si="3"/>
        <v>#DIV/0!</v>
      </c>
      <c r="G23" s="2832"/>
      <c r="H23" s="2832"/>
      <c r="I23" s="2832"/>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sheetPr codeName="Sheet9">
    <tabColor rgb="FFFF0000"/>
  </sheetPr>
  <dimension ref="A1:AJ516"/>
  <sheetViews>
    <sheetView view="pageBreakPreview" zoomScale="80" zoomScaleNormal="100" zoomScalePageLayoutView="80" workbookViewId="0">
      <selection activeCell="H40" sqref="H40"/>
    </sheetView>
  </sheetViews>
  <sheetFormatPr defaultColWidth="12.625" defaultRowHeight="21.75" customHeight="1"/>
  <cols>
    <col min="1" max="2" width="12.625" style="2463"/>
    <col min="3" max="4" width="12.625" style="2463" customWidth="1"/>
    <col min="5" max="9" width="12.625" style="2463"/>
    <col min="10" max="10" width="3.625" style="2464" customWidth="1"/>
    <col min="11" max="12" width="12.625" style="1608" customWidth="1"/>
    <col min="13" max="13" width="12.625" style="1608"/>
    <col min="14" max="14" width="14.125" style="1608" customWidth="1"/>
    <col min="15" max="27" width="12.625" style="1608"/>
    <col min="28" max="36" width="12.625" style="2462"/>
    <col min="37" max="16384" width="12.625" style="2463"/>
  </cols>
  <sheetData>
    <row r="1" spans="1:15" ht="21.75" customHeight="1">
      <c r="A1" s="2465" t="s">
        <v>606</v>
      </c>
      <c r="B1" s="2466"/>
      <c r="C1" s="2466"/>
      <c r="D1" s="2466"/>
      <c r="E1" s="2466"/>
      <c r="F1" s="2466"/>
      <c r="G1" s="2466"/>
      <c r="H1" s="2466"/>
      <c r="I1" s="2466"/>
    </row>
    <row r="2" spans="1:15" ht="21.75" customHeight="1">
      <c r="A2" s="3505" t="str">
        <f>项目基本情况!B1</f>
        <v>北京市预评估</v>
      </c>
      <c r="B2" s="3505"/>
      <c r="C2" s="3505"/>
      <c r="D2" s="3505"/>
      <c r="E2" s="3505"/>
      <c r="F2" s="3505"/>
      <c r="G2" s="3505"/>
      <c r="H2" s="3505"/>
      <c r="I2" s="3505"/>
      <c r="J2" s="2775"/>
    </row>
    <row r="3" spans="1:15" ht="12.75">
      <c r="A3" s="3506" t="s">
        <v>607</v>
      </c>
      <c r="B3" s="3507"/>
      <c r="C3" s="3507"/>
      <c r="D3" s="3507"/>
      <c r="E3" s="3507"/>
      <c r="F3" s="3507"/>
      <c r="G3" s="3507"/>
      <c r="H3" s="3507"/>
      <c r="I3" s="3507"/>
      <c r="J3" s="2579"/>
    </row>
    <row r="4" spans="1:15" ht="14.25">
      <c r="A4" s="2467" t="s">
        <v>608</v>
      </c>
      <c r="B4" s="2467" t="s">
        <v>609</v>
      </c>
      <c r="C4" s="2468" t="s">
        <v>610</v>
      </c>
      <c r="D4" s="2468" t="s">
        <v>611</v>
      </c>
      <c r="E4" s="3436" t="s">
        <v>612</v>
      </c>
      <c r="F4" s="3453"/>
      <c r="G4" s="3453"/>
      <c r="H4" s="3453"/>
      <c r="I4" s="3454"/>
      <c r="J4" s="2580"/>
      <c r="L4" s="2466" t="str">
        <f>IF(ISNUMBER(FIND("比较法",结果表!C4)),"比较法",IF(ISNUMBER(FIND("成本法",结果表!C4)),"成本法",IF(ISNUMBER(FIND("假设开发法",结果表!C4)),"假设开发法",IF(ISNUMBER(FIND("收益法",结果表!C4)),"收益法","基准地价系数修正法"))))</f>
        <v>收益法</v>
      </c>
      <c r="M4" s="2466" t="str">
        <f>IF(ISNUMBER(FIND("比较法",结果表!D4)),"比较法",IF(ISNUMBER(FIND("成本法",结果表!D4)),"成本法",IF(ISNUMBER(FIND("假设开发法",结果表!D4)),"假设开发法",IF(ISNUMBER(FIND("收益法",结果表!D4)),"收益法","基准地价系数修正法"))))</f>
        <v>比较法</v>
      </c>
      <c r="N4" s="2466"/>
      <c r="O4" s="2466"/>
    </row>
    <row r="5" spans="1:15" ht="12.75">
      <c r="A5" s="3415" t="s">
        <v>613</v>
      </c>
      <c r="B5" s="3415">
        <v>25</v>
      </c>
      <c r="C5" s="3425"/>
      <c r="D5" s="3428"/>
      <c r="E5" s="2259" t="s">
        <v>614</v>
      </c>
      <c r="F5" s="2181"/>
      <c r="G5" s="2181"/>
      <c r="H5" s="2181"/>
      <c r="I5" s="2564"/>
      <c r="J5" s="2580"/>
    </row>
    <row r="6" spans="1:15" ht="12.75">
      <c r="A6" s="3415"/>
      <c r="B6" s="3415"/>
      <c r="C6" s="3426"/>
      <c r="D6" s="3428"/>
      <c r="E6" s="2259" t="s">
        <v>615</v>
      </c>
      <c r="F6" s="2181"/>
      <c r="G6" s="2181"/>
      <c r="H6" s="2181"/>
      <c r="I6" s="2564"/>
      <c r="J6" s="2580"/>
    </row>
    <row r="7" spans="1:15" ht="12.75">
      <c r="A7" s="3415"/>
      <c r="B7" s="3415"/>
      <c r="C7" s="3427"/>
      <c r="D7" s="3428"/>
      <c r="E7" s="2259" t="s">
        <v>616</v>
      </c>
      <c r="F7" s="2181"/>
      <c r="G7" s="2181"/>
      <c r="H7" s="2181"/>
      <c r="I7" s="2564"/>
      <c r="J7" s="2580"/>
    </row>
    <row r="8" spans="1:15" ht="12.75">
      <c r="A8" s="3415" t="s">
        <v>617</v>
      </c>
      <c r="B8" s="3415">
        <v>15</v>
      </c>
      <c r="C8" s="3425"/>
      <c r="D8" s="3428"/>
      <c r="E8" s="2259" t="s">
        <v>618</v>
      </c>
      <c r="F8" s="2181"/>
      <c r="G8" s="2181"/>
      <c r="H8" s="2181"/>
      <c r="I8" s="2564"/>
      <c r="J8" s="2580"/>
    </row>
    <row r="9" spans="1:15" ht="12.75">
      <c r="A9" s="3415"/>
      <c r="B9" s="3415"/>
      <c r="C9" s="3427"/>
      <c r="D9" s="3428"/>
      <c r="E9" s="2259" t="s">
        <v>619</v>
      </c>
      <c r="F9" s="2181"/>
      <c r="G9" s="2181"/>
      <c r="H9" s="2181"/>
      <c r="I9" s="2564"/>
      <c r="J9" s="2580"/>
    </row>
    <row r="10" spans="1:15" ht="12.75">
      <c r="A10" s="3415" t="s">
        <v>620</v>
      </c>
      <c r="B10" s="3415">
        <v>15</v>
      </c>
      <c r="C10" s="3425"/>
      <c r="D10" s="3428"/>
      <c r="E10" s="2259" t="s">
        <v>621</v>
      </c>
      <c r="F10" s="2181"/>
      <c r="G10" s="2181"/>
      <c r="H10" s="2181"/>
      <c r="I10" s="2564"/>
      <c r="J10" s="2580"/>
    </row>
    <row r="11" spans="1:15" ht="12.75">
      <c r="A11" s="3415"/>
      <c r="B11" s="3415"/>
      <c r="C11" s="3427"/>
      <c r="D11" s="3428"/>
      <c r="E11" s="2259" t="s">
        <v>622</v>
      </c>
      <c r="F11" s="2181"/>
      <c r="G11" s="2181"/>
      <c r="H11" s="2181"/>
      <c r="I11" s="2564"/>
      <c r="J11" s="2580"/>
    </row>
    <row r="12" spans="1:15" ht="12.75">
      <c r="A12" s="3415" t="s">
        <v>623</v>
      </c>
      <c r="B12" s="3415">
        <v>15</v>
      </c>
      <c r="C12" s="3425"/>
      <c r="D12" s="3428"/>
      <c r="E12" s="2259" t="s">
        <v>624</v>
      </c>
      <c r="F12" s="2181"/>
      <c r="G12" s="2181"/>
      <c r="H12" s="2181"/>
      <c r="I12" s="2564"/>
      <c r="J12" s="2580"/>
    </row>
    <row r="13" spans="1:15" ht="12.75">
      <c r="A13" s="3415"/>
      <c r="B13" s="3415"/>
      <c r="C13" s="3427"/>
      <c r="D13" s="3428"/>
      <c r="E13" s="2259" t="s">
        <v>625</v>
      </c>
      <c r="F13" s="2181"/>
      <c r="G13" s="2181"/>
      <c r="H13" s="2181"/>
      <c r="I13" s="2564"/>
      <c r="J13" s="2580"/>
    </row>
    <row r="14" spans="1:15" ht="12.75">
      <c r="A14" s="3415" t="s">
        <v>626</v>
      </c>
      <c r="B14" s="3415">
        <v>30</v>
      </c>
      <c r="C14" s="3425">
        <v>2</v>
      </c>
      <c r="D14" s="3428">
        <v>8</v>
      </c>
      <c r="E14" s="2259" t="s">
        <v>627</v>
      </c>
      <c r="F14" s="2181"/>
      <c r="G14" s="2181"/>
      <c r="H14" s="2181"/>
      <c r="I14" s="2564"/>
      <c r="J14" s="2580"/>
    </row>
    <row r="15" spans="1:15" ht="12.75">
      <c r="A15" s="3415"/>
      <c r="B15" s="3415"/>
      <c r="C15" s="3426"/>
      <c r="D15" s="3428"/>
      <c r="E15" s="2259" t="s">
        <v>628</v>
      </c>
      <c r="F15" s="2181"/>
      <c r="G15" s="2181"/>
      <c r="H15" s="2181"/>
      <c r="I15" s="2564"/>
      <c r="J15" s="2580"/>
    </row>
    <row r="16" spans="1:15" ht="12.75">
      <c r="A16" s="3415"/>
      <c r="B16" s="3415"/>
      <c r="C16" s="3427"/>
      <c r="D16" s="3428"/>
      <c r="E16" s="2259" t="s">
        <v>629</v>
      </c>
      <c r="F16" s="2181"/>
      <c r="G16" s="2181"/>
      <c r="H16" s="2181"/>
      <c r="I16" s="2564"/>
      <c r="J16" s="2580"/>
    </row>
    <row r="17" spans="1:36" ht="15">
      <c r="A17" s="2470" t="s">
        <v>630</v>
      </c>
      <c r="B17" s="1202"/>
      <c r="C17" s="2471">
        <f>SUM(C5:C16)</f>
        <v>2</v>
      </c>
      <c r="D17" s="2471">
        <f>SUM(D5:D16)</f>
        <v>8</v>
      </c>
      <c r="E17" s="2472"/>
      <c r="F17" s="2472"/>
      <c r="G17" s="2472"/>
      <c r="H17" s="2472"/>
      <c r="I17" s="2472"/>
      <c r="J17" s="2581"/>
    </row>
    <row r="18" spans="1:36" ht="30" customHeight="1">
      <c r="A18" s="2473" t="s">
        <v>631</v>
      </c>
      <c r="B18" s="2474"/>
      <c r="C18" s="2475">
        <f>ROUND(C17/SUM(C17:D17),2)</f>
        <v>0.2</v>
      </c>
      <c r="D18" s="2475">
        <f>1-C18</f>
        <v>0.8</v>
      </c>
      <c r="E18" s="3508" t="s">
        <v>632</v>
      </c>
      <c r="F18" s="3509"/>
      <c r="G18" s="3509"/>
      <c r="H18" s="3509"/>
      <c r="I18" s="3509"/>
      <c r="J18" s="2581"/>
    </row>
    <row r="19" spans="1:36" ht="15">
      <c r="A19" s="2476" t="s">
        <v>633</v>
      </c>
      <c r="B19" s="2477" t="s">
        <v>634</v>
      </c>
      <c r="C19" s="2478">
        <f ca="1">SUMIF(INDIRECT("'"&amp;C4&amp;"'"&amp;"!A:A"),结果表!B19,INDIRECT("'"&amp;C4&amp;"'"&amp;"!B:B"))</f>
        <v>1176893</v>
      </c>
      <c r="D19" s="2479">
        <f ca="1">SUMIF(INDIRECT("'"&amp;D4&amp;"'"&amp;"!A:A"),结果表!B19,INDIRECT("'"&amp;D4&amp;"'"&amp;"!B:B"))</f>
        <v>2668225</v>
      </c>
      <c r="E19" s="2476" t="s">
        <v>635</v>
      </c>
      <c r="F19" s="2477" t="s">
        <v>634</v>
      </c>
      <c r="G19" s="2480">
        <f ca="1">ROUND(C19*$C$18+D19*$D$18,0)</f>
        <v>2369959</v>
      </c>
      <c r="H19" s="2481" t="str">
        <f>'数据-取费表'!B3</f>
        <v>元</v>
      </c>
      <c r="I19" s="2776"/>
      <c r="J19" s="2777"/>
    </row>
    <row r="20" spans="1:36" ht="15">
      <c r="A20" s="2482"/>
      <c r="B20" s="1215" t="s">
        <v>636</v>
      </c>
      <c r="C20" s="1142">
        <f ca="1">SUMIF(INDIRECT("'"&amp;C4&amp;"'"&amp;"!A:A"),结果表!B20,INDIRECT("'"&amp;C4&amp;"'"&amp;"!B:B"))</f>
        <v>19910</v>
      </c>
      <c r="D20" s="2426">
        <f ca="1">SUMIF(INDIRECT("'"&amp;D4&amp;"'"&amp;"!A:A"),结果表!B20,INDIRECT("'"&amp;D4&amp;"'"&amp;"!B:B"))</f>
        <v>45140</v>
      </c>
      <c r="E20" s="2482"/>
      <c r="F20" s="1215" t="s">
        <v>636</v>
      </c>
      <c r="G20" s="1163">
        <f ca="1">ROUND(C20*$C$18+D20*$D$18,0)</f>
        <v>40094</v>
      </c>
      <c r="H20" s="2483" t="s">
        <v>637</v>
      </c>
      <c r="I20" s="2472"/>
      <c r="J20" s="2581"/>
    </row>
    <row r="21" spans="1:36" ht="15" customHeight="1">
      <c r="A21" s="2484"/>
      <c r="B21" s="2485"/>
      <c r="C21" s="2485"/>
      <c r="D21" s="2486"/>
      <c r="E21" s="2484"/>
      <c r="F21" s="2485"/>
      <c r="G21" s="2487"/>
      <c r="H21" s="2488"/>
      <c r="I21" s="2472"/>
      <c r="J21" s="2581"/>
    </row>
    <row r="22" spans="1:36" ht="14.25">
      <c r="A22" s="2489" t="s">
        <v>638</v>
      </c>
      <c r="B22" s="2490"/>
      <c r="C22" s="2491"/>
      <c r="D22" s="2492">
        <f ca="1">IF(C19&lt;D19,D19/C19-1,C19/D19-1)</f>
        <v>1.267177220019152</v>
      </c>
      <c r="E22" s="2298"/>
      <c r="F22" s="2298"/>
      <c r="G22" s="2298"/>
      <c r="H22" s="2298"/>
      <c r="I22" s="2298"/>
      <c r="J22" s="2581"/>
    </row>
    <row r="23" spans="1:36" ht="12.75">
      <c r="A23" s="2472"/>
      <c r="B23" s="2472"/>
      <c r="C23" s="2472"/>
      <c r="D23" s="2472"/>
      <c r="E23" s="2298"/>
      <c r="F23" s="2298"/>
      <c r="G23" s="2298"/>
      <c r="H23" s="2298"/>
      <c r="I23" s="2298"/>
      <c r="J23" s="2581"/>
    </row>
    <row r="24" spans="1:36" ht="21.75" customHeight="1">
      <c r="A24" s="3416" t="s">
        <v>639</v>
      </c>
      <c r="B24" s="2477" t="s">
        <v>634</v>
      </c>
      <c r="C24" s="2480">
        <f>D30</f>
        <v>0</v>
      </c>
      <c r="D24" s="2493"/>
      <c r="E24" s="2298"/>
      <c r="F24" s="2298"/>
      <c r="G24" s="2298"/>
      <c r="H24" s="2298"/>
      <c r="I24" s="2298"/>
      <c r="J24" s="2581"/>
    </row>
    <row r="25" spans="1:36" ht="21.75" customHeight="1">
      <c r="A25" s="3417"/>
      <c r="B25" s="1215" t="s">
        <v>636</v>
      </c>
      <c r="C25" s="2494">
        <f>IF(B30=0,0,C30)</f>
        <v>0</v>
      </c>
      <c r="D25" s="2495"/>
      <c r="E25" s="2298"/>
      <c r="F25" s="2298"/>
      <c r="G25" s="2298"/>
      <c r="H25" s="2298"/>
      <c r="I25" s="2298"/>
      <c r="J25" s="2581"/>
    </row>
    <row r="26" spans="1:36" ht="13.5" customHeight="1">
      <c r="A26" s="2496" t="s">
        <v>640</v>
      </c>
      <c r="B26" s="2497" t="s">
        <v>641</v>
      </c>
      <c r="C26" s="2497" t="s">
        <v>642</v>
      </c>
      <c r="D26" s="2498" t="s">
        <v>643</v>
      </c>
      <c r="E26" s="2298"/>
      <c r="F26" s="2298"/>
      <c r="G26" s="2298"/>
      <c r="H26" s="2298"/>
      <c r="I26" s="2298"/>
      <c r="J26" s="2581"/>
    </row>
    <row r="27" spans="1:36" ht="14.25">
      <c r="A27" s="2499"/>
      <c r="B27" s="2497">
        <v>0</v>
      </c>
      <c r="C27" s="2497">
        <v>0</v>
      </c>
      <c r="D27" s="2498">
        <f>ROUND(C27*B27/10000,0)</f>
        <v>0</v>
      </c>
      <c r="E27" s="2298"/>
      <c r="F27" s="2298"/>
      <c r="G27" s="2298"/>
      <c r="H27" s="2298"/>
      <c r="I27" s="2298"/>
      <c r="J27" s="2581"/>
    </row>
    <row r="28" spans="1:36" ht="14.25">
      <c r="A28" s="2496"/>
      <c r="B28" s="2497"/>
      <c r="C28" s="2497"/>
      <c r="D28" s="2498">
        <f t="shared" ref="D28:D29" si="0">ROUND(C28*B28/10000,0)</f>
        <v>0</v>
      </c>
      <c r="E28" s="2298"/>
      <c r="F28" s="2298"/>
      <c r="G28" s="2298"/>
      <c r="H28" s="2298"/>
      <c r="I28" s="2298"/>
      <c r="J28" s="2581"/>
    </row>
    <row r="29" spans="1:36" ht="14.25">
      <c r="A29" s="2496"/>
      <c r="B29" s="2497"/>
      <c r="C29" s="2497"/>
      <c r="D29" s="2498">
        <f t="shared" si="0"/>
        <v>0</v>
      </c>
      <c r="E29" s="2298"/>
      <c r="F29" s="2298"/>
      <c r="G29" s="2298"/>
      <c r="H29" s="2298"/>
      <c r="I29" s="2298"/>
      <c r="J29" s="2581"/>
    </row>
    <row r="30" spans="1:36" ht="14.25">
      <c r="A30" s="2501" t="s">
        <v>644</v>
      </c>
      <c r="B30" s="2501"/>
      <c r="C30" s="2501"/>
      <c r="D30" s="2501"/>
      <c r="E30" s="2502" t="s">
        <v>645</v>
      </c>
      <c r="F30" s="2472"/>
      <c r="G30" s="2472"/>
      <c r="H30" s="2472"/>
      <c r="I30" s="2472"/>
      <c r="J30" s="2581"/>
    </row>
    <row r="31" spans="1:36" s="2459" customFormat="1" ht="26.45" customHeight="1">
      <c r="A31" s="2503"/>
      <c r="B31" s="2504"/>
      <c r="C31" s="2504"/>
      <c r="D31" s="2504"/>
      <c r="E31" s="2504"/>
      <c r="F31" s="2504"/>
      <c r="G31" s="2504"/>
      <c r="H31" s="2504"/>
      <c r="I31" s="2582" t="s">
        <v>646</v>
      </c>
      <c r="J31" s="2583"/>
      <c r="K31" s="2584"/>
      <c r="L31" s="2584"/>
      <c r="M31" s="2584"/>
      <c r="N31" s="2584"/>
      <c r="O31" s="2584"/>
      <c r="P31" s="2584"/>
      <c r="Q31" s="2584"/>
      <c r="R31" s="2584"/>
      <c r="S31" s="2584"/>
      <c r="T31" s="2584"/>
      <c r="U31" s="2584"/>
      <c r="V31" s="2584"/>
      <c r="W31" s="2584"/>
      <c r="X31" s="2584"/>
      <c r="Y31" s="2584"/>
      <c r="Z31" s="2584"/>
      <c r="AA31" s="2584"/>
      <c r="AB31" s="2621"/>
      <c r="AC31" s="2621"/>
      <c r="AD31" s="2621"/>
      <c r="AE31" s="2621"/>
      <c r="AF31" s="2621"/>
      <c r="AG31" s="2621"/>
      <c r="AH31" s="2621"/>
      <c r="AI31" s="2621"/>
      <c r="AJ31" s="2621"/>
    </row>
    <row r="32" spans="1:36" s="2746" customFormat="1" ht="15">
      <c r="A32" s="2747" t="s">
        <v>647</v>
      </c>
      <c r="B32" s="2748" t="str">
        <f>'数据-取费表'!B4</f>
        <v>楼面单价</v>
      </c>
      <c r="C32" s="2749">
        <f ca="1">IF(B32="总价",G19-C24,G20-C25)</f>
        <v>40094</v>
      </c>
      <c r="D32" s="2750" t="str">
        <f>IF(B32="楼面单价","元/平方米",H19)</f>
        <v>元/平方米</v>
      </c>
      <c r="E32" s="2751"/>
      <c r="F32" s="2751"/>
      <c r="G32" s="2751"/>
      <c r="H32" s="2751"/>
      <c r="I32" s="2751"/>
      <c r="J32" s="2778"/>
      <c r="K32" s="2779"/>
      <c r="L32" s="2779"/>
      <c r="M32" s="2779"/>
      <c r="N32" s="2779"/>
      <c r="O32" s="2779"/>
      <c r="P32" s="2779"/>
      <c r="Q32" s="2779"/>
      <c r="R32" s="2779"/>
      <c r="S32" s="2779"/>
      <c r="T32" s="2779"/>
      <c r="U32" s="2779"/>
      <c r="V32" s="2779"/>
      <c r="W32" s="2779"/>
      <c r="X32" s="2779"/>
      <c r="Y32" s="2779"/>
      <c r="Z32" s="2779"/>
      <c r="AA32" s="2779"/>
      <c r="AB32" s="2807"/>
      <c r="AC32" s="2807"/>
      <c r="AD32" s="2807"/>
      <c r="AE32" s="2807"/>
      <c r="AF32" s="2807"/>
      <c r="AG32" s="2807"/>
      <c r="AH32" s="2807"/>
      <c r="AI32" s="2807"/>
      <c r="AJ32" s="2807"/>
    </row>
    <row r="33" spans="1:17" ht="15">
      <c r="A33" s="2752" t="s">
        <v>648</v>
      </c>
      <c r="B33" s="2183"/>
      <c r="C33" s="2753"/>
      <c r="D33" s="2754"/>
      <c r="E33" s="2755" t="s">
        <v>649</v>
      </c>
      <c r="F33" s="2756" t="str">
        <f>IF(B32="楼面单价","取值（单价）","取值（总价）")</f>
        <v>取值（单价）</v>
      </c>
      <c r="G33" s="2298"/>
      <c r="H33" s="2298"/>
      <c r="I33" s="2298"/>
      <c r="J33" s="2581"/>
    </row>
    <row r="34" spans="1:17" ht="15">
      <c r="A34" s="2757"/>
      <c r="B34" s="2758" t="s">
        <v>650</v>
      </c>
      <c r="C34" s="2759">
        <f ca="1">IF(D33="自定义",F34,C32-C35)</f>
        <v>35323</v>
      </c>
      <c r="D34" s="2760">
        <f ca="1">IF(D33="自定义",ROUND(C34/C32,3),1-D35)</f>
        <v>0.88100000000000001</v>
      </c>
      <c r="E34" s="2761" t="s">
        <v>651</v>
      </c>
      <c r="F34" s="2762">
        <v>2000</v>
      </c>
      <c r="G34" s="2298"/>
      <c r="H34" s="2298"/>
      <c r="I34" s="2298"/>
      <c r="J34" s="2581"/>
    </row>
    <row r="35" spans="1:17" ht="15">
      <c r="A35" s="2517"/>
      <c r="B35" s="2763" t="s">
        <v>652</v>
      </c>
      <c r="C35" s="2764">
        <f ca="1">IF(D33="自定义",F35,ROUND(C32*D35,0))</f>
        <v>4771</v>
      </c>
      <c r="D35" s="2765">
        <f ca="1">IF(D33="自定义",ROUND(C35/C32,3),IF(D33="成本法成本比率",成本法!C56,IF(D33="收益法收益比率",收益法!J38,收益法!J41)))</f>
        <v>0.11899999999999999</v>
      </c>
      <c r="E35" s="2766" t="s">
        <v>653</v>
      </c>
      <c r="F35" s="2537">
        <v>4460</v>
      </c>
      <c r="G35" s="2298"/>
      <c r="H35" s="2298"/>
      <c r="I35" s="2298"/>
      <c r="J35" s="2581"/>
    </row>
    <row r="36" spans="1:17" ht="15">
      <c r="A36" s="3416" t="s">
        <v>654</v>
      </c>
      <c r="B36" s="2515" t="s">
        <v>655</v>
      </c>
      <c r="C36" s="2520">
        <v>0</v>
      </c>
      <c r="D36" s="2521"/>
      <c r="E36" s="2522"/>
      <c r="F36" s="2522"/>
      <c r="G36" s="2298"/>
      <c r="H36" s="2298"/>
      <c r="I36" s="2298"/>
      <c r="J36" s="2581"/>
    </row>
    <row r="37" spans="1:17" ht="15">
      <c r="A37" s="3418"/>
      <c r="B37" s="1202" t="s">
        <v>656</v>
      </c>
      <c r="C37" s="2523">
        <v>0</v>
      </c>
      <c r="D37" s="2524"/>
      <c r="E37" s="2524"/>
      <c r="F37" s="2522"/>
      <c r="G37" s="2524"/>
      <c r="H37" s="2524"/>
      <c r="I37" s="2524"/>
      <c r="J37" s="2586"/>
    </row>
    <row r="38" spans="1:17" ht="15">
      <c r="A38" s="3419"/>
      <c r="B38" s="2518" t="s">
        <v>657</v>
      </c>
      <c r="C38" s="2525">
        <v>0</v>
      </c>
      <c r="D38" s="2526" t="s">
        <v>658</v>
      </c>
      <c r="E38" s="2524"/>
      <c r="F38" s="2522"/>
      <c r="G38" s="2524"/>
      <c r="H38" s="2524"/>
      <c r="I38" s="2524"/>
      <c r="J38" s="2586"/>
    </row>
    <row r="39" spans="1:17" ht="15">
      <c r="A39" s="2482" t="s">
        <v>659</v>
      </c>
      <c r="B39" s="2527" t="s">
        <v>641</v>
      </c>
      <c r="C39" s="2528" t="s">
        <v>642</v>
      </c>
      <c r="D39" s="2528" t="s">
        <v>660</v>
      </c>
      <c r="E39" s="2529" t="s">
        <v>643</v>
      </c>
      <c r="F39" s="2522"/>
      <c r="G39" s="2524"/>
      <c r="H39" s="2524"/>
      <c r="I39" s="2524"/>
      <c r="J39" s="2586"/>
    </row>
    <row r="40" spans="1:17" ht="14.25">
      <c r="A40" s="2530" t="s">
        <v>661</v>
      </c>
      <c r="B40" s="2531"/>
      <c r="C40" s="2532"/>
      <c r="D40" s="2532"/>
      <c r="E40" s="2533"/>
      <c r="F40" s="2522"/>
      <c r="G40" s="2524"/>
      <c r="H40" s="2524"/>
      <c r="I40" s="2524"/>
      <c r="J40" s="2586"/>
    </row>
    <row r="41" spans="1:17" ht="14.25">
      <c r="A41" s="2530" t="s">
        <v>662</v>
      </c>
      <c r="B41" s="2531"/>
      <c r="C41" s="2532"/>
      <c r="D41" s="2532"/>
      <c r="E41" s="2533"/>
      <c r="F41" s="2522"/>
      <c r="G41" s="2524"/>
      <c r="H41" s="2524"/>
      <c r="I41" s="2524"/>
      <c r="J41" s="2586"/>
    </row>
    <row r="42" spans="1:17" ht="14.25">
      <c r="A42" s="2534"/>
      <c r="B42" s="2535"/>
      <c r="C42" s="2536"/>
      <c r="D42" s="2536"/>
      <c r="E42" s="2537"/>
      <c r="F42" s="2522"/>
      <c r="G42" s="2524"/>
      <c r="H42" s="2524"/>
      <c r="I42" s="2524"/>
      <c r="J42" s="2586"/>
    </row>
    <row r="43" spans="1:17" ht="12.75">
      <c r="A43" s="2576"/>
      <c r="B43" s="2576"/>
      <c r="C43" s="2576"/>
      <c r="D43" s="2576"/>
      <c r="E43" s="2576"/>
      <c r="F43" s="2767"/>
      <c r="G43" s="2767"/>
      <c r="H43" s="2767"/>
      <c r="I43" s="2780"/>
      <c r="J43" s="2588"/>
    </row>
    <row r="44" spans="1:17" ht="18.75">
      <c r="A44" s="2540" t="s">
        <v>663</v>
      </c>
      <c r="B44" s="2541"/>
      <c r="C44" s="2541"/>
      <c r="D44" s="2768"/>
      <c r="E44" s="2768"/>
      <c r="F44" s="2769"/>
      <c r="G44" s="2769"/>
      <c r="H44" s="2769"/>
      <c r="I44" s="2589" t="s">
        <v>664</v>
      </c>
      <c r="J44" s="2781"/>
      <c r="K44" s="2591" t="s">
        <v>665</v>
      </c>
      <c r="L44" s="2592"/>
      <c r="M44" s="2592"/>
      <c r="N44" s="2592"/>
      <c r="O44" s="2592"/>
      <c r="P44" s="2592"/>
      <c r="Q44" s="2462"/>
    </row>
    <row r="45" spans="1:17" ht="14.25" customHeight="1">
      <c r="A45" s="3433" t="s">
        <v>666</v>
      </c>
      <c r="B45" s="3434"/>
      <c r="C45" s="3407"/>
      <c r="D45" s="2159">
        <f ca="1">ROUND(I102*F45,0)</f>
        <v>2369956</v>
      </c>
      <c r="E45" s="2247" t="s">
        <v>667</v>
      </c>
      <c r="F45" s="2543">
        <v>1</v>
      </c>
      <c r="G45" s="2544" t="s">
        <v>668</v>
      </c>
      <c r="H45" s="2298"/>
      <c r="I45" s="2298"/>
      <c r="J45" s="2581"/>
      <c r="K45" s="3510" t="s">
        <v>669</v>
      </c>
      <c r="L45" s="3510"/>
      <c r="M45" s="3510"/>
      <c r="N45" s="3510"/>
      <c r="O45" s="3510"/>
      <c r="P45" s="3510"/>
      <c r="Q45" s="2462"/>
    </row>
    <row r="46" spans="1:17" ht="14.25" customHeight="1">
      <c r="A46" s="3511" t="s">
        <v>670</v>
      </c>
      <c r="B46" s="3512"/>
      <c r="C46" s="3512"/>
      <c r="D46" s="3512"/>
      <c r="E46" s="3512"/>
      <c r="F46" s="3512"/>
      <c r="G46" s="3513"/>
      <c r="H46" s="2545"/>
      <c r="I46" s="2298"/>
      <c r="J46" s="2581"/>
      <c r="K46" s="2782">
        <v>1</v>
      </c>
      <c r="L46" s="3498" t="s">
        <v>97</v>
      </c>
      <c r="M46" s="3498"/>
      <c r="N46" s="3504" t="str">
        <f>项目基本情况!B1</f>
        <v>北京市预评估</v>
      </c>
      <c r="O46" s="3504"/>
      <c r="P46" s="3504"/>
      <c r="Q46" s="2462"/>
    </row>
    <row r="47" spans="1:17" ht="12" customHeight="1">
      <c r="A47" s="2546" t="s">
        <v>671</v>
      </c>
      <c r="B47" s="2547"/>
      <c r="C47" s="2548"/>
      <c r="D47" s="2197" t="s">
        <v>672</v>
      </c>
      <c r="E47" s="2147" t="s">
        <v>673</v>
      </c>
      <c r="F47" s="2357" t="s">
        <v>674</v>
      </c>
      <c r="G47" s="2549" t="s">
        <v>675</v>
      </c>
      <c r="H47" s="2545"/>
      <c r="I47" s="2298"/>
      <c r="J47" s="2581"/>
      <c r="K47" s="2782">
        <v>2</v>
      </c>
      <c r="L47" s="3498" t="s">
        <v>676</v>
      </c>
      <c r="M47" s="3498"/>
      <c r="N47" s="3502">
        <f>'数据-取费表'!B2</f>
        <v>44873</v>
      </c>
      <c r="O47" s="3502"/>
      <c r="P47" s="3502"/>
      <c r="Q47" s="2462"/>
    </row>
    <row r="48" spans="1:17" ht="25.5">
      <c r="A48" s="3503" t="s">
        <v>677</v>
      </c>
      <c r="B48" s="3429"/>
      <c r="C48" s="3429"/>
      <c r="D48" s="2259">
        <f ca="1">IF(H48="情况1",0,IF(H48="情况2",D52,IF(H48="情况3",D53,IF(H48="情况4",D54))))</f>
        <v>126398</v>
      </c>
      <c r="E48" s="2202" t="str">
        <f>IF(H48="情况4","(销售额-原购置价)×税（费）率","销售额×税（费）率")</f>
        <v>销售额×税（费）率</v>
      </c>
      <c r="F48" s="2551">
        <f>IF(H48="情况1","免征",'数据-取费表'!E29)</f>
        <v>5.6000000000000001E-2</v>
      </c>
      <c r="G48" s="2552" t="s">
        <v>678</v>
      </c>
      <c r="H48" s="2553" t="s">
        <v>679</v>
      </c>
      <c r="I48" s="2545"/>
      <c r="J48" s="2595"/>
      <c r="K48" s="2782">
        <v>3</v>
      </c>
      <c r="L48" s="3498" t="s">
        <v>680</v>
      </c>
      <c r="M48" s="3498"/>
      <c r="N48" s="3504">
        <f ca="1">I102</f>
        <v>2369956</v>
      </c>
      <c r="O48" s="3504"/>
      <c r="P48" s="3504"/>
      <c r="Q48" s="2462"/>
    </row>
    <row r="49" spans="1:17" ht="25.5" customHeight="1">
      <c r="A49" s="2550" t="s">
        <v>681</v>
      </c>
      <c r="B49" s="3453" t="s">
        <v>682</v>
      </c>
      <c r="C49" s="3453"/>
      <c r="D49" s="2554">
        <v>0</v>
      </c>
      <c r="E49" s="2208" t="s">
        <v>683</v>
      </c>
      <c r="F49" s="2555" t="s">
        <v>121</v>
      </c>
      <c r="G49" s="3499"/>
      <c r="H49" s="2556" t="s">
        <v>684</v>
      </c>
      <c r="I49" s="2596"/>
      <c r="J49" s="2597"/>
      <c r="K49" s="2782">
        <v>4</v>
      </c>
      <c r="L49" s="3498" t="str">
        <f>IF(项目基本情况!F5="房地产抵押价值","房地产抵押价值","抵押担保权已注销时的房地产抵押价值")</f>
        <v>抵押担保权已注销时的房地产抵押价值</v>
      </c>
      <c r="M49" s="3498"/>
      <c r="N49" s="3504" t="str">
        <f>IF(项目基本情况!F5="房地产抵押价值",I110,I112)</f>
        <v>——</v>
      </c>
      <c r="O49" s="3504"/>
      <c r="P49" s="3504"/>
      <c r="Q49" s="2462"/>
    </row>
    <row r="50" spans="1:17" ht="25.5" customHeight="1">
      <c r="A50" s="2557"/>
      <c r="B50" s="3453" t="s">
        <v>685</v>
      </c>
      <c r="C50" s="3453"/>
      <c r="D50" s="2558"/>
      <c r="E50" s="2218"/>
      <c r="F50" s="2555"/>
      <c r="G50" s="3500"/>
      <c r="H50" s="2559" t="s">
        <v>686</v>
      </c>
      <c r="I50" s="2596"/>
      <c r="J50" s="2597"/>
      <c r="K50" s="3498" t="s">
        <v>687</v>
      </c>
      <c r="L50" s="3498"/>
      <c r="M50" s="3498"/>
      <c r="N50" s="3498"/>
      <c r="O50" s="3498"/>
      <c r="P50" s="3498"/>
      <c r="Q50" s="2462"/>
    </row>
    <row r="51" spans="1:17" ht="20.45" customHeight="1">
      <c r="A51" s="2560"/>
      <c r="B51" s="3453" t="s">
        <v>688</v>
      </c>
      <c r="C51" s="3453"/>
      <c r="D51" s="2197"/>
      <c r="E51" s="430"/>
      <c r="F51" s="2555"/>
      <c r="G51" s="3501"/>
      <c r="H51" s="2559" t="s">
        <v>689</v>
      </c>
      <c r="I51" s="2596"/>
      <c r="J51" s="2597"/>
      <c r="K51" s="2783" t="s">
        <v>690</v>
      </c>
      <c r="L51" s="3498" t="s">
        <v>691</v>
      </c>
      <c r="M51" s="3498"/>
      <c r="N51" s="2783" t="s">
        <v>692</v>
      </c>
      <c r="O51" s="2783" t="s">
        <v>693</v>
      </c>
      <c r="P51" s="2783" t="s">
        <v>694</v>
      </c>
      <c r="Q51" s="2462"/>
    </row>
    <row r="52" spans="1:17" ht="24" customHeight="1">
      <c r="A52" s="2561" t="s">
        <v>695</v>
      </c>
      <c r="B52" s="3453" t="s">
        <v>696</v>
      </c>
      <c r="C52" s="3453"/>
      <c r="D52" s="2197">
        <f ca="1">ROUND(D45*'数据-取费表'!E29/(1+'数据-取费表'!F30),0)</f>
        <v>126398</v>
      </c>
      <c r="E52" s="2202" t="s">
        <v>697</v>
      </c>
      <c r="F52" s="2562">
        <f>'数据-取费表'!E29</f>
        <v>5.6000000000000001E-2</v>
      </c>
      <c r="G52" s="2563"/>
      <c r="H52" s="2298"/>
      <c r="I52" s="2598"/>
      <c r="J52" s="2597"/>
      <c r="K52" s="2782">
        <v>1</v>
      </c>
      <c r="L52" s="3405" t="s">
        <v>698</v>
      </c>
      <c r="M52" s="3405"/>
      <c r="N52" s="2784">
        <f ca="1">D48</f>
        <v>126398</v>
      </c>
      <c r="O52" s="2782" t="str">
        <f>E48</f>
        <v>销售额×税（费）率</v>
      </c>
      <c r="P52" s="2785">
        <f>F48</f>
        <v>5.6000000000000001E-2</v>
      </c>
      <c r="Q52" s="2462"/>
    </row>
    <row r="53" spans="1:17" ht="12" customHeight="1">
      <c r="A53" s="2561" t="s">
        <v>699</v>
      </c>
      <c r="B53" s="3436" t="s">
        <v>700</v>
      </c>
      <c r="C53" s="3454"/>
      <c r="D53" s="2197">
        <f ca="1">ROUND(D45*'数据-取费表'!E29/(1+'数据-取费表'!F30),0)</f>
        <v>126398</v>
      </c>
      <c r="E53" s="2202" t="s">
        <v>697</v>
      </c>
      <c r="F53" s="2562">
        <f>'数据-取费表'!E29</f>
        <v>5.6000000000000001E-2</v>
      </c>
      <c r="G53" s="2563"/>
      <c r="H53" s="2298"/>
      <c r="I53" s="2598"/>
      <c r="J53" s="2597"/>
      <c r="K53" s="2782">
        <v>2</v>
      </c>
      <c r="L53" s="3405" t="s">
        <v>701</v>
      </c>
      <c r="M53" s="3405"/>
      <c r="N53" s="2784">
        <f t="shared" ref="N53:P54" si="1">D55</f>
        <v>0</v>
      </c>
      <c r="O53" s="2782" t="str">
        <f t="shared" si="1"/>
        <v>销售额×税（费）率</v>
      </c>
      <c r="P53" s="2785" t="str">
        <f t="shared" si="1"/>
        <v>免征</v>
      </c>
      <c r="Q53" s="2462"/>
    </row>
    <row r="54" spans="1:17" ht="12" customHeight="1">
      <c r="A54" s="2561" t="s">
        <v>702</v>
      </c>
      <c r="B54" s="3436" t="s">
        <v>703</v>
      </c>
      <c r="C54" s="3454"/>
      <c r="D54" s="2197">
        <f ca="1">C68</f>
        <v>126398</v>
      </c>
      <c r="E54" s="430" t="s">
        <v>704</v>
      </c>
      <c r="F54" s="2562">
        <f>'数据-取费表'!E29</f>
        <v>5.6000000000000001E-2</v>
      </c>
      <c r="G54" s="2563"/>
      <c r="H54" s="2565"/>
      <c r="I54" s="2598"/>
      <c r="J54" s="2597"/>
      <c r="K54" s="2782">
        <v>3</v>
      </c>
      <c r="L54" s="3405" t="s">
        <v>705</v>
      </c>
      <c r="M54" s="3405"/>
      <c r="N54" s="2784">
        <f t="shared" si="1"/>
        <v>0</v>
      </c>
      <c r="O54" s="2782" t="str">
        <f t="shared" si="1"/>
        <v>增值额×税（费）率</v>
      </c>
      <c r="P54" s="2786" t="str">
        <f t="shared" si="1"/>
        <v>免征</v>
      </c>
      <c r="Q54" s="2462"/>
    </row>
    <row r="55" spans="1:17" ht="24" customHeight="1">
      <c r="A55" s="3422" t="s">
        <v>706</v>
      </c>
      <c r="B55" s="3429"/>
      <c r="C55" s="3429"/>
      <c r="D55" s="2259">
        <f>IF(H55="个人住宅",0,ROUND(D45*I55,0))</f>
        <v>0</v>
      </c>
      <c r="E55" s="2202" t="s">
        <v>707</v>
      </c>
      <c r="F55" s="2562" t="str">
        <f>IF(H55="正常",I55,"免征")</f>
        <v>免征</v>
      </c>
      <c r="G55" s="2563"/>
      <c r="H55" s="2553" t="s">
        <v>708</v>
      </c>
      <c r="I55" s="2602">
        <f>'数据-取费表'!E37</f>
        <v>5.0000000000000001E-4</v>
      </c>
      <c r="J55" s="2597"/>
      <c r="K55" s="2782" t="str">
        <f>IF(H59="非个人房产","",4)</f>
        <v/>
      </c>
      <c r="L55" s="3405" t="str">
        <f>IF(H59="非个人房产","——","个人所得税")</f>
        <v>——</v>
      </c>
      <c r="M55" s="3405"/>
      <c r="N55" s="2787" t="str">
        <f>D59</f>
        <v>——</v>
      </c>
      <c r="O55" s="2788" t="str">
        <f>E59</f>
        <v>——</v>
      </c>
      <c r="P55" s="2789" t="str">
        <f>F59</f>
        <v>——</v>
      </c>
      <c r="Q55" s="2462"/>
    </row>
    <row r="56" spans="1:17" ht="24.75">
      <c r="A56" s="3422" t="s">
        <v>709</v>
      </c>
      <c r="B56" s="3429"/>
      <c r="C56" s="3429"/>
      <c r="D56" s="2259">
        <f>IF(H56="个人住宅",D57,D58)</f>
        <v>0</v>
      </c>
      <c r="E56" s="2202" t="s">
        <v>710</v>
      </c>
      <c r="F56" s="2562" t="str">
        <f>IF(H56="正常",F58,"免征")</f>
        <v>免征</v>
      </c>
      <c r="G56" s="2566" t="s">
        <v>711</v>
      </c>
      <c r="H56" s="2567" t="s">
        <v>708</v>
      </c>
      <c r="I56" s="2568"/>
      <c r="J56" s="2597"/>
      <c r="K56" s="2782" t="str">
        <f>IF(项目基本情况!I6="上海银行",IF(K55="",4,K55+1),"")</f>
        <v/>
      </c>
      <c r="L56" s="3492" t="str">
        <f>IF(项目基本情况!I6="上海银行","其他处置费用","")</f>
        <v/>
      </c>
      <c r="M56" s="3493"/>
      <c r="N56" s="2784" t="str">
        <f>IF(项目基本情况!I6="上海银行",N69,"")</f>
        <v/>
      </c>
      <c r="O56" s="3492" t="str">
        <f>IF(项目基本情况!I6="上海银行","包含处置中涉及的律师、诉讼、拍卖、评估等费用","")</f>
        <v/>
      </c>
      <c r="P56" s="3494"/>
      <c r="Q56" s="2462"/>
    </row>
    <row r="57" spans="1:17" ht="12.75">
      <c r="A57" s="2561" t="s">
        <v>681</v>
      </c>
      <c r="B57" s="3436" t="s">
        <v>712</v>
      </c>
      <c r="C57" s="3454"/>
      <c r="D57" s="2554">
        <v>0</v>
      </c>
      <c r="E57" s="2208" t="s">
        <v>683</v>
      </c>
      <c r="F57" s="2147"/>
      <c r="G57" s="2563"/>
      <c r="H57" s="2568"/>
      <c r="I57" s="2568"/>
      <c r="J57" s="2597"/>
      <c r="K57" s="3405">
        <f>IF(AND(K55="",K56=""),4,IF(项目基本情况!I6="上海银行",K56+1,K55+1))</f>
        <v>4</v>
      </c>
      <c r="L57" s="3405" t="s">
        <v>431</v>
      </c>
      <c r="M57" s="2790" t="s">
        <v>713</v>
      </c>
      <c r="N57" s="2791"/>
      <c r="O57" s="2792">
        <f ca="1">SUMIF(N52:N56,"&lt;9e307")</f>
        <v>126398</v>
      </c>
      <c r="P57" s="2793"/>
      <c r="Q57" s="2620" t="e">
        <f ca="1">O57/N49</f>
        <v>#VALUE!</v>
      </c>
    </row>
    <row r="58" spans="1:17" ht="24.75">
      <c r="A58" s="2561" t="s">
        <v>695</v>
      </c>
      <c r="B58" s="3436" t="s">
        <v>714</v>
      </c>
      <c r="C58" s="3453"/>
      <c r="D58" s="2259">
        <f ca="1">IF(H58="转让取得",C81,C97)</f>
        <v>1341395</v>
      </c>
      <c r="E58" s="2202" t="s">
        <v>710</v>
      </c>
      <c r="F58" s="2147" t="s">
        <v>121</v>
      </c>
      <c r="G58" s="2563"/>
      <c r="H58" s="2567" t="s">
        <v>715</v>
      </c>
      <c r="I58" s="2568"/>
      <c r="J58" s="2597"/>
      <c r="K58" s="3405"/>
      <c r="L58" s="3405"/>
      <c r="M58" s="2790" t="s">
        <v>716</v>
      </c>
      <c r="N58" s="2794"/>
      <c r="O58" s="2795" t="str">
        <f ca="1">IF(H19="元",NUMBERSTRING(INT(O57),2)&amp;"元整",NUMBERSTRING(INT(O57*10000),2)&amp;"元整")</f>
        <v>壹拾贰万陆仟叁佰玖拾捌元整</v>
      </c>
      <c r="P58" s="2796"/>
      <c r="Q58" s="2462"/>
    </row>
    <row r="59" spans="1:17" ht="24">
      <c r="A59" s="3440" t="s">
        <v>717</v>
      </c>
      <c r="B59" s="3441"/>
      <c r="C59" s="3441"/>
      <c r="D59" s="2770" t="str">
        <f>IF(H59="非个人房产","——",IF(H59="个人住宅（满五唯一有凭证）",0,IF(H59="个人其他（无凭证）",ROUND(D45*F59,0),ROUND(C67*F59,0))))</f>
        <v>——</v>
      </c>
      <c r="E59" s="2570" t="str">
        <f>IF(H59="非个人房产","——",IF(H59="个人其他（无凭证）","销售额×税（费）率",IF(H59="个人住宅（满五唯一有凭证）","免征","差额计税")))</f>
        <v>——</v>
      </c>
      <c r="F59" s="2771" t="str">
        <f>IF(OR(H59="非个人房产",H59="个人住宅（满五唯一有凭证）"),"——",IF(H59="个人其他（有凭证）",20%,1%))</f>
        <v>——</v>
      </c>
      <c r="G59" s="2573" t="s">
        <v>718</v>
      </c>
      <c r="H59" s="2574" t="s">
        <v>719</v>
      </c>
      <c r="I59" s="2797" t="s">
        <v>720</v>
      </c>
      <c r="J59" s="2597"/>
      <c r="K59" s="3496">
        <f>K57+1</f>
        <v>5</v>
      </c>
      <c r="L59" s="3405" t="s">
        <v>587</v>
      </c>
      <c r="M59" s="2782" t="s">
        <v>713</v>
      </c>
      <c r="N59" s="2798"/>
      <c r="O59" s="2799" t="e">
        <f ca="1">N49-O57</f>
        <v>#VALUE!</v>
      </c>
      <c r="P59" s="2800"/>
      <c r="Q59" s="2462"/>
    </row>
    <row r="60" spans="1:17" ht="12" customHeight="1">
      <c r="A60" s="2575"/>
      <c r="B60" s="2466"/>
      <c r="C60" s="2466"/>
      <c r="D60" s="2466"/>
      <c r="E60" s="2673"/>
      <c r="F60" s="2772"/>
      <c r="G60" s="2772"/>
      <c r="H60" s="2773"/>
      <c r="I60" s="1650"/>
      <c r="K60" s="3497"/>
      <c r="L60" s="3405"/>
      <c r="M60" s="2790" t="s">
        <v>716</v>
      </c>
      <c r="N60" s="2794"/>
      <c r="O60" s="2795" t="e">
        <f ca="1">IF(H19="元",NUMBERSTRING(INT(O59),2)&amp;"元整",NUMBERSTRING(INT(O59*10000),2)&amp;"元整")</f>
        <v>#VALUE!</v>
      </c>
      <c r="P60" s="2796"/>
      <c r="Q60" s="2462"/>
    </row>
    <row r="61" spans="1:17" ht="12.75">
      <c r="A61" s="3495" t="s">
        <v>721</v>
      </c>
      <c r="B61" s="3495"/>
      <c r="C61" s="3495"/>
      <c r="D61" s="3495"/>
      <c r="E61" s="3495"/>
      <c r="F61" s="2772"/>
      <c r="G61" s="2772"/>
      <c r="H61" s="2774"/>
      <c r="I61" s="1650"/>
      <c r="K61" s="2782">
        <f>K59+1</f>
        <v>6</v>
      </c>
      <c r="L61" s="3405" t="s">
        <v>722</v>
      </c>
      <c r="M61" s="3405"/>
      <c r="N61" s="2801"/>
      <c r="O61" s="2802" t="e">
        <f ca="1">IF(H19="元",ROUND(O59/项目基本情况!C12,0),ROUND(O59*10000/项目基本情况!C12,0))</f>
        <v>#VALUE!</v>
      </c>
      <c r="P61" s="2803"/>
      <c r="Q61" s="2462"/>
    </row>
    <row r="62" spans="1:17" ht="12.75">
      <c r="A62" s="3488" t="s">
        <v>723</v>
      </c>
      <c r="B62" s="3489"/>
      <c r="C62" s="409"/>
      <c r="D62" s="409" t="s">
        <v>724</v>
      </c>
      <c r="E62" s="2577" t="s">
        <v>675</v>
      </c>
      <c r="F62" s="2772"/>
      <c r="G62" s="2772"/>
      <c r="H62" s="2774"/>
      <c r="I62" s="1650"/>
      <c r="K62" s="2804"/>
      <c r="L62" s="2804"/>
      <c r="M62" s="2804"/>
      <c r="N62" s="2804"/>
      <c r="O62" s="2804"/>
      <c r="P62" s="2804"/>
      <c r="Q62" s="2462"/>
    </row>
    <row r="63" spans="1:17" ht="12.75">
      <c r="A63" s="2622">
        <v>1</v>
      </c>
      <c r="B63" s="2623" t="s">
        <v>725</v>
      </c>
      <c r="C63" s="2624">
        <f ca="1">ROUND((C64+C65)/(1+'数据-取费表'!F30),0)</f>
        <v>2257101</v>
      </c>
      <c r="D63" s="2623"/>
      <c r="E63" s="2625"/>
      <c r="F63" s="2772"/>
      <c r="G63" s="2772"/>
      <c r="H63" s="2774"/>
      <c r="I63" s="1650"/>
      <c r="K63" s="3404" t="s">
        <v>726</v>
      </c>
      <c r="L63" s="2805" t="s">
        <v>727</v>
      </c>
      <c r="M63" s="2805" t="e">
        <f>IF(N49&gt;10000,N49*0.5%,IF(AND(N49&gt;1000,N49&lt;=10000),N49*1%,IF(AND(N49&gt;100,N49&lt;=1000),N49*3%,IF(AND(N49&gt;10,N49&lt;=100),N49*5%,N49*8%))))</f>
        <v>#VALUE!</v>
      </c>
      <c r="N63" s="2806" t="e">
        <f>ROUND(M63,1)</f>
        <v>#VALUE!</v>
      </c>
      <c r="O63" s="2804"/>
      <c r="P63" s="2804"/>
      <c r="Q63" s="2462"/>
    </row>
    <row r="64" spans="1:17" ht="12.75">
      <c r="A64" s="2626" t="s">
        <v>728</v>
      </c>
      <c r="B64" s="398" t="s">
        <v>729</v>
      </c>
      <c r="C64" s="2627">
        <f ca="1">D45</f>
        <v>2369956</v>
      </c>
      <c r="D64" s="398" t="s">
        <v>121</v>
      </c>
      <c r="E64" s="2628"/>
      <c r="F64" s="2772"/>
      <c r="G64" s="2772"/>
      <c r="H64" s="2774"/>
      <c r="I64" s="1650"/>
      <c r="K64" s="3404"/>
      <c r="L64" s="2805" t="s">
        <v>730</v>
      </c>
      <c r="M64" s="2805" t="e">
        <f>IF(N49&gt;2000,N49*0.5%,IF(AND(N49&gt;1000,N49&lt;=2000),N49*0.6%,IF(AND(N49&gt;500,N49&lt;=1000),N49*0.7%,IF(AND(N49&gt;200,N49&lt;=500),N49*0.8%,IF(AND(N49&gt;100,N49&lt;=200),N49*0.9%,IF(AND(N49&gt;50,N49&lt;=100),N49*1%,IF(AND(N49&gt;20,N49&lt;=50),N49*1.5%,IF(AND(N49&gt;10,N49&lt;=20),N49*2%,IF(AND(N49&gt;1,N49&lt;=10),N49*2.5%)))))))))</f>
        <v>#VALUE!</v>
      </c>
      <c r="N64" s="2806" t="e">
        <f t="shared" ref="N64:N65" si="2">ROUND(M64,1)</f>
        <v>#VALUE!</v>
      </c>
      <c r="O64" s="2804" t="s">
        <v>731</v>
      </c>
      <c r="P64" s="2804"/>
      <c r="Q64" s="2462"/>
    </row>
    <row r="65" spans="1:36" ht="12.75">
      <c r="A65" s="2626" t="s">
        <v>732</v>
      </c>
      <c r="B65" s="398" t="s">
        <v>733</v>
      </c>
      <c r="C65" s="2629"/>
      <c r="D65" s="398"/>
      <c r="E65" s="2628"/>
      <c r="F65" s="2772"/>
      <c r="G65" s="2772"/>
      <c r="H65" s="2774"/>
      <c r="I65" s="1650"/>
      <c r="K65" s="3404"/>
      <c r="L65" s="2805" t="s">
        <v>734</v>
      </c>
      <c r="M65" s="2805" t="e">
        <f>IF(N49&gt;1000,N49*0.1%,IF(AND(N49&gt;500,N49&lt;=1000),N49*0.5%,IF(AND(N49&gt;50,N49&lt;=500),N49*1%,IF(AND(N49&gt;1,N49&lt;=50),N49*1.5%))))</f>
        <v>#VALUE!</v>
      </c>
      <c r="N65" s="2806" t="e">
        <f t="shared" si="2"/>
        <v>#VALUE!</v>
      </c>
      <c r="O65" s="2804" t="s">
        <v>731</v>
      </c>
      <c r="P65" s="2804"/>
      <c r="Q65" s="2462"/>
    </row>
    <row r="66" spans="1:36" ht="12.75">
      <c r="A66" s="2630" t="s">
        <v>735</v>
      </c>
      <c r="B66" s="495" t="s">
        <v>736</v>
      </c>
      <c r="C66" s="2631"/>
      <c r="D66" s="495" t="s">
        <v>121</v>
      </c>
      <c r="E66" s="2632" t="s">
        <v>737</v>
      </c>
      <c r="F66" s="2772"/>
      <c r="G66" s="2772"/>
      <c r="H66" s="2774"/>
      <c r="I66" s="1650"/>
      <c r="K66" s="3404"/>
      <c r="L66" s="2805" t="s">
        <v>738</v>
      </c>
      <c r="M66" s="2805" t="e">
        <f>N49*0.5%</f>
        <v>#VALUE!</v>
      </c>
      <c r="N66" s="2806" t="e">
        <f>IF(M66&gt;0.5,0.5,ROUND(M66,0))</f>
        <v>#VALUE!</v>
      </c>
      <c r="O66" s="2804" t="s">
        <v>739</v>
      </c>
      <c r="P66" s="2804"/>
      <c r="Q66" s="2462"/>
    </row>
    <row r="67" spans="1:36" ht="12.75">
      <c r="A67" s="2630" t="s">
        <v>740</v>
      </c>
      <c r="B67" s="495" t="s">
        <v>741</v>
      </c>
      <c r="C67" s="2633">
        <f ca="1">C63-C66</f>
        <v>2257101</v>
      </c>
      <c r="D67" s="398" t="s">
        <v>121</v>
      </c>
      <c r="E67" s="2628"/>
      <c r="F67" s="2772"/>
      <c r="G67" s="2772"/>
      <c r="H67" s="2774"/>
      <c r="I67" s="1650"/>
      <c r="K67" s="3404"/>
      <c r="L67" s="2805" t="s">
        <v>742</v>
      </c>
      <c r="M67" s="2805" t="e">
        <f>IF(N49&gt;=10000,(8.25+(N49-10000)*0.01%),IF(AND(N49&gt;=8000,N49&lt;10000),(7.85+(N49-8000)*0.02%),IF(AND(N49&gt;=5000,N49&lt;8000),(6.65+(N49-5000)*0.04%),IF(AND(N49&gt;=2000,N49&lt;5000),(4.25+(PN49-2000)*0.08%),IF(AND(N49&gt;=1000,N49&lt;2000),(2.75+(N49-1000)*0.15%),IF(AND(N49&gt;=100,N49&lt;1000),(0.5+(N49-100)*0.25%),IF(AND(N49&gt;0,N49&lt;100),N49*0.5%)))))))</f>
        <v>#VALUE!</v>
      </c>
      <c r="N67" s="2806" t="e">
        <f>ROUND(M67*0.9,1)</f>
        <v>#VALUE!</v>
      </c>
      <c r="O67" s="2804"/>
      <c r="P67" s="2804"/>
      <c r="Q67" s="2462"/>
    </row>
    <row r="68" spans="1:36" ht="12.75">
      <c r="A68" s="2634" t="s">
        <v>743</v>
      </c>
      <c r="B68" s="513" t="s">
        <v>744</v>
      </c>
      <c r="C68" s="2635">
        <f ca="1">IF(C67&lt;=0,0,ROUND(C67*D68,0))</f>
        <v>126398</v>
      </c>
      <c r="D68" s="606">
        <f>'数据-取费表'!E29</f>
        <v>5.6000000000000001E-2</v>
      </c>
      <c r="E68" s="2636"/>
      <c r="F68" s="2772"/>
      <c r="G68" s="2772"/>
      <c r="H68" s="2774"/>
      <c r="I68" s="1650"/>
      <c r="K68" s="3404"/>
      <c r="L68" s="2805" t="s">
        <v>745</v>
      </c>
      <c r="M68" s="2805" t="e">
        <f>IF(N49&gt;10000,N49*0.5%,IF(AND(N49&gt;5000,N49&lt;=10000),N49*1%,IF(AND(N49&gt;1000,N49&lt;=5000),N49*2%,IF(AND(N49&gt;200,N49&lt;=1000),N49*3%,N49*5%))))</f>
        <v>#VALUE!</v>
      </c>
      <c r="N68" s="2806" t="e">
        <f>ROUND(M68,1)</f>
        <v>#VALUE!</v>
      </c>
      <c r="O68" s="2804"/>
      <c r="P68" s="2804"/>
      <c r="Q68" s="2462"/>
    </row>
    <row r="69" spans="1:36" s="2460" customFormat="1" ht="7.5" customHeight="1">
      <c r="A69" s="2637"/>
      <c r="B69" s="486"/>
      <c r="C69" s="2808"/>
      <c r="D69" s="2809"/>
      <c r="E69" s="2538"/>
      <c r="F69" s="2673"/>
      <c r="G69" s="2673"/>
      <c r="H69" s="2674"/>
      <c r="I69" s="2466"/>
      <c r="J69" s="2464"/>
      <c r="K69" s="3404"/>
      <c r="L69" s="2805" t="s">
        <v>434</v>
      </c>
      <c r="M69" s="2805"/>
      <c r="N69" s="2806" t="e">
        <f>ROUND(SUM(N63:N68),0)</f>
        <v>#VALUE!</v>
      </c>
      <c r="O69" s="2813" t="e">
        <f>N69/N49</f>
        <v>#VALUE!</v>
      </c>
      <c r="P69" s="2804"/>
      <c r="Q69" s="2462"/>
      <c r="R69" s="1608"/>
      <c r="S69" s="1608"/>
      <c r="T69" s="1608"/>
      <c r="U69" s="1608"/>
      <c r="V69" s="1608"/>
      <c r="W69" s="1608"/>
      <c r="X69" s="1608"/>
      <c r="Y69" s="1608"/>
      <c r="Z69" s="1608"/>
      <c r="AA69" s="1608"/>
      <c r="AB69" s="2462"/>
      <c r="AC69" s="2462"/>
      <c r="AD69" s="2462"/>
      <c r="AE69" s="2462"/>
      <c r="AF69" s="2462"/>
      <c r="AG69" s="2462"/>
      <c r="AH69" s="2462"/>
      <c r="AI69" s="2462"/>
      <c r="AJ69" s="2462"/>
    </row>
    <row r="70" spans="1:36" s="2461" customFormat="1" ht="14.25">
      <c r="A70" s="3486" t="s">
        <v>746</v>
      </c>
      <c r="B70" s="3487"/>
      <c r="C70" s="3487"/>
      <c r="D70" s="3487"/>
      <c r="E70" s="3487"/>
      <c r="F70" s="3487"/>
      <c r="G70" s="3487"/>
      <c r="H70" s="3487"/>
      <c r="I70" s="2696"/>
      <c r="J70" s="2697"/>
      <c r="P70" s="355"/>
      <c r="Q70" s="355"/>
      <c r="R70" s="355"/>
      <c r="S70" s="355"/>
      <c r="T70" s="355"/>
      <c r="U70" s="355"/>
      <c r="V70" s="355"/>
      <c r="W70" s="355"/>
      <c r="X70" s="355"/>
      <c r="Y70" s="355"/>
      <c r="Z70" s="355"/>
      <c r="AA70" s="355"/>
      <c r="AB70" s="2703"/>
      <c r="AC70" s="2703"/>
      <c r="AD70" s="2703"/>
      <c r="AE70" s="2703"/>
      <c r="AF70" s="2703"/>
      <c r="AG70" s="2703"/>
      <c r="AH70" s="2703"/>
      <c r="AI70" s="2703"/>
      <c r="AJ70" s="2703"/>
    </row>
    <row r="71" spans="1:36" s="2461" customFormat="1" ht="14.25">
      <c r="A71" s="3488" t="s">
        <v>723</v>
      </c>
      <c r="B71" s="3489"/>
      <c r="C71" s="409"/>
      <c r="D71" s="409" t="s">
        <v>724</v>
      </c>
      <c r="E71" s="2639" t="s">
        <v>675</v>
      </c>
      <c r="F71" s="2640"/>
      <c r="G71" s="2640"/>
      <c r="H71" s="2641"/>
      <c r="I71" s="2814"/>
      <c r="J71" s="2815"/>
      <c r="P71" s="355"/>
      <c r="Q71" s="355"/>
      <c r="R71" s="355"/>
      <c r="S71" s="355"/>
      <c r="T71" s="355"/>
      <c r="U71" s="355"/>
      <c r="V71" s="355"/>
      <c r="W71" s="355"/>
      <c r="X71" s="355"/>
      <c r="Y71" s="355"/>
      <c r="Z71" s="355"/>
      <c r="AA71" s="355"/>
      <c r="AB71" s="2703"/>
      <c r="AC71" s="2703"/>
      <c r="AD71" s="2703"/>
      <c r="AE71" s="2703"/>
      <c r="AF71" s="2703"/>
      <c r="AG71" s="2703"/>
      <c r="AH71" s="2703"/>
      <c r="AI71" s="2703"/>
      <c r="AJ71" s="2703"/>
    </row>
    <row r="72" spans="1:36" s="2461" customFormat="1" ht="14.25">
      <c r="A72" s="2642">
        <v>1</v>
      </c>
      <c r="B72" s="495" t="s">
        <v>747</v>
      </c>
      <c r="C72" s="2633">
        <f ca="1">ROUND(D45/(1+'数据-取费表'!F30),0)</f>
        <v>2257101</v>
      </c>
      <c r="D72" s="398" t="s">
        <v>121</v>
      </c>
      <c r="E72" s="2259" t="s">
        <v>748</v>
      </c>
      <c r="F72" s="2181"/>
      <c r="G72" s="2181"/>
      <c r="H72" s="2643"/>
      <c r="I72" s="2814"/>
      <c r="J72" s="2815"/>
      <c r="P72" s="355"/>
      <c r="Q72" s="355"/>
      <c r="R72" s="355"/>
      <c r="S72" s="355"/>
      <c r="T72" s="355"/>
      <c r="U72" s="355"/>
      <c r="V72" s="355"/>
      <c r="W72" s="355"/>
      <c r="X72" s="355"/>
      <c r="Y72" s="355"/>
      <c r="Z72" s="355"/>
      <c r="AA72" s="355"/>
      <c r="AB72" s="2703"/>
      <c r="AC72" s="2703"/>
      <c r="AD72" s="2703"/>
      <c r="AE72" s="2703"/>
      <c r="AF72" s="2703"/>
      <c r="AG72" s="2703"/>
      <c r="AH72" s="2703"/>
      <c r="AI72" s="2703"/>
      <c r="AJ72" s="2703"/>
    </row>
    <row r="73" spans="1:36" s="2461" customFormat="1" ht="14.25">
      <c r="A73" s="2644">
        <v>2</v>
      </c>
      <c r="B73" s="2357" t="s">
        <v>749</v>
      </c>
      <c r="C73" s="2633">
        <f ca="1">C74+C78</f>
        <v>13543</v>
      </c>
      <c r="D73" s="398" t="s">
        <v>121</v>
      </c>
      <c r="E73" s="2180"/>
      <c r="F73" s="2181"/>
      <c r="G73" s="2181"/>
      <c r="H73" s="2643"/>
      <c r="I73" s="2814"/>
      <c r="J73" s="2815"/>
      <c r="P73" s="355"/>
      <c r="Q73" s="355"/>
      <c r="R73" s="355"/>
      <c r="S73" s="355"/>
      <c r="T73" s="355"/>
      <c r="U73" s="355"/>
      <c r="V73" s="355"/>
      <c r="W73" s="355"/>
      <c r="X73" s="355"/>
      <c r="Y73" s="355"/>
      <c r="Z73" s="355"/>
      <c r="AA73" s="355"/>
      <c r="AB73" s="2703"/>
      <c r="AC73" s="2703"/>
      <c r="AD73" s="2703"/>
      <c r="AE73" s="2703"/>
      <c r="AF73" s="2703"/>
      <c r="AG73" s="2703"/>
      <c r="AH73" s="2703"/>
      <c r="AI73" s="2703"/>
      <c r="AJ73" s="2703"/>
    </row>
    <row r="74" spans="1:36" s="2461" customFormat="1" ht="24">
      <c r="A74" s="2626" t="s">
        <v>750</v>
      </c>
      <c r="B74" s="398" t="s">
        <v>751</v>
      </c>
      <c r="C74" s="398">
        <f>ROUND(IF(G77="2016年5月1日后购买",C75/(1+'数据-取费表'!F30)+C76+C77,C75+C76+C77),0)</f>
        <v>0</v>
      </c>
      <c r="D74" s="398" t="s">
        <v>121</v>
      </c>
      <c r="E74" s="2180"/>
      <c r="F74" s="2181"/>
      <c r="G74" s="2181"/>
      <c r="H74" s="2643"/>
      <c r="I74" s="2814"/>
      <c r="J74" s="2815"/>
      <c r="P74" s="355"/>
      <c r="Q74" s="355"/>
      <c r="R74" s="355"/>
      <c r="S74" s="355"/>
      <c r="T74" s="355"/>
      <c r="U74" s="355"/>
      <c r="V74" s="355"/>
      <c r="W74" s="355"/>
      <c r="X74" s="355"/>
      <c r="Y74" s="355"/>
      <c r="Z74" s="355"/>
      <c r="AA74" s="355"/>
      <c r="AB74" s="2703"/>
      <c r="AC74" s="2703"/>
      <c r="AD74" s="2703"/>
      <c r="AE74" s="2703"/>
      <c r="AF74" s="2703"/>
      <c r="AG74" s="2703"/>
      <c r="AH74" s="2703"/>
      <c r="AI74" s="2703"/>
      <c r="AJ74" s="2703"/>
    </row>
    <row r="75" spans="1:36" s="2461" customFormat="1" ht="14.25">
      <c r="A75" s="2626" t="s">
        <v>752</v>
      </c>
      <c r="B75" s="398" t="s">
        <v>753</v>
      </c>
      <c r="C75" s="516"/>
      <c r="D75" s="398" t="s">
        <v>121</v>
      </c>
      <c r="E75" s="2645" t="s">
        <v>754</v>
      </c>
      <c r="F75" s="2646" t="s">
        <v>755</v>
      </c>
      <c r="G75" s="2645" t="s">
        <v>756</v>
      </c>
      <c r="H75" s="2647"/>
      <c r="I75" s="2707"/>
      <c r="J75" s="2708"/>
      <c r="P75" s="355"/>
      <c r="Q75" s="355"/>
      <c r="R75" s="355"/>
      <c r="S75" s="355"/>
      <c r="T75" s="355"/>
      <c r="U75" s="355"/>
      <c r="V75" s="355"/>
      <c r="W75" s="355"/>
      <c r="X75" s="355"/>
      <c r="Y75" s="355"/>
      <c r="Z75" s="355"/>
      <c r="AA75" s="355"/>
      <c r="AB75" s="2703"/>
      <c r="AC75" s="2703"/>
      <c r="AD75" s="2703"/>
      <c r="AE75" s="2703"/>
      <c r="AF75" s="2703"/>
      <c r="AG75" s="2703"/>
      <c r="AH75" s="2703"/>
      <c r="AI75" s="2703"/>
      <c r="AJ75" s="2703"/>
    </row>
    <row r="76" spans="1:36" s="2461" customFormat="1" ht="24.75" customHeight="1">
      <c r="A76" s="2626" t="s">
        <v>757</v>
      </c>
      <c r="B76" s="416" t="s">
        <v>758</v>
      </c>
      <c r="C76" s="398">
        <f>IF(F75="购房发票",ROUND(C75*H75*D76,0),0)</f>
        <v>0</v>
      </c>
      <c r="D76" s="2648">
        <v>0.05</v>
      </c>
      <c r="E76" s="3436" t="s">
        <v>759</v>
      </c>
      <c r="F76" s="3453"/>
      <c r="G76" s="3453"/>
      <c r="H76" s="3490"/>
      <c r="I76" s="2814"/>
      <c r="J76" s="2815"/>
      <c r="P76" s="355"/>
      <c r="Q76" s="355"/>
      <c r="R76" s="355"/>
      <c r="S76" s="355"/>
      <c r="T76" s="355"/>
      <c r="U76" s="355"/>
      <c r="V76" s="355"/>
      <c r="W76" s="355"/>
      <c r="X76" s="355"/>
      <c r="Y76" s="355"/>
      <c r="Z76" s="355"/>
      <c r="AA76" s="355"/>
      <c r="AB76" s="2703"/>
      <c r="AC76" s="2703"/>
      <c r="AD76" s="2703"/>
      <c r="AE76" s="2703"/>
      <c r="AF76" s="2703"/>
      <c r="AG76" s="2703"/>
      <c r="AH76" s="2703"/>
      <c r="AI76" s="2703"/>
      <c r="AJ76" s="2703"/>
    </row>
    <row r="77" spans="1:36" s="2461" customFormat="1" ht="24.75" customHeight="1">
      <c r="A77" s="2626" t="s">
        <v>760</v>
      </c>
      <c r="B77" s="398" t="s">
        <v>761</v>
      </c>
      <c r="C77" s="398">
        <f>ROUND(IF(G77="个人住宅",0,IF(G77="2016年5月1日前购买",C75*D77,C75*D77/(1+'数据-取费表'!F30))),0)</f>
        <v>0</v>
      </c>
      <c r="D77" s="2650">
        <f>'数据-取费表'!E36+'数据-取费表'!E37</f>
        <v>3.0499999999999999E-2</v>
      </c>
      <c r="E77" s="2259" t="s">
        <v>762</v>
      </c>
      <c r="F77" s="1198"/>
      <c r="G77" s="2651" t="s">
        <v>763</v>
      </c>
      <c r="H77" s="2649" t="str">
        <f>IF(G77="个人买卖住房","免征印花税"," ")</f>
        <v/>
      </c>
      <c r="I77" s="2814"/>
      <c r="J77" s="2815"/>
      <c r="K77" s="355"/>
      <c r="L77" s="355"/>
      <c r="M77" s="355"/>
      <c r="N77" s="355"/>
      <c r="O77" s="355"/>
      <c r="P77" s="355"/>
      <c r="Q77" s="355"/>
      <c r="R77" s="355"/>
      <c r="S77" s="355"/>
      <c r="T77" s="355"/>
      <c r="U77" s="355"/>
      <c r="V77" s="355"/>
      <c r="W77" s="355"/>
      <c r="X77" s="355"/>
      <c r="Y77" s="355"/>
      <c r="Z77" s="355"/>
      <c r="AA77" s="355"/>
      <c r="AB77" s="2703"/>
      <c r="AC77" s="2703"/>
      <c r="AD77" s="2703"/>
      <c r="AE77" s="2703"/>
      <c r="AF77" s="2703"/>
      <c r="AG77" s="2703"/>
      <c r="AH77" s="2703"/>
      <c r="AI77" s="2703"/>
      <c r="AJ77" s="2703"/>
    </row>
    <row r="78" spans="1:36" s="2461" customFormat="1" ht="24.75" customHeight="1">
      <c r="A78" s="2626" t="s">
        <v>764</v>
      </c>
      <c r="B78" s="398" t="s">
        <v>765</v>
      </c>
      <c r="C78" s="2652">
        <f ca="1">ROUND(D45*D78/(1+'数据-取费表'!F30),0)</f>
        <v>13543</v>
      </c>
      <c r="D78" s="2653">
        <f>'数据-取费表'!E31</f>
        <v>6.0000000000000001E-3</v>
      </c>
      <c r="E78" s="3478" t="s">
        <v>766</v>
      </c>
      <c r="F78" s="3479"/>
      <c r="G78" s="3479"/>
      <c r="H78" s="3480"/>
      <c r="I78" s="2816"/>
      <c r="J78" s="2817"/>
      <c r="K78" s="355"/>
      <c r="L78" s="355"/>
      <c r="M78" s="355"/>
      <c r="N78" s="355"/>
      <c r="O78" s="355"/>
      <c r="P78" s="355"/>
      <c r="Q78" s="355"/>
      <c r="R78" s="355"/>
      <c r="S78" s="355"/>
      <c r="T78" s="355"/>
      <c r="U78" s="355"/>
      <c r="V78" s="355"/>
      <c r="W78" s="355"/>
      <c r="X78" s="355"/>
      <c r="Y78" s="355"/>
      <c r="Z78" s="355"/>
      <c r="AA78" s="355"/>
      <c r="AB78" s="2703"/>
      <c r="AC78" s="2703"/>
      <c r="AD78" s="2703"/>
      <c r="AE78" s="2703"/>
      <c r="AF78" s="2703"/>
      <c r="AG78" s="2703"/>
      <c r="AH78" s="2703"/>
      <c r="AI78" s="2703"/>
      <c r="AJ78" s="2703"/>
    </row>
    <row r="79" spans="1:36" s="2461" customFormat="1" ht="14.25">
      <c r="A79" s="2630" t="s">
        <v>740</v>
      </c>
      <c r="B79" s="495" t="s">
        <v>767</v>
      </c>
      <c r="C79" s="2633">
        <f ca="1">C72-C73</f>
        <v>2243558</v>
      </c>
      <c r="D79" s="398" t="s">
        <v>121</v>
      </c>
      <c r="E79" s="2180"/>
      <c r="F79" s="2181"/>
      <c r="G79" s="2181"/>
      <c r="H79" s="2643"/>
      <c r="I79" s="2814"/>
      <c r="J79" s="2815"/>
      <c r="K79" s="355"/>
      <c r="L79" s="355"/>
      <c r="M79" s="355"/>
      <c r="N79" s="355"/>
      <c r="O79" s="355"/>
      <c r="P79" s="355"/>
      <c r="Q79" s="355"/>
      <c r="R79" s="355"/>
      <c r="S79" s="355"/>
      <c r="T79" s="355"/>
      <c r="U79" s="355"/>
      <c r="V79" s="355"/>
      <c r="W79" s="355"/>
      <c r="X79" s="355"/>
      <c r="Y79" s="355"/>
      <c r="Z79" s="355"/>
      <c r="AA79" s="355"/>
      <c r="AB79" s="2703"/>
      <c r="AC79" s="2703"/>
      <c r="AD79" s="2703"/>
      <c r="AE79" s="2703"/>
      <c r="AF79" s="2703"/>
      <c r="AG79" s="2703"/>
      <c r="AH79" s="2703"/>
      <c r="AI79" s="2703"/>
      <c r="AJ79" s="2703"/>
    </row>
    <row r="80" spans="1:36" s="2461" customFormat="1" ht="24">
      <c r="A80" s="2630" t="s">
        <v>743</v>
      </c>
      <c r="B80" s="495" t="s">
        <v>768</v>
      </c>
      <c r="C80" s="2657">
        <f ca="1">IF(C79&lt;=0,0,C79/C73)</f>
        <v>165.66181791331314</v>
      </c>
      <c r="D80" s="398" t="s">
        <v>121</v>
      </c>
      <c r="E80" s="2259" t="str">
        <f ca="1">IF(C80&gt;=200%,"增值额超过扣除项目金额200%",IF(C80&gt;=100%,"增值额超过扣除项目金额100%，未超过200%",IF(C80&gt;=50%,"增值额超过扣除项目金额50%，未超过100%",IF(C80&lt;50%,"增值额未超过扣除项目金额50%"))))</f>
        <v>增值额超过扣除项目金额200%</v>
      </c>
      <c r="F80" s="2181"/>
      <c r="G80" s="2181"/>
      <c r="H80" s="2643"/>
      <c r="I80" s="2814"/>
      <c r="J80" s="2815"/>
      <c r="K80" s="355"/>
      <c r="L80" s="355"/>
      <c r="M80" s="355"/>
      <c r="N80" s="355"/>
      <c r="O80" s="355"/>
      <c r="P80" s="355"/>
      <c r="Q80" s="355"/>
      <c r="R80" s="355"/>
      <c r="S80" s="355"/>
      <c r="T80" s="355"/>
      <c r="U80" s="355"/>
      <c r="V80" s="355"/>
      <c r="W80" s="355"/>
      <c r="X80" s="355"/>
      <c r="Y80" s="355"/>
      <c r="Z80" s="355"/>
      <c r="AA80" s="355"/>
      <c r="AB80" s="2703"/>
      <c r="AC80" s="2703"/>
      <c r="AD80" s="2703"/>
      <c r="AE80" s="2703"/>
      <c r="AF80" s="2703"/>
      <c r="AG80" s="2703"/>
      <c r="AH80" s="2703"/>
      <c r="AI80" s="2703"/>
      <c r="AJ80" s="2703"/>
    </row>
    <row r="81" spans="1:36" s="2461" customFormat="1" ht="24">
      <c r="A81" s="2634" t="s">
        <v>769</v>
      </c>
      <c r="B81" s="513" t="s">
        <v>770</v>
      </c>
      <c r="C81" s="2658">
        <f ca="1">ROUND(IF(C79&lt;=0,0,IF(C80&gt;=200%,C79*60%-C73*35%,IF(C80&gt;=100%,C79*50%-C73*15%,IF(C80&gt;=50%,C79*40%-C73*5%,IF(C80&lt;50%,C79*30%,0))))),0)</f>
        <v>1341395</v>
      </c>
      <c r="D81" s="438" t="s">
        <v>121</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9"/>
      <c r="G81" s="2659"/>
      <c r="H81" s="2660"/>
      <c r="I81" s="2814"/>
      <c r="J81" s="2815"/>
      <c r="K81" s="355"/>
      <c r="L81" s="355"/>
      <c r="M81" s="355"/>
      <c r="N81" s="355"/>
      <c r="O81" s="355"/>
      <c r="P81" s="355"/>
      <c r="Q81" s="355"/>
      <c r="R81" s="355"/>
      <c r="S81" s="355"/>
      <c r="T81" s="355"/>
      <c r="U81" s="355"/>
      <c r="V81" s="355"/>
      <c r="W81" s="355"/>
      <c r="X81" s="355"/>
      <c r="Y81" s="355"/>
      <c r="Z81" s="355"/>
      <c r="AA81" s="355"/>
      <c r="AB81" s="2703"/>
      <c r="AC81" s="2703"/>
      <c r="AD81" s="2703"/>
      <c r="AE81" s="2703"/>
      <c r="AF81" s="2703"/>
      <c r="AG81" s="2703"/>
      <c r="AH81" s="2703"/>
      <c r="AI81" s="2703"/>
      <c r="AJ81" s="2703"/>
    </row>
    <row r="82" spans="1:36" s="2461" customFormat="1" ht="7.5" customHeight="1">
      <c r="A82" s="2810"/>
      <c r="B82" s="520"/>
      <c r="C82" s="2707"/>
      <c r="D82" s="2707"/>
      <c r="E82" s="520"/>
      <c r="F82" s="520"/>
      <c r="G82" s="520"/>
      <c r="H82" s="2661"/>
      <c r="I82" s="2816"/>
      <c r="J82" s="2817"/>
      <c r="K82" s="355"/>
      <c r="L82" s="355"/>
      <c r="M82" s="355"/>
      <c r="N82" s="355"/>
      <c r="O82" s="355"/>
      <c r="P82" s="355"/>
      <c r="Q82" s="355"/>
      <c r="R82" s="355"/>
      <c r="S82" s="355"/>
      <c r="T82" s="355"/>
      <c r="U82" s="355"/>
      <c r="V82" s="355"/>
      <c r="W82" s="355"/>
      <c r="X82" s="355"/>
      <c r="Y82" s="355"/>
      <c r="Z82" s="355"/>
      <c r="AA82" s="355"/>
      <c r="AB82" s="2703"/>
      <c r="AC82" s="2703"/>
      <c r="AD82" s="2703"/>
      <c r="AE82" s="2703"/>
      <c r="AF82" s="2703"/>
      <c r="AG82" s="2703"/>
      <c r="AH82" s="2703"/>
      <c r="AI82" s="2703"/>
      <c r="AJ82" s="2703"/>
    </row>
    <row r="83" spans="1:36" s="2461" customFormat="1" ht="14.25">
      <c r="A83" s="3486" t="s">
        <v>771</v>
      </c>
      <c r="B83" s="3487"/>
      <c r="C83" s="3487"/>
      <c r="D83" s="3487"/>
      <c r="E83" s="3487"/>
      <c r="F83" s="3487"/>
      <c r="G83" s="3487"/>
      <c r="H83" s="3487"/>
      <c r="I83" s="2707"/>
      <c r="J83" s="2708"/>
      <c r="K83" s="355"/>
      <c r="L83" s="355"/>
      <c r="M83" s="355"/>
      <c r="N83" s="355"/>
      <c r="O83" s="355"/>
      <c r="P83" s="355"/>
      <c r="Q83" s="355"/>
      <c r="R83" s="355"/>
      <c r="S83" s="355"/>
      <c r="T83" s="355"/>
      <c r="U83" s="355"/>
      <c r="V83" s="355"/>
      <c r="W83" s="355"/>
      <c r="X83" s="355"/>
      <c r="Y83" s="355"/>
      <c r="Z83" s="355"/>
      <c r="AA83" s="355"/>
      <c r="AB83" s="2703"/>
      <c r="AC83" s="2703"/>
      <c r="AD83" s="2703"/>
      <c r="AE83" s="2703"/>
      <c r="AF83" s="2703"/>
      <c r="AG83" s="2703"/>
      <c r="AH83" s="2703"/>
      <c r="AI83" s="2703"/>
      <c r="AJ83" s="2703"/>
    </row>
    <row r="84" spans="1:36" s="2461" customFormat="1" ht="14.25">
      <c r="A84" s="3488" t="s">
        <v>723</v>
      </c>
      <c r="B84" s="3489"/>
      <c r="C84" s="409"/>
      <c r="D84" s="409" t="s">
        <v>724</v>
      </c>
      <c r="E84" s="2639" t="s">
        <v>675</v>
      </c>
      <c r="F84" s="2640"/>
      <c r="G84" s="2640"/>
      <c r="H84" s="2662"/>
      <c r="I84" s="2707"/>
      <c r="J84" s="2708"/>
      <c r="K84" s="355"/>
      <c r="L84" s="355"/>
      <c r="M84" s="355"/>
      <c r="N84" s="355"/>
      <c r="O84" s="355"/>
      <c r="P84" s="355"/>
      <c r="Q84" s="355"/>
      <c r="R84" s="355"/>
      <c r="S84" s="355"/>
      <c r="T84" s="355"/>
      <c r="U84" s="355"/>
      <c r="V84" s="355"/>
      <c r="W84" s="355"/>
      <c r="X84" s="355"/>
      <c r="Y84" s="355"/>
      <c r="Z84" s="355"/>
      <c r="AA84" s="355"/>
      <c r="AB84" s="2703"/>
      <c r="AC84" s="2703"/>
      <c r="AD84" s="2703"/>
      <c r="AE84" s="2703"/>
      <c r="AF84" s="2703"/>
      <c r="AG84" s="2703"/>
      <c r="AH84" s="2703"/>
      <c r="AI84" s="2703"/>
      <c r="AJ84" s="2703"/>
    </row>
    <row r="85" spans="1:36" s="2461" customFormat="1" ht="24">
      <c r="A85" s="2642">
        <v>1</v>
      </c>
      <c r="B85" s="495" t="s">
        <v>747</v>
      </c>
      <c r="C85" s="2633">
        <f ca="1">ROUND(D45/(1+'数据-取费表'!F30),0)</f>
        <v>2257101</v>
      </c>
      <c r="D85" s="398" t="s">
        <v>121</v>
      </c>
      <c r="E85" s="2180" t="s">
        <v>748</v>
      </c>
      <c r="F85" s="2181"/>
      <c r="G85" s="2181"/>
      <c r="H85" s="2663"/>
      <c r="I85" s="2707"/>
      <c r="J85" s="2708"/>
      <c r="K85" s="355"/>
      <c r="L85" s="355"/>
      <c r="M85" s="355"/>
      <c r="N85" s="355"/>
      <c r="O85" s="355"/>
      <c r="P85" s="355"/>
      <c r="Q85" s="355"/>
      <c r="R85" s="355"/>
      <c r="S85" s="355"/>
      <c r="T85" s="355"/>
      <c r="U85" s="355"/>
      <c r="V85" s="355"/>
      <c r="W85" s="355"/>
      <c r="X85" s="355"/>
      <c r="Y85" s="355"/>
      <c r="Z85" s="355"/>
      <c r="AA85" s="355"/>
      <c r="AB85" s="2703"/>
      <c r="AC85" s="2703"/>
      <c r="AD85" s="2703"/>
      <c r="AE85" s="2703"/>
      <c r="AF85" s="2703"/>
      <c r="AG85" s="2703"/>
      <c r="AH85" s="2703"/>
      <c r="AI85" s="2703"/>
      <c r="AJ85" s="2703"/>
    </row>
    <row r="86" spans="1:36" s="2461" customFormat="1" ht="14.25">
      <c r="A86" s="2644">
        <v>2</v>
      </c>
      <c r="B86" s="2357" t="s">
        <v>749</v>
      </c>
      <c r="C86" s="2633">
        <f ca="1">IF(H88="仅含出让金",C87+C90+C91+C92+C93+C94,C87+C91+C92+C93+C94)</f>
        <v>13543</v>
      </c>
      <c r="D86" s="2664"/>
      <c r="E86" s="2180"/>
      <c r="F86" s="2181"/>
      <c r="G86" s="2181"/>
      <c r="H86" s="2663"/>
      <c r="I86" s="2707"/>
      <c r="J86" s="2708"/>
      <c r="K86" s="355"/>
      <c r="L86" s="355"/>
      <c r="M86" s="355"/>
      <c r="N86" s="355"/>
      <c r="O86" s="355"/>
      <c r="P86" s="355"/>
      <c r="Q86" s="355"/>
      <c r="R86" s="355"/>
      <c r="S86" s="355"/>
      <c r="T86" s="355"/>
      <c r="U86" s="355"/>
      <c r="V86" s="355"/>
      <c r="W86" s="355"/>
      <c r="X86" s="355"/>
      <c r="Y86" s="355"/>
      <c r="Z86" s="355"/>
      <c r="AA86" s="355"/>
      <c r="AB86" s="2703"/>
      <c r="AC86" s="2703"/>
      <c r="AD86" s="2703"/>
      <c r="AE86" s="2703"/>
      <c r="AF86" s="2703"/>
      <c r="AG86" s="2703"/>
      <c r="AH86" s="2703"/>
      <c r="AI86" s="2703"/>
      <c r="AJ86" s="2703"/>
    </row>
    <row r="87" spans="1:36" s="2461" customFormat="1" ht="14.25">
      <c r="A87" s="2626" t="s">
        <v>750</v>
      </c>
      <c r="B87" s="398" t="s">
        <v>772</v>
      </c>
      <c r="C87" s="2652">
        <f>C88+C89</f>
        <v>0</v>
      </c>
      <c r="D87" s="2653"/>
      <c r="E87" s="2654"/>
      <c r="F87" s="2655"/>
      <c r="G87" s="2655"/>
      <c r="H87" s="2656"/>
      <c r="I87" s="2707"/>
      <c r="J87" s="2708"/>
      <c r="K87" s="355"/>
      <c r="L87" s="355"/>
      <c r="M87" s="355"/>
      <c r="N87" s="355"/>
      <c r="O87" s="355"/>
      <c r="P87" s="355"/>
      <c r="Q87" s="355"/>
      <c r="R87" s="355"/>
      <c r="S87" s="355"/>
      <c r="T87" s="355"/>
      <c r="U87" s="355"/>
      <c r="V87" s="355"/>
      <c r="W87" s="355"/>
      <c r="X87" s="355"/>
      <c r="Y87" s="355"/>
      <c r="Z87" s="355"/>
      <c r="AA87" s="355"/>
      <c r="AB87" s="2703"/>
      <c r="AC87" s="2703"/>
      <c r="AD87" s="2703"/>
      <c r="AE87" s="2703"/>
      <c r="AF87" s="2703"/>
      <c r="AG87" s="2703"/>
      <c r="AH87" s="2703"/>
      <c r="AI87" s="2703"/>
      <c r="AJ87" s="2703"/>
    </row>
    <row r="88" spans="1:36" s="2461" customFormat="1" ht="14.25">
      <c r="A88" s="2626" t="s">
        <v>752</v>
      </c>
      <c r="B88" s="398" t="s">
        <v>773</v>
      </c>
      <c r="C88" s="2665"/>
      <c r="D88" s="2653"/>
      <c r="E88" s="2602" t="s">
        <v>774</v>
      </c>
      <c r="F88" s="2655"/>
      <c r="G88" s="2666" t="s">
        <v>775</v>
      </c>
      <c r="H88" s="2667"/>
      <c r="I88" s="2707"/>
      <c r="J88" s="2708"/>
      <c r="K88" s="2702" t="s">
        <v>776</v>
      </c>
      <c r="L88" s="2703"/>
      <c r="M88" s="2703"/>
      <c r="N88" s="2703"/>
      <c r="O88" s="2703"/>
      <c r="P88" s="2703"/>
      <c r="Q88" s="2703"/>
      <c r="R88" s="2703"/>
      <c r="S88" s="2703"/>
      <c r="T88" s="355"/>
      <c r="U88" s="355"/>
      <c r="V88" s="355"/>
      <c r="W88" s="355"/>
      <c r="X88" s="355"/>
      <c r="Y88" s="355"/>
      <c r="Z88" s="355"/>
      <c r="AA88" s="355"/>
      <c r="AB88" s="2703"/>
      <c r="AC88" s="2703"/>
      <c r="AD88" s="2703"/>
      <c r="AE88" s="2703"/>
      <c r="AF88" s="2703"/>
      <c r="AG88" s="2703"/>
      <c r="AH88" s="2703"/>
      <c r="AI88" s="2703"/>
      <c r="AJ88" s="2703"/>
    </row>
    <row r="89" spans="1:36" s="2461" customFormat="1" ht="14.25">
      <c r="A89" s="2626" t="s">
        <v>757</v>
      </c>
      <c r="B89" s="398" t="s">
        <v>761</v>
      </c>
      <c r="C89" s="2652">
        <f>ROUND(C88*D89,0)</f>
        <v>0</v>
      </c>
      <c r="D89" s="2653">
        <f>'数据-取费表'!E36+'数据-取费表'!E37</f>
        <v>3.0499999999999999E-2</v>
      </c>
      <c r="E89" s="2602" t="s">
        <v>777</v>
      </c>
      <c r="F89" s="2655"/>
      <c r="G89" s="2655"/>
      <c r="H89" s="2656"/>
      <c r="I89" s="2707"/>
      <c r="J89" s="2708"/>
      <c r="K89" s="355"/>
      <c r="L89" s="355"/>
      <c r="M89" s="355"/>
      <c r="N89" s="355"/>
      <c r="O89" s="355"/>
      <c r="P89" s="355"/>
      <c r="Q89" s="355"/>
      <c r="R89" s="355"/>
      <c r="S89" s="355"/>
      <c r="T89" s="355"/>
      <c r="U89" s="355"/>
      <c r="V89" s="355"/>
      <c r="W89" s="355"/>
      <c r="X89" s="355"/>
      <c r="Y89" s="355"/>
      <c r="Z89" s="355"/>
      <c r="AA89" s="355"/>
      <c r="AB89" s="2703"/>
      <c r="AC89" s="2703"/>
      <c r="AD89" s="2703"/>
      <c r="AE89" s="2703"/>
      <c r="AF89" s="2703"/>
      <c r="AG89" s="2703"/>
      <c r="AH89" s="2703"/>
      <c r="AI89" s="2703"/>
      <c r="AJ89" s="2703"/>
    </row>
    <row r="90" spans="1:36" s="2461" customFormat="1" ht="24" customHeight="1">
      <c r="A90" s="2626" t="s">
        <v>764</v>
      </c>
      <c r="B90" s="398" t="s">
        <v>778</v>
      </c>
      <c r="C90" s="2665"/>
      <c r="D90" s="2653"/>
      <c r="E90" s="2602" t="str">
        <f>IF(H88="-","土地取得成本中已包含该笔费用"," ")</f>
        <v/>
      </c>
      <c r="F90" s="2655"/>
      <c r="G90" s="3491" t="s">
        <v>779</v>
      </c>
      <c r="H90" s="3491"/>
      <c r="I90" s="2707"/>
      <c r="J90" s="2708"/>
      <c r="K90" s="2702" t="s">
        <v>780</v>
      </c>
      <c r="L90" s="2703"/>
      <c r="M90" s="2703"/>
      <c r="N90" s="2703"/>
      <c r="O90" s="2703"/>
      <c r="P90" s="2703"/>
      <c r="Q90" s="2703"/>
      <c r="R90" s="2703"/>
      <c r="S90" s="2703"/>
      <c r="T90" s="2703"/>
      <c r="U90" s="355"/>
      <c r="V90" s="355"/>
      <c r="W90" s="355"/>
      <c r="X90" s="355"/>
      <c r="Y90" s="355"/>
      <c r="Z90" s="355"/>
      <c r="AA90" s="355"/>
      <c r="AB90" s="2703"/>
      <c r="AC90" s="2703"/>
      <c r="AD90" s="2703"/>
      <c r="AE90" s="2703"/>
      <c r="AF90" s="2703"/>
      <c r="AG90" s="2703"/>
      <c r="AH90" s="2703"/>
      <c r="AI90" s="2703"/>
      <c r="AJ90" s="2703"/>
    </row>
    <row r="91" spans="1:36" s="2461" customFormat="1" ht="30.75" customHeight="1">
      <c r="A91" s="2626" t="s">
        <v>781</v>
      </c>
      <c r="B91" s="398" t="s">
        <v>782</v>
      </c>
      <c r="C91" s="2652">
        <f>IF(H91="——",成本法!C33,I91)</f>
        <v>0</v>
      </c>
      <c r="D91" s="2653"/>
      <c r="E91" s="3478" t="s">
        <v>783</v>
      </c>
      <c r="F91" s="3479"/>
      <c r="G91" s="3479"/>
      <c r="H91" s="2668" t="s">
        <v>784</v>
      </c>
      <c r="I91" s="2818"/>
      <c r="J91" s="2819"/>
      <c r="K91" s="355"/>
      <c r="L91" s="355"/>
      <c r="M91" s="355"/>
      <c r="N91" s="355"/>
      <c r="O91" s="355"/>
      <c r="P91" s="355"/>
      <c r="Q91" s="355"/>
      <c r="R91" s="355"/>
      <c r="S91" s="355"/>
      <c r="T91" s="355"/>
      <c r="U91" s="355"/>
      <c r="V91" s="355"/>
      <c r="W91" s="355"/>
      <c r="X91" s="355"/>
      <c r="Y91" s="355"/>
      <c r="Z91" s="355"/>
      <c r="AA91" s="355"/>
      <c r="AB91" s="2703"/>
      <c r="AC91" s="2703"/>
      <c r="AD91" s="2703"/>
      <c r="AE91" s="2703"/>
      <c r="AF91" s="2703"/>
      <c r="AG91" s="2703"/>
      <c r="AH91" s="2703"/>
      <c r="AI91" s="2703"/>
      <c r="AJ91" s="2703"/>
    </row>
    <row r="92" spans="1:36" s="2461" customFormat="1" ht="25.5" customHeight="1">
      <c r="A92" s="2626" t="s">
        <v>785</v>
      </c>
      <c r="B92" s="398" t="s">
        <v>786</v>
      </c>
      <c r="C92" s="2652">
        <f>ROUND((C87+C90+C91)*D92,0)</f>
        <v>0</v>
      </c>
      <c r="D92" s="2811">
        <v>0.1</v>
      </c>
      <c r="E92" s="3478" t="s">
        <v>787</v>
      </c>
      <c r="F92" s="3479"/>
      <c r="G92" s="3479"/>
      <c r="H92" s="3480"/>
      <c r="I92" s="2707"/>
      <c r="J92" s="2708"/>
      <c r="K92" s="2706" t="s">
        <v>788</v>
      </c>
      <c r="L92" s="2703"/>
      <c r="M92" s="2703"/>
      <c r="N92" s="2703"/>
      <c r="O92" s="2703"/>
      <c r="P92" s="2703"/>
      <c r="Q92" s="355"/>
      <c r="R92" s="355"/>
      <c r="S92" s="355"/>
      <c r="T92" s="355"/>
      <c r="U92" s="355"/>
      <c r="V92" s="355"/>
      <c r="W92" s="355"/>
      <c r="X92" s="355"/>
      <c r="Y92" s="355"/>
      <c r="Z92" s="355"/>
      <c r="AA92" s="355"/>
      <c r="AB92" s="2703"/>
      <c r="AC92" s="2703"/>
      <c r="AD92" s="2703"/>
      <c r="AE92" s="2703"/>
      <c r="AF92" s="2703"/>
      <c r="AG92" s="2703"/>
      <c r="AH92" s="2703"/>
      <c r="AI92" s="2703"/>
      <c r="AJ92" s="2703"/>
    </row>
    <row r="93" spans="1:36" s="2461" customFormat="1" ht="25.5" customHeight="1">
      <c r="A93" s="2626" t="s">
        <v>789</v>
      </c>
      <c r="B93" s="398" t="s">
        <v>765</v>
      </c>
      <c r="C93" s="2652">
        <f ca="1">ROUND(D45*D93/(1+'数据-取费表'!F30),0)</f>
        <v>13543</v>
      </c>
      <c r="D93" s="2653">
        <f>'数据-取费表'!E31</f>
        <v>6.0000000000000001E-3</v>
      </c>
      <c r="E93" s="3478" t="s">
        <v>766</v>
      </c>
      <c r="F93" s="3479"/>
      <c r="G93" s="3479"/>
      <c r="H93" s="3480"/>
      <c r="I93" s="2707"/>
      <c r="J93" s="2708"/>
      <c r="K93" s="355"/>
      <c r="L93" s="355"/>
      <c r="M93" s="355"/>
      <c r="N93" s="355"/>
      <c r="O93" s="355"/>
      <c r="P93" s="355"/>
      <c r="Q93" s="355"/>
      <c r="R93" s="355"/>
      <c r="S93" s="355"/>
      <c r="T93" s="355"/>
      <c r="U93" s="355"/>
      <c r="V93" s="355"/>
      <c r="W93" s="355"/>
      <c r="X93" s="355"/>
      <c r="Y93" s="355"/>
      <c r="Z93" s="355"/>
      <c r="AA93" s="355"/>
      <c r="AB93" s="2703"/>
      <c r="AC93" s="2703"/>
      <c r="AD93" s="2703"/>
      <c r="AE93" s="2703"/>
      <c r="AF93" s="2703"/>
      <c r="AG93" s="2703"/>
      <c r="AH93" s="2703"/>
      <c r="AI93" s="2703"/>
      <c r="AJ93" s="2703"/>
    </row>
    <row r="94" spans="1:36" s="2461" customFormat="1" ht="25.5" customHeight="1">
      <c r="A94" s="2626" t="s">
        <v>790</v>
      </c>
      <c r="B94" s="398" t="s">
        <v>791</v>
      </c>
      <c r="C94" s="2652">
        <f>ROUND((C87+C90+C91)*D94,0)</f>
        <v>0</v>
      </c>
      <c r="D94" s="2653">
        <v>0.2</v>
      </c>
      <c r="E94" s="3478" t="s">
        <v>792</v>
      </c>
      <c r="F94" s="3479"/>
      <c r="G94" s="3479"/>
      <c r="H94" s="3480"/>
      <c r="I94" s="2707"/>
      <c r="J94" s="2708"/>
      <c r="K94" s="355"/>
      <c r="L94" s="355"/>
      <c r="M94" s="355"/>
      <c r="N94" s="355"/>
      <c r="O94" s="355"/>
      <c r="P94" s="355"/>
      <c r="Q94" s="355"/>
      <c r="R94" s="355"/>
      <c r="S94" s="355"/>
      <c r="T94" s="355"/>
      <c r="U94" s="355"/>
      <c r="V94" s="355"/>
      <c r="W94" s="355"/>
      <c r="X94" s="355"/>
      <c r="Y94" s="355"/>
      <c r="Z94" s="355"/>
      <c r="AA94" s="355"/>
      <c r="AB94" s="2703"/>
      <c r="AC94" s="2703"/>
      <c r="AD94" s="2703"/>
      <c r="AE94" s="2703"/>
      <c r="AF94" s="2703"/>
      <c r="AG94" s="2703"/>
      <c r="AH94" s="2703"/>
      <c r="AI94" s="2703"/>
      <c r="AJ94" s="2703"/>
    </row>
    <row r="95" spans="1:36" s="2461" customFormat="1" ht="14.25">
      <c r="A95" s="2630" t="s">
        <v>740</v>
      </c>
      <c r="B95" s="495" t="s">
        <v>767</v>
      </c>
      <c r="C95" s="2633">
        <f ca="1">ROUND(C85-C86,0)</f>
        <v>2243558</v>
      </c>
      <c r="D95" s="398" t="s">
        <v>121</v>
      </c>
      <c r="E95" s="2180"/>
      <c r="F95" s="2181"/>
      <c r="G95" s="2181"/>
      <c r="H95" s="2663"/>
      <c r="I95" s="2707"/>
      <c r="J95" s="2708"/>
      <c r="K95" s="355"/>
      <c r="L95" s="355"/>
      <c r="M95" s="355"/>
      <c r="N95" s="355"/>
      <c r="O95" s="355"/>
      <c r="P95" s="355"/>
      <c r="Q95" s="355"/>
      <c r="R95" s="355"/>
      <c r="S95" s="355"/>
      <c r="T95" s="355"/>
      <c r="U95" s="355"/>
      <c r="V95" s="355"/>
      <c r="W95" s="355"/>
      <c r="X95" s="355"/>
      <c r="Y95" s="355"/>
      <c r="Z95" s="355"/>
      <c r="AA95" s="355"/>
      <c r="AB95" s="2703"/>
      <c r="AC95" s="2703"/>
      <c r="AD95" s="2703"/>
      <c r="AE95" s="2703"/>
      <c r="AF95" s="2703"/>
      <c r="AG95" s="2703"/>
      <c r="AH95" s="2703"/>
      <c r="AI95" s="2703"/>
      <c r="AJ95" s="2703"/>
    </row>
    <row r="96" spans="1:36" s="2461" customFormat="1" ht="24">
      <c r="A96" s="2630" t="s">
        <v>743</v>
      </c>
      <c r="B96" s="495" t="s">
        <v>768</v>
      </c>
      <c r="C96" s="2657">
        <f ca="1">IF(C95&lt;=0,0,C95/C86)</f>
        <v>165.66181791331314</v>
      </c>
      <c r="D96" s="398" t="s">
        <v>121</v>
      </c>
      <c r="E96" s="2259" t="str">
        <f ca="1">IF(C96&gt;=200%,"增值额超过扣除项目金额200%",IF(C96&gt;=100%,"增值额超过扣除项目金额100%，未超过200%",IF(C96&gt;=50%,"增值额超过扣除项目金额50%，未超过100%",IF(C96&lt;50%,"增值额未超过扣除项目金额50%"))))</f>
        <v>增值额超过扣除项目金额200%</v>
      </c>
      <c r="F96" s="2181"/>
      <c r="G96" s="2181"/>
      <c r="H96" s="2663"/>
      <c r="I96" s="2707"/>
      <c r="J96" s="2708"/>
      <c r="K96" s="355"/>
      <c r="L96" s="355"/>
      <c r="M96" s="355"/>
      <c r="N96" s="355"/>
      <c r="O96" s="355"/>
      <c r="P96" s="355"/>
      <c r="Q96" s="355"/>
      <c r="R96" s="355"/>
      <c r="S96" s="355"/>
      <c r="T96" s="355"/>
      <c r="U96" s="355"/>
      <c r="V96" s="355"/>
      <c r="W96" s="355"/>
      <c r="X96" s="355"/>
      <c r="Y96" s="355"/>
      <c r="Z96" s="355"/>
      <c r="AA96" s="355"/>
      <c r="AB96" s="2703"/>
      <c r="AC96" s="2703"/>
      <c r="AD96" s="2703"/>
      <c r="AE96" s="2703"/>
      <c r="AF96" s="2703"/>
      <c r="AG96" s="2703"/>
      <c r="AH96" s="2703"/>
      <c r="AI96" s="2703"/>
      <c r="AJ96" s="2703"/>
    </row>
    <row r="97" spans="1:36" s="2461" customFormat="1" ht="24">
      <c r="A97" s="2634" t="s">
        <v>769</v>
      </c>
      <c r="B97" s="513" t="s">
        <v>770</v>
      </c>
      <c r="C97" s="2658">
        <f ca="1">ROUND(IF(C95&lt;=0,0,IF(C96&gt;=200%,C95*60%-C86*35%,IF(C96&gt;=100%,C95*50%-C86*15%,IF(C96&gt;=50%,C95*40%-C86*5%,IF(C96&lt;50%,C95*30%,0))))),0)</f>
        <v>1341395</v>
      </c>
      <c r="D97" s="438" t="s">
        <v>121</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9"/>
      <c r="G97" s="2659"/>
      <c r="H97" s="2672"/>
      <c r="I97" s="2707"/>
      <c r="J97" s="2708"/>
      <c r="K97" s="355"/>
      <c r="L97" s="355"/>
      <c r="M97" s="355"/>
      <c r="N97" s="355"/>
      <c r="O97" s="355"/>
      <c r="P97" s="355"/>
      <c r="Q97" s="355"/>
      <c r="R97" s="355"/>
      <c r="S97" s="355"/>
      <c r="T97" s="355"/>
      <c r="U97" s="355"/>
      <c r="V97" s="355"/>
      <c r="W97" s="355"/>
      <c r="X97" s="355"/>
      <c r="Y97" s="355"/>
      <c r="Z97" s="355"/>
      <c r="AA97" s="355"/>
      <c r="AB97" s="2703"/>
      <c r="AC97" s="2703"/>
      <c r="AD97" s="2703"/>
      <c r="AE97" s="2703"/>
      <c r="AF97" s="2703"/>
      <c r="AG97" s="2703"/>
      <c r="AH97" s="2703"/>
      <c r="AI97" s="2703"/>
      <c r="AJ97" s="2703"/>
    </row>
    <row r="98" spans="1:36" ht="21.75" customHeight="1">
      <c r="A98" s="2540" t="s">
        <v>793</v>
      </c>
      <c r="B98" s="2466"/>
      <c r="C98" s="2466"/>
      <c r="D98" s="2466"/>
      <c r="E98" s="2673"/>
      <c r="F98" s="2673"/>
      <c r="G98" s="2673"/>
      <c r="H98" s="2674"/>
      <c r="I98" s="2466"/>
    </row>
    <row r="99" spans="1:36" ht="15.75">
      <c r="A99" s="3469" t="s">
        <v>794</v>
      </c>
      <c r="B99" s="3470"/>
      <c r="C99" s="3470"/>
      <c r="D99" s="3471"/>
      <c r="E99" s="2466"/>
      <c r="F99" s="3481" t="s">
        <v>795</v>
      </c>
      <c r="G99" s="3482"/>
      <c r="H99" s="3482"/>
      <c r="I99" s="3483"/>
      <c r="J99" s="2820"/>
    </row>
    <row r="100" spans="1:36" ht="15">
      <c r="A100" s="3484" t="s">
        <v>796</v>
      </c>
      <c r="B100" s="3485"/>
      <c r="C100" s="2677" t="str">
        <f>C4</f>
        <v>收益法</v>
      </c>
      <c r="D100" s="2678" t="str">
        <f>D4</f>
        <v>比较法-住宅</v>
      </c>
      <c r="E100" s="2466"/>
      <c r="F100" s="3448" t="s">
        <v>797</v>
      </c>
      <c r="G100" s="3450"/>
      <c r="H100" s="3448" t="s">
        <v>798</v>
      </c>
      <c r="I100" s="3451"/>
      <c r="J100" s="2710"/>
    </row>
    <row r="101" spans="1:36" ht="12.75">
      <c r="A101" s="3420" t="s">
        <v>799</v>
      </c>
      <c r="B101" s="497" t="str">
        <f>IF(H19="元","总价（元）","总价（万元）")</f>
        <v>总价（元）</v>
      </c>
      <c r="C101" s="2677">
        <f ca="1">C19</f>
        <v>1176893</v>
      </c>
      <c r="D101" s="2678">
        <f ca="1">D19</f>
        <v>2668225</v>
      </c>
      <c r="E101" s="2466"/>
      <c r="F101" s="3448" t="str">
        <f>项目基本情况!I1</f>
        <v>北京市房地产</v>
      </c>
      <c r="G101" s="3450"/>
      <c r="H101" s="3438">
        <f>项目基本情况!C12</f>
        <v>59.11</v>
      </c>
      <c r="I101" s="3451"/>
      <c r="J101" s="2710"/>
    </row>
    <row r="102" spans="1:36" ht="12.75">
      <c r="A102" s="3420"/>
      <c r="B102" s="497" t="s">
        <v>800</v>
      </c>
      <c r="C102" s="2679">
        <f ca="1">C20</f>
        <v>19910</v>
      </c>
      <c r="D102" s="2680">
        <f ca="1">D20</f>
        <v>45140</v>
      </c>
      <c r="E102" s="2466"/>
      <c r="F102" s="3410" t="s">
        <v>801</v>
      </c>
      <c r="G102" s="3411"/>
      <c r="H102" s="2681" t="str">
        <f>C106</f>
        <v>总价（元）</v>
      </c>
      <c r="I102" s="2690">
        <f ca="1">H121</f>
        <v>2369956</v>
      </c>
      <c r="J102" s="2710"/>
    </row>
    <row r="103" spans="1:36" ht="12.75">
      <c r="A103" s="3420" t="s">
        <v>802</v>
      </c>
      <c r="B103" s="498" t="str">
        <f>B101</f>
        <v>总价（元）</v>
      </c>
      <c r="C103" s="2684">
        <f ca="1">H121</f>
        <v>2369956</v>
      </c>
      <c r="D103" s="2682"/>
      <c r="E103" s="2466"/>
      <c r="F103" s="3410"/>
      <c r="G103" s="3411"/>
      <c r="H103" s="2681" t="s">
        <v>800</v>
      </c>
      <c r="I103" s="2628">
        <f ca="1">I121</f>
        <v>40094</v>
      </c>
      <c r="J103" s="2580"/>
    </row>
    <row r="104" spans="1:36" ht="12.75">
      <c r="A104" s="3421"/>
      <c r="B104" s="2687" t="s">
        <v>800</v>
      </c>
      <c r="C104" s="2688">
        <f ca="1">I121</f>
        <v>40094</v>
      </c>
      <c r="D104" s="2689"/>
      <c r="E104" s="2466"/>
      <c r="F104" s="3410"/>
      <c r="G104" s="3411"/>
      <c r="H104" s="3467"/>
      <c r="I104" s="3468"/>
      <c r="J104" s="2711"/>
    </row>
    <row r="105" spans="1:36" ht="15">
      <c r="A105" s="3469" t="s">
        <v>803</v>
      </c>
      <c r="B105" s="3470"/>
      <c r="C105" s="3470"/>
      <c r="D105" s="3471"/>
      <c r="E105" s="2466"/>
      <c r="F105" s="3472" t="s">
        <v>804</v>
      </c>
      <c r="G105" s="3473"/>
      <c r="H105" s="2686" t="str">
        <f>C108</f>
        <v>总额（元）</v>
      </c>
      <c r="I105" s="2690">
        <f>SUMIF(I106:I108,"&lt;9E307")</f>
        <v>0</v>
      </c>
      <c r="J105" s="2710"/>
    </row>
    <row r="106" spans="1:36" ht="14.25">
      <c r="A106" s="3410" t="s">
        <v>801</v>
      </c>
      <c r="B106" s="3411"/>
      <c r="C106" s="2681" t="str">
        <f>B101</f>
        <v>总价（元）</v>
      </c>
      <c r="D106" s="2690">
        <f ca="1">H121</f>
        <v>2369956</v>
      </c>
      <c r="E106" s="2466"/>
      <c r="F106" s="3455" t="s">
        <v>805</v>
      </c>
      <c r="G106" s="3456"/>
      <c r="H106" s="2686" t="str">
        <f>C109</f>
        <v>总额（元）</v>
      </c>
      <c r="I106" s="2712">
        <f>IF(D36="同一抵押权人同一抵押物续贷",C36&amp;"（续贷，未扣减，详见特别提示）",C36)</f>
        <v>0</v>
      </c>
      <c r="J106" s="2580"/>
      <c r="L106" s="2713" t="str">
        <f>IF(D123=0,"本次评估不存在"&amp;A123&amp;"。","本次评估"&amp;A123&amp;"为"&amp;D123&amp;"元人民币。")</f>
        <v>本次评估不存在估价师所知悉的法定优先受偿款。</v>
      </c>
      <c r="M106" s="2466"/>
      <c r="N106" s="2466"/>
      <c r="O106" s="2466"/>
      <c r="P106" s="2466"/>
      <c r="Q106" s="2466"/>
    </row>
    <row r="107" spans="1:36" ht="12.75">
      <c r="A107" s="3410"/>
      <c r="B107" s="3411"/>
      <c r="C107" s="2681" t="s">
        <v>800</v>
      </c>
      <c r="D107" s="2628">
        <f ca="1">I121</f>
        <v>40094</v>
      </c>
      <c r="E107" s="2466"/>
      <c r="F107" s="3455" t="s">
        <v>806</v>
      </c>
      <c r="G107" s="3456"/>
      <c r="H107" s="2686" t="str">
        <f>C110</f>
        <v>总额（元）</v>
      </c>
      <c r="I107" s="2628">
        <f>C37</f>
        <v>0</v>
      </c>
      <c r="J107" s="2580"/>
    </row>
    <row r="108" spans="1:36" ht="12.75">
      <c r="A108" s="3474" t="s">
        <v>804</v>
      </c>
      <c r="B108" s="3475"/>
      <c r="C108" s="2686" t="str">
        <f>IF(H19="元","总额（元）","总额（万元）")</f>
        <v>总额（元）</v>
      </c>
      <c r="D108" s="2690">
        <f>IF(D36="正常操作",I106+I107+I108,I107+I108)</f>
        <v>0</v>
      </c>
      <c r="E108" s="2466"/>
      <c r="F108" s="3455" t="s">
        <v>807</v>
      </c>
      <c r="G108" s="3456"/>
      <c r="H108" s="2686" t="str">
        <f>C111</f>
        <v>总额（元）</v>
      </c>
      <c r="I108" s="2628">
        <f>C38</f>
        <v>0</v>
      </c>
      <c r="J108" s="2580"/>
    </row>
    <row r="109" spans="1:36" ht="12.75">
      <c r="A109" s="3455" t="s">
        <v>805</v>
      </c>
      <c r="B109" s="3456"/>
      <c r="C109" s="2686" t="str">
        <f>C108</f>
        <v>总额（元）</v>
      </c>
      <c r="D109" s="2628">
        <f>IF(D36="同一抵押权人同一抵押物续贷",C36&amp;"（未扣减，详见特别提示）",C36)</f>
        <v>0</v>
      </c>
      <c r="E109" s="2466"/>
      <c r="F109" s="3410"/>
      <c r="G109" s="3411"/>
      <c r="H109" s="3476"/>
      <c r="I109" s="3477"/>
      <c r="J109" s="2714"/>
    </row>
    <row r="110" spans="1:36" ht="28.5" customHeight="1">
      <c r="A110" s="3455" t="s">
        <v>806</v>
      </c>
      <c r="B110" s="3456"/>
      <c r="C110" s="2686" t="str">
        <f>C108</f>
        <v>总额（元）</v>
      </c>
      <c r="D110" s="2628">
        <f>C37</f>
        <v>0</v>
      </c>
      <c r="E110" s="2466"/>
      <c r="F110" s="3406" t="str">
        <f>IF(项目基本情况!F5="已注销","——","3.房地产抵押价值")</f>
        <v>3.房地产抵押价值</v>
      </c>
      <c r="G110" s="3407"/>
      <c r="H110" s="2812" t="str">
        <f>C112</f>
        <v>总价（元）</v>
      </c>
      <c r="I110" s="2690">
        <f ca="1">IF(F110="——","——",I102-I105)</f>
        <v>2369956</v>
      </c>
      <c r="J110" s="2710"/>
    </row>
    <row r="111" spans="1:36" ht="12.75">
      <c r="A111" s="3455" t="s">
        <v>807</v>
      </c>
      <c r="B111" s="3456"/>
      <c r="C111" s="2686" t="str">
        <f>C108</f>
        <v>总额（元）</v>
      </c>
      <c r="D111" s="2628">
        <f>C38</f>
        <v>0</v>
      </c>
      <c r="E111" s="2466"/>
      <c r="F111" s="3408"/>
      <c r="G111" s="3409"/>
      <c r="H111" s="2681" t="s">
        <v>800</v>
      </c>
      <c r="I111" s="2715">
        <f ca="1">D113</f>
        <v>40094</v>
      </c>
      <c r="J111" s="2716"/>
    </row>
    <row r="112" spans="1:36" ht="26.25" customHeight="1">
      <c r="A112" s="3410" t="str">
        <f>IF(项目基本情况!F5="已注销","——","3.房地产抵押价值")</f>
        <v>3.房地产抵押价值</v>
      </c>
      <c r="B112" s="3411"/>
      <c r="C112" s="2681" t="str">
        <f>B101</f>
        <v>总价（元）</v>
      </c>
      <c r="D112" s="2690">
        <f ca="1">IF(A112="——","——",D106-D108)</f>
        <v>2369956</v>
      </c>
      <c r="E112" s="2466"/>
      <c r="F112" s="3406" t="str">
        <f>IF(项目基本情况!F5="已注销及未注销","4.抵押担保权已注销时的房地产抵押价值",IF(项目基本情况!F5="已注销","3.抵押担保权已注销时的房地产抵押价值","——"))</f>
        <v>——</v>
      </c>
      <c r="G112" s="3407"/>
      <c r="H112" s="2812" t="str">
        <f>C114</f>
        <v>总价（元）</v>
      </c>
      <c r="I112" s="2690" t="str">
        <f>IF(F112="——","——",I102-I107-I108)</f>
        <v>——</v>
      </c>
      <c r="J112" s="2710"/>
    </row>
    <row r="113" spans="1:16" ht="12.75">
      <c r="A113" s="3410"/>
      <c r="B113" s="3411"/>
      <c r="C113" s="2681" t="s">
        <v>800</v>
      </c>
      <c r="D113" s="2628">
        <f ca="1">ROUND(IF(D112=D106,D107,IF(H19="元",D112/项目基本情况!C12,D112*10000/项目基本情况!C12)),0)</f>
        <v>40094</v>
      </c>
      <c r="E113" s="2466"/>
      <c r="F113" s="3408"/>
      <c r="G113" s="3409"/>
      <c r="H113" s="2681" t="s">
        <v>800</v>
      </c>
      <c r="I113" s="2628" t="str">
        <f>D115</f>
        <v>——</v>
      </c>
      <c r="J113" s="2580"/>
    </row>
    <row r="114" spans="1:16" ht="12.75">
      <c r="A114" s="3410" t="str">
        <f>IF(项目基本情况!F5="已注销及未注销","4.抵押担保权已注销时的房地产抵押价值",IF(项目基本情况!F5="已注销","3.抵押担保权已注销时的房地产抵押价值","——"))</f>
        <v>——</v>
      </c>
      <c r="B114" s="3411"/>
      <c r="C114" s="2681" t="str">
        <f>B101</f>
        <v>总价（元）</v>
      </c>
      <c r="D114" s="2690" t="str">
        <f>IF(A114="——","——",D106-D110-D111)</f>
        <v>——</v>
      </c>
      <c r="E114" s="2466"/>
      <c r="F114" s="3406" t="str">
        <f>IF(项目基本情况!G5="抵押净值",IF(OR(项目基本情况!F5="已注销",项目基本情况!F5="房地产抵押价值"),"4.抵押净值","5.抵押净值"),"——")</f>
        <v>——</v>
      </c>
      <c r="G114" s="3407"/>
      <c r="H114" s="2681" t="str">
        <f>C116</f>
        <v>总价（元）</v>
      </c>
      <c r="I114" s="2690" t="str">
        <f>IF(F114="——","——",O59)</f>
        <v>——</v>
      </c>
      <c r="J114" s="2710"/>
    </row>
    <row r="115" spans="1:16" ht="12.75">
      <c r="A115" s="3410"/>
      <c r="B115" s="3411"/>
      <c r="C115" s="2681" t="s">
        <v>800</v>
      </c>
      <c r="D115" s="2628" t="str">
        <f>IF(A114="——","——",ROUND(IF(D114=D106,D107,IF(H19="元",D114/项目基本情况!C12,D114*10000/项目基本情况!C12)),0))</f>
        <v>——</v>
      </c>
      <c r="E115" s="2466"/>
      <c r="F115" s="3412"/>
      <c r="G115" s="3413"/>
      <c r="H115" s="2691" t="s">
        <v>800</v>
      </c>
      <c r="I115" s="2692" t="str">
        <f ca="1">D117</f>
        <v>——</v>
      </c>
      <c r="J115" s="2580"/>
    </row>
    <row r="116" spans="1:16" ht="15.75">
      <c r="A116" s="3410" t="str">
        <f>IF(项目基本情况!G5="抵押净值",IF(OR(项目基本情况!F5="已注销",项目基本情况!F5="房地产抵押价值"),"4.抵押净值","5.抵押净值"),"——")</f>
        <v>——</v>
      </c>
      <c r="B116" s="3411"/>
      <c r="C116" s="2681" t="str">
        <f>B101</f>
        <v>总价（元）</v>
      </c>
      <c r="D116" s="2690" t="str">
        <f>IF(A116="——","——",O59)</f>
        <v>——</v>
      </c>
      <c r="E116" s="2466"/>
      <c r="F116" s="3457"/>
      <c r="G116" s="3457"/>
      <c r="H116" s="3458"/>
      <c r="I116" s="3458"/>
      <c r="J116" s="2717"/>
      <c r="O116" s="1605"/>
      <c r="P116" s="1605"/>
    </row>
    <row r="117" spans="1:16" ht="12.75">
      <c r="A117" s="3465"/>
      <c r="B117" s="3466"/>
      <c r="C117" s="2691" t="s">
        <v>800</v>
      </c>
      <c r="D117" s="2692" t="str">
        <f ca="1">IF(D116=D112,D113,IF(A116="——","——",O61))</f>
        <v>——</v>
      </c>
      <c r="E117" s="2466"/>
      <c r="F117" s="3459" t="str">
        <f>IF(B32="总价","（以上估价结果中单价为总价除以建筑面积得出）","（以上估价结果中总价为楼面单价乘以建筑面积得出）")</f>
        <v>（以上估价结果中总价为楼面单价乘以建筑面积得出）</v>
      </c>
      <c r="G117" s="3459"/>
      <c r="H117" s="3459"/>
      <c r="I117" s="3459"/>
      <c r="J117" s="2718"/>
      <c r="O117" s="1605"/>
      <c r="P117" s="1605"/>
    </row>
    <row r="118" spans="1:16" ht="15">
      <c r="A118" s="3460" t="s">
        <v>808</v>
      </c>
      <c r="B118" s="3461"/>
      <c r="C118" s="3461"/>
      <c r="D118" s="3461"/>
      <c r="E118" s="3461"/>
      <c r="F118" s="3461"/>
      <c r="G118" s="3461"/>
      <c r="H118" s="3461"/>
      <c r="I118" s="3461"/>
      <c r="J118" s="2719"/>
    </row>
    <row r="119" spans="1:16" ht="12.75">
      <c r="A119" s="3422" t="s">
        <v>809</v>
      </c>
      <c r="B119" s="3423" t="s">
        <v>357</v>
      </c>
      <c r="C119" s="3423" t="s">
        <v>810</v>
      </c>
      <c r="D119" s="3462" t="s">
        <v>811</v>
      </c>
      <c r="E119" s="3463"/>
      <c r="F119" s="3429" t="s">
        <v>653</v>
      </c>
      <c r="G119" s="3429"/>
      <c r="H119" s="3429" t="s">
        <v>812</v>
      </c>
      <c r="I119" s="3464"/>
      <c r="J119" s="2580"/>
    </row>
    <row r="120" spans="1:16" ht="12.75">
      <c r="A120" s="3422"/>
      <c r="B120" s="3424"/>
      <c r="C120" s="3424"/>
      <c r="D120" s="2202" t="s">
        <v>813</v>
      </c>
      <c r="E120" s="2202" t="s">
        <v>814</v>
      </c>
      <c r="F120" s="2202" t="s">
        <v>813</v>
      </c>
      <c r="G120" s="2202" t="s">
        <v>814</v>
      </c>
      <c r="H120" s="2202" t="s">
        <v>813</v>
      </c>
      <c r="I120" s="2628" t="s">
        <v>814</v>
      </c>
      <c r="J120" s="2580"/>
    </row>
    <row r="121" spans="1:16" ht="12.75">
      <c r="A121" s="2561" t="str">
        <f>项目基本情况!I1</f>
        <v>北京市房地产</v>
      </c>
      <c r="B121" s="2202">
        <f>项目基本情况!C12</f>
        <v>59.11</v>
      </c>
      <c r="C121" s="2202">
        <f>项目基本情况!C13</f>
        <v>0</v>
      </c>
      <c r="D121" s="2202">
        <f ca="1">ROUND(IF(B32="总价",C34,IF('数据-取费表'!B3="万元",E121*B121/10000,E121*B121)),0)</f>
        <v>2087943</v>
      </c>
      <c r="E121" s="2202">
        <f ca="1">ROUND(IF(B32="楼面单价",C34,IF(H19="元",D121/B121,D121*10000/B121)),0)</f>
        <v>35323</v>
      </c>
      <c r="F121" s="2202">
        <f ca="1">ROUND(IF(B32="总价",C35,IF('数据-取费表'!B3="万元",G121*B121/10000,G121*B121)),0)</f>
        <v>282014</v>
      </c>
      <c r="G121" s="2202">
        <f ca="1">ROUND(IF(B32="楼面单价",C35,IF(H19="元",F121/B121,F121*10000/B121)),0)</f>
        <v>4771</v>
      </c>
      <c r="H121" s="2202">
        <f ca="1">ROUND(IF(B32="总价",C32,IF('数据-取费表'!B3="万元",I121*B121/10000,I121*B121)),0)</f>
        <v>2369956</v>
      </c>
      <c r="I121" s="2628">
        <f ca="1">ROUND(IF(B32="楼面单价",C32,IF(H19="元",H121/B121,H121*10000/B121)),0)</f>
        <v>40094</v>
      </c>
      <c r="J121" s="2580"/>
    </row>
    <row r="122" spans="1:16" ht="12.75">
      <c r="A122" s="3422" t="s">
        <v>815</v>
      </c>
      <c r="B122" s="3429"/>
      <c r="C122" s="3429"/>
      <c r="D122" s="3445" t="str">
        <f ca="1">IF(H19="元",NUMBERSTRING(INT(D121),2)&amp;"元整",NUMBERSTRING(INT(D121*10000),2)&amp;"元整")</f>
        <v>贰佰零捌万柒仟玖佰肆拾叁元整</v>
      </c>
      <c r="E122" s="3446"/>
      <c r="F122" s="3445" t="str">
        <f ca="1">IF(H19="元",NUMBERSTRING(INT(F121),2)&amp;"元整",NUMBERSTRING(INT(F121*10000),2)&amp;"元整")</f>
        <v>贰拾捌万贰仟零壹拾肆元整</v>
      </c>
      <c r="G122" s="3446"/>
      <c r="H122" s="3445" t="str">
        <f ca="1">IF(H19="元",NUMBERSTRING(INT(H121),2)&amp;"元整",NUMBERSTRING(INT(H121*10000),2)&amp;"元整")</f>
        <v>贰佰叁拾陆万玖仟玖佰伍拾陆元整</v>
      </c>
      <c r="I122" s="3447"/>
      <c r="J122" s="2720"/>
    </row>
    <row r="123" spans="1:16" ht="12.75">
      <c r="A123" s="3448" t="str">
        <f>IF(项目基本情况!D5="房地产市场价值","——",MID(A108,3,LEN(A108)-2))</f>
        <v>估价师所知悉的法定优先受偿款</v>
      </c>
      <c r="B123" s="3449"/>
      <c r="C123" s="3450"/>
      <c r="D123" s="3438">
        <f>I105</f>
        <v>0</v>
      </c>
      <c r="E123" s="3449"/>
      <c r="F123" s="3449"/>
      <c r="G123" s="3449"/>
      <c r="H123" s="3449"/>
      <c r="I123" s="3451"/>
      <c r="J123" s="2710"/>
    </row>
    <row r="124" spans="1:16" ht="12.75">
      <c r="A124" s="3452" t="s">
        <v>815</v>
      </c>
      <c r="B124" s="3453"/>
      <c r="C124" s="3454"/>
      <c r="D124" s="3430">
        <f>H109</f>
        <v>0</v>
      </c>
      <c r="E124" s="3431"/>
      <c r="F124" s="3431"/>
      <c r="G124" s="3431"/>
      <c r="H124" s="3431"/>
      <c r="I124" s="3432"/>
      <c r="J124" s="2721"/>
    </row>
    <row r="125" spans="1:16" ht="12.75">
      <c r="A125" s="3410" t="str">
        <f>IF(项目基本情况!D5="房地产市场价值","——",MID(A112,3,LEN(A112)-2))</f>
        <v>房地产抵押价值</v>
      </c>
      <c r="B125" s="3411"/>
      <c r="C125" s="3411"/>
      <c r="D125" s="3438">
        <f ca="1">I110</f>
        <v>2369956</v>
      </c>
      <c r="E125" s="3449"/>
      <c r="F125" s="3449"/>
      <c r="G125" s="3449"/>
      <c r="H125" s="3449"/>
      <c r="I125" s="3451"/>
      <c r="J125" s="2710"/>
    </row>
    <row r="126" spans="1:16" ht="12.75">
      <c r="A126" s="3422" t="s">
        <v>815</v>
      </c>
      <c r="B126" s="3429"/>
      <c r="C126" s="3429"/>
      <c r="D126" s="3430">
        <f ca="1">I111</f>
        <v>40094</v>
      </c>
      <c r="E126" s="3431"/>
      <c r="F126" s="3431"/>
      <c r="G126" s="3431"/>
      <c r="H126" s="3431"/>
      <c r="I126" s="3432"/>
      <c r="J126" s="2721"/>
    </row>
    <row r="127" spans="1:16" ht="12.75">
      <c r="A127" s="3410" t="str">
        <f>IF(项目基本情况!D5="房地产市场价值","——",MID(A114,3,LEN(A114)-2))</f>
        <v/>
      </c>
      <c r="B127" s="3411"/>
      <c r="C127" s="3411"/>
      <c r="D127" s="3433" t="str">
        <f>I112</f>
        <v>——</v>
      </c>
      <c r="E127" s="3434"/>
      <c r="F127" s="3434"/>
      <c r="G127" s="3434"/>
      <c r="H127" s="3434"/>
      <c r="I127" s="3435"/>
      <c r="J127" s="2710"/>
    </row>
    <row r="128" spans="1:16" ht="12.75">
      <c r="A128" s="3422" t="s">
        <v>815</v>
      </c>
      <c r="B128" s="3429"/>
      <c r="C128" s="3436"/>
      <c r="D128" s="3437" t="str">
        <f>I113</f>
        <v>——</v>
      </c>
      <c r="E128" s="3437"/>
      <c r="F128" s="3437"/>
      <c r="G128" s="3437"/>
      <c r="H128" s="3437"/>
      <c r="I128" s="3437"/>
      <c r="J128" s="2721"/>
    </row>
    <row r="129" spans="1:10" ht="12.75">
      <c r="A129" s="3410" t="str">
        <f>IF(项目基本情况!D5="房地产市场价值","——",MID(F114,3,LEN(F114)-2))</f>
        <v/>
      </c>
      <c r="B129" s="3411"/>
      <c r="C129" s="3438"/>
      <c r="D129" s="3439" t="str">
        <f>I114</f>
        <v>——</v>
      </c>
      <c r="E129" s="3439"/>
      <c r="F129" s="3439"/>
      <c r="G129" s="3439"/>
      <c r="H129" s="3439"/>
      <c r="I129" s="3439"/>
      <c r="J129" s="2710"/>
    </row>
    <row r="130" spans="1:10" ht="12.75">
      <c r="A130" s="3440" t="s">
        <v>815</v>
      </c>
      <c r="B130" s="3441"/>
      <c r="C130" s="3441"/>
      <c r="D130" s="3442">
        <f>H116</f>
        <v>0</v>
      </c>
      <c r="E130" s="3443"/>
      <c r="F130" s="3443"/>
      <c r="G130" s="3443"/>
      <c r="H130" s="3443"/>
      <c r="I130" s="3444"/>
      <c r="J130" s="2721"/>
    </row>
    <row r="131" spans="1:10" ht="12.75">
      <c r="A131" s="2538" t="str">
        <f>IF(H19="元","单位：平方米、元、元/平方米（币种：人民币）","单位：平方米、万元、元/平方米（币种：人民币）")</f>
        <v>单位：平方米、元、元/平方米（币种：人民币）</v>
      </c>
      <c r="B131" s="2538"/>
      <c r="C131" s="2538"/>
      <c r="D131" s="2538"/>
      <c r="E131" s="2538"/>
      <c r="F131" s="2538"/>
      <c r="G131" s="2538"/>
      <c r="H131" s="2538"/>
      <c r="I131" s="2538"/>
      <c r="J131" s="2739"/>
    </row>
    <row r="132" spans="1:10" ht="12.75">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14"/>
    </row>
    <row r="133" spans="1:10" ht="21.75" customHeight="1">
      <c r="A133" s="2722" t="s">
        <v>816</v>
      </c>
      <c r="B133" s="2723"/>
      <c r="C133" s="2724" t="s">
        <v>817</v>
      </c>
      <c r="D133" s="2725"/>
      <c r="E133" s="2725"/>
      <c r="F133" s="2725"/>
      <c r="G133" s="2725"/>
      <c r="H133" s="2726"/>
      <c r="I133" s="2740"/>
      <c r="J133" s="2741"/>
    </row>
    <row r="134" spans="1:10" ht="21.75" customHeight="1">
      <c r="A134" s="2727">
        <v>1</v>
      </c>
      <c r="B134" s="2728"/>
      <c r="C134" s="2728"/>
      <c r="D134" s="2725"/>
      <c r="E134" s="2725"/>
      <c r="F134" s="2725"/>
      <c r="G134" s="2725"/>
      <c r="H134" s="2726"/>
      <c r="I134" s="2740"/>
      <c r="J134" s="2741"/>
    </row>
    <row r="135" spans="1:10" ht="21.75" customHeight="1">
      <c r="A135" s="2727">
        <v>2</v>
      </c>
      <c r="B135" s="2728"/>
      <c r="C135" s="2728"/>
      <c r="D135" s="2725"/>
      <c r="E135" s="2725"/>
      <c r="F135" s="2725"/>
      <c r="G135" s="2725"/>
      <c r="H135" s="2726"/>
      <c r="I135" s="2740"/>
      <c r="J135" s="2741"/>
    </row>
    <row r="136" spans="1:10" ht="21.75" customHeight="1">
      <c r="A136" s="2727">
        <v>3</v>
      </c>
      <c r="B136" s="2728"/>
      <c r="C136" s="2728"/>
      <c r="D136" s="2725"/>
      <c r="E136" s="2725"/>
      <c r="F136" s="1605"/>
      <c r="G136" s="1605"/>
      <c r="H136" s="1605"/>
      <c r="I136" s="1605"/>
      <c r="J136" s="2742"/>
    </row>
    <row r="137" spans="1:10" ht="21.75" customHeight="1">
      <c r="A137" s="2729"/>
      <c r="B137" s="2730"/>
      <c r="C137" s="2730"/>
      <c r="D137" s="2731"/>
      <c r="E137" s="2731"/>
      <c r="F137" s="2731"/>
      <c r="G137" s="2731"/>
      <c r="H137" s="2732"/>
      <c r="I137" s="2743"/>
      <c r="J137" s="2741"/>
    </row>
    <row r="138" spans="1:10" ht="21.75" customHeight="1">
      <c r="A138" s="2728"/>
      <c r="B138" s="2728"/>
      <c r="C138" s="2728"/>
      <c r="D138" s="2725"/>
      <c r="E138" s="2725"/>
      <c r="F138" s="2725"/>
      <c r="G138" s="2725"/>
      <c r="H138" s="2726"/>
      <c r="I138" s="1608"/>
      <c r="J138" s="2742"/>
    </row>
    <row r="139" spans="1:10" ht="21.75" customHeight="1">
      <c r="A139" s="1608"/>
      <c r="B139" s="1608"/>
      <c r="C139" s="1608"/>
      <c r="D139" s="1608"/>
      <c r="E139" s="1608"/>
      <c r="F139" s="2733" t="s">
        <v>818</v>
      </c>
      <c r="G139" s="2734"/>
      <c r="H139" s="2734"/>
      <c r="I139" s="2744" t="s">
        <v>819</v>
      </c>
      <c r="J139" s="2745"/>
    </row>
    <row r="140" spans="1:10" ht="21.75" customHeight="1">
      <c r="A140" s="1608"/>
      <c r="B140" s="2735" t="s">
        <v>820</v>
      </c>
      <c r="C140" s="1608"/>
      <c r="D140" s="1608"/>
      <c r="E140" s="1608"/>
      <c r="F140" s="1608"/>
      <c r="G140" s="1608"/>
      <c r="H140" s="1608"/>
      <c r="I140" s="1608"/>
      <c r="J140" s="2742"/>
    </row>
    <row r="141" spans="1:10" ht="21.75" customHeight="1">
      <c r="A141" s="1608"/>
      <c r="B141" s="1608"/>
      <c r="C141" s="1608"/>
      <c r="D141" s="1608"/>
      <c r="E141" s="1608"/>
      <c r="F141" s="1608"/>
      <c r="G141" s="1608"/>
      <c r="H141" s="1608"/>
      <c r="I141" s="1608"/>
      <c r="J141" s="2742"/>
    </row>
    <row r="142" spans="1:10" ht="21.75" customHeight="1">
      <c r="A142" s="1608"/>
      <c r="B142" s="2734"/>
      <c r="C142" s="2734"/>
      <c r="D142" s="2734"/>
      <c r="E142" s="2734"/>
      <c r="F142" s="2734"/>
      <c r="G142" s="2734"/>
      <c r="H142" s="2734"/>
      <c r="I142" s="2744" t="s">
        <v>821</v>
      </c>
      <c r="J142" s="2745"/>
    </row>
    <row r="143" spans="1:10" ht="21.75" customHeight="1">
      <c r="A143" s="1608"/>
      <c r="B143" s="2735" t="s">
        <v>822</v>
      </c>
      <c r="C143" s="1608"/>
      <c r="D143" s="1608"/>
      <c r="E143" s="1608"/>
      <c r="F143" s="1608"/>
      <c r="G143" s="1608"/>
      <c r="H143" s="1608"/>
      <c r="I143" s="1608"/>
      <c r="J143" s="2742"/>
    </row>
    <row r="144" spans="1:10" ht="21.75" customHeight="1">
      <c r="A144" s="1608"/>
      <c r="B144" s="2735"/>
      <c r="C144" s="1608"/>
      <c r="D144" s="1608"/>
      <c r="E144" s="1608"/>
      <c r="F144" s="1608"/>
      <c r="G144" s="1608"/>
      <c r="H144" s="1608"/>
      <c r="I144" s="1608"/>
      <c r="J144" s="2742"/>
    </row>
    <row r="145" spans="1:36" ht="21.75" customHeight="1">
      <c r="A145" s="1608"/>
      <c r="B145" s="2734"/>
      <c r="C145" s="2734"/>
      <c r="D145" s="2734"/>
      <c r="E145" s="2734"/>
      <c r="F145" s="2734"/>
      <c r="G145" s="2734"/>
      <c r="H145" s="2734"/>
      <c r="I145" s="2744" t="s">
        <v>821</v>
      </c>
      <c r="J145" s="2745"/>
    </row>
    <row r="146" spans="1:36" ht="21.75" customHeight="1">
      <c r="A146" s="1608"/>
      <c r="B146" s="2735"/>
      <c r="C146" s="2736"/>
      <c r="D146" s="2737"/>
      <c r="E146" s="2737"/>
      <c r="F146" s="2738"/>
      <c r="G146" s="1608"/>
      <c r="H146" s="1608"/>
      <c r="I146" s="1608"/>
      <c r="J146" s="2742"/>
    </row>
    <row r="147" spans="1:36" s="1605" customFormat="1" ht="21.75" customHeight="1">
      <c r="A147" s="1608"/>
      <c r="B147" s="2735"/>
      <c r="C147" s="2736"/>
      <c r="D147" s="2737"/>
      <c r="E147" s="2737"/>
      <c r="F147" s="1608"/>
      <c r="G147" s="1608"/>
      <c r="H147" s="1608"/>
      <c r="I147" s="1608"/>
      <c r="J147" s="2742"/>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42"/>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42"/>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42"/>
    </row>
    <row r="151" spans="1:36" s="1608" customFormat="1" ht="21.75" customHeight="1">
      <c r="J151" s="2742"/>
    </row>
    <row r="152" spans="1:36" s="1608" customFormat="1" ht="21.75" customHeight="1">
      <c r="J152" s="2742"/>
    </row>
    <row r="153" spans="1:36" s="1608" customFormat="1" ht="21.75" customHeight="1">
      <c r="J153" s="2742"/>
    </row>
    <row r="154" spans="1:36" s="1608" customFormat="1" ht="21.75" customHeight="1">
      <c r="J154" s="2742"/>
    </row>
    <row r="155" spans="1:36" s="1608" customFormat="1" ht="21.75" customHeight="1">
      <c r="J155" s="2742"/>
    </row>
    <row r="156" spans="1:36" s="1608" customFormat="1" ht="21.75" customHeight="1">
      <c r="J156" s="2742"/>
    </row>
    <row r="157" spans="1:36" s="1608" customFormat="1" ht="21.75" customHeight="1">
      <c r="J157" s="2742"/>
    </row>
    <row r="158" spans="1:36" s="1608" customFormat="1" ht="21.75" customHeight="1">
      <c r="J158" s="2742"/>
    </row>
    <row r="159" spans="1:36" s="1608" customFormat="1" ht="21.75" customHeight="1">
      <c r="J159" s="2742"/>
    </row>
    <row r="160" spans="1:36" s="1608" customFormat="1" ht="21.75" customHeight="1">
      <c r="J160" s="2742"/>
    </row>
    <row r="161" spans="10:10" s="1608" customFormat="1" ht="21.75" customHeight="1">
      <c r="J161" s="2742"/>
    </row>
    <row r="162" spans="10:10" s="1608" customFormat="1" ht="21.75" customHeight="1">
      <c r="J162" s="2742"/>
    </row>
    <row r="163" spans="10:10" s="1608" customFormat="1" ht="21.75" customHeight="1">
      <c r="J163" s="2742"/>
    </row>
    <row r="164" spans="10:10" s="1608" customFormat="1" ht="21.75" customHeight="1">
      <c r="J164" s="2742"/>
    </row>
    <row r="165" spans="10:10" s="1608" customFormat="1" ht="21.75" customHeight="1">
      <c r="J165" s="2742"/>
    </row>
    <row r="166" spans="10:10" s="1608" customFormat="1" ht="21.75" customHeight="1">
      <c r="J166" s="2742"/>
    </row>
    <row r="167" spans="10:10" s="1608" customFormat="1" ht="21.75" customHeight="1">
      <c r="J167" s="2742"/>
    </row>
    <row r="168" spans="10:10" s="1608" customFormat="1" ht="21.75" customHeight="1">
      <c r="J168" s="2742"/>
    </row>
    <row r="169" spans="10:10" s="1608" customFormat="1" ht="21.75" customHeight="1">
      <c r="J169" s="2742"/>
    </row>
    <row r="170" spans="10:10" s="1608" customFormat="1" ht="21.75" customHeight="1">
      <c r="J170" s="2742"/>
    </row>
    <row r="171" spans="10:10" s="1608" customFormat="1" ht="21.75" customHeight="1">
      <c r="J171" s="2742"/>
    </row>
    <row r="172" spans="10:10" s="1608" customFormat="1" ht="21.75" customHeight="1">
      <c r="J172" s="2742"/>
    </row>
    <row r="173" spans="10:10" s="1608" customFormat="1" ht="21.75" customHeight="1">
      <c r="J173" s="2742"/>
    </row>
    <row r="174" spans="10:10" s="1608" customFormat="1" ht="21.75" customHeight="1">
      <c r="J174" s="2742"/>
    </row>
    <row r="175" spans="10:10" s="1608" customFormat="1" ht="21.75" customHeight="1">
      <c r="J175" s="2742"/>
    </row>
    <row r="176" spans="10:10" s="1608" customFormat="1" ht="21.75" customHeight="1">
      <c r="J176" s="2742"/>
    </row>
    <row r="177" spans="10:10" s="1608" customFormat="1" ht="21.75" customHeight="1">
      <c r="J177" s="2742"/>
    </row>
    <row r="178" spans="10:10" s="1608" customFormat="1" ht="21.75" customHeight="1">
      <c r="J178" s="2742"/>
    </row>
    <row r="179" spans="10:10" s="1608" customFormat="1" ht="21.75" customHeight="1">
      <c r="J179" s="2742"/>
    </row>
    <row r="180" spans="10:10" s="1608" customFormat="1" ht="21.75" customHeight="1">
      <c r="J180" s="2742"/>
    </row>
    <row r="181" spans="10:10" s="1608" customFormat="1" ht="21.75" customHeight="1">
      <c r="J181" s="2742"/>
    </row>
    <row r="182" spans="10:10" s="1608" customFormat="1" ht="21.75" customHeight="1">
      <c r="J182" s="2742"/>
    </row>
    <row r="183" spans="10:10" s="1608" customFormat="1" ht="21.75" customHeight="1">
      <c r="J183" s="2742"/>
    </row>
    <row r="184" spans="10:10" s="1608" customFormat="1" ht="21.75" customHeight="1">
      <c r="J184" s="2742"/>
    </row>
    <row r="185" spans="10:10" s="1608" customFormat="1" ht="21.75" customHeight="1">
      <c r="J185" s="2742"/>
    </row>
    <row r="186" spans="10:10" s="1608" customFormat="1" ht="21.75" customHeight="1">
      <c r="J186" s="2742"/>
    </row>
    <row r="187" spans="10:10" s="1608" customFormat="1" ht="21.75" customHeight="1">
      <c r="J187" s="2742"/>
    </row>
    <row r="188" spans="10:10" s="1608" customFormat="1" ht="21.75" customHeight="1">
      <c r="J188" s="2742"/>
    </row>
    <row r="189" spans="10:10" s="1608" customFormat="1" ht="21.75" customHeight="1">
      <c r="J189" s="2742"/>
    </row>
    <row r="190" spans="10:10" s="1608" customFormat="1" ht="21.75" customHeight="1">
      <c r="J190" s="2742"/>
    </row>
    <row r="191" spans="10:10" s="1608" customFormat="1" ht="21.75" customHeight="1">
      <c r="J191" s="2742"/>
    </row>
    <row r="192" spans="10:10" s="1608" customFormat="1" ht="21.75" customHeight="1">
      <c r="J192" s="2742"/>
    </row>
    <row r="193" spans="10:10" s="1608" customFormat="1" ht="21.75" customHeight="1">
      <c r="J193" s="2742"/>
    </row>
    <row r="194" spans="10:10" s="1608" customFormat="1" ht="21.75" customHeight="1">
      <c r="J194" s="2742"/>
    </row>
    <row r="195" spans="10:10" s="1608" customFormat="1" ht="21.75" customHeight="1">
      <c r="J195" s="2742"/>
    </row>
    <row r="196" spans="10:10" s="1608" customFormat="1" ht="21.75" customHeight="1">
      <c r="J196" s="2742"/>
    </row>
    <row r="197" spans="10:10" s="1608" customFormat="1" ht="21.75" customHeight="1">
      <c r="J197" s="2742"/>
    </row>
    <row r="198" spans="10:10" s="1608" customFormat="1" ht="21.75" customHeight="1">
      <c r="J198" s="2742"/>
    </row>
    <row r="199" spans="10:10" s="1608" customFormat="1" ht="21.75" customHeight="1">
      <c r="J199" s="2742"/>
    </row>
    <row r="200" spans="10:10" s="1608" customFormat="1" ht="21.75" customHeight="1">
      <c r="J200" s="2742"/>
    </row>
    <row r="201" spans="10:10" s="1608" customFormat="1" ht="21.75" customHeight="1">
      <c r="J201" s="2742"/>
    </row>
    <row r="202" spans="10:10" s="1608" customFormat="1" ht="21.75" customHeight="1">
      <c r="J202" s="2742"/>
    </row>
    <row r="203" spans="10:10" s="1608" customFormat="1" ht="21.75" customHeight="1">
      <c r="J203" s="2742"/>
    </row>
    <row r="204" spans="10:10" s="1608" customFormat="1" ht="21.75" customHeight="1">
      <c r="J204" s="2742"/>
    </row>
    <row r="205" spans="10:10" s="1608" customFormat="1" ht="21.75" customHeight="1">
      <c r="J205" s="2742"/>
    </row>
    <row r="206" spans="10:10" s="1608" customFormat="1" ht="21.75" customHeight="1">
      <c r="J206" s="2742"/>
    </row>
    <row r="207" spans="10:10" s="1608" customFormat="1" ht="21.75" customHeight="1">
      <c r="J207" s="2742"/>
    </row>
    <row r="208" spans="10:10" s="1608" customFormat="1" ht="21.75" customHeight="1">
      <c r="J208" s="2742"/>
    </row>
    <row r="209" spans="10:10" s="1608" customFormat="1" ht="21.75" customHeight="1">
      <c r="J209" s="2742"/>
    </row>
    <row r="210" spans="10:10" s="1608" customFormat="1" ht="21.75" customHeight="1">
      <c r="J210" s="2742"/>
    </row>
    <row r="211" spans="10:10" s="1608" customFormat="1" ht="21.75" customHeight="1">
      <c r="J211" s="2742"/>
    </row>
    <row r="212" spans="10:10" s="1608" customFormat="1" ht="21.75" customHeight="1">
      <c r="J212" s="2742"/>
    </row>
    <row r="213" spans="10:10" s="1608" customFormat="1" ht="21.75" customHeight="1">
      <c r="J213" s="2742"/>
    </row>
    <row r="214" spans="10:10" s="1608" customFormat="1" ht="21.75" customHeight="1">
      <c r="J214" s="2742"/>
    </row>
    <row r="215" spans="10:10" s="1608" customFormat="1" ht="21.75" customHeight="1">
      <c r="J215" s="2742"/>
    </row>
    <row r="216" spans="10:10" s="1608" customFormat="1" ht="21.75" customHeight="1">
      <c r="J216" s="2742"/>
    </row>
    <row r="217" spans="10:10" s="1608" customFormat="1" ht="21.75" customHeight="1">
      <c r="J217" s="2742"/>
    </row>
    <row r="218" spans="10:10" s="1608" customFormat="1" ht="21.75" customHeight="1">
      <c r="J218" s="2742"/>
    </row>
    <row r="219" spans="10:10" s="1608" customFormat="1" ht="21.75" customHeight="1">
      <c r="J219" s="2742"/>
    </row>
    <row r="220" spans="10:10" s="1608" customFormat="1" ht="21.75" customHeight="1">
      <c r="J220" s="2742"/>
    </row>
    <row r="221" spans="10:10" s="1608" customFormat="1" ht="21.75" customHeight="1">
      <c r="J221" s="2742"/>
    </row>
    <row r="222" spans="10:10" s="1608" customFormat="1" ht="21.75" customHeight="1">
      <c r="J222" s="2742"/>
    </row>
    <row r="223" spans="10:10" s="1608" customFormat="1" ht="21.75" customHeight="1">
      <c r="J223" s="2742"/>
    </row>
    <row r="224" spans="10:10" s="1608" customFormat="1" ht="21.75" customHeight="1">
      <c r="J224" s="2742"/>
    </row>
    <row r="225" spans="10:10" s="1608" customFormat="1" ht="21.75" customHeight="1">
      <c r="J225" s="2742"/>
    </row>
    <row r="226" spans="10:10" s="1608" customFormat="1" ht="21.75" customHeight="1">
      <c r="J226" s="2742"/>
    </row>
    <row r="227" spans="10:10" s="1608" customFormat="1" ht="21.75" customHeight="1">
      <c r="J227" s="2742"/>
    </row>
    <row r="228" spans="10:10" s="1608" customFormat="1" ht="21.75" customHeight="1">
      <c r="J228" s="2742"/>
    </row>
    <row r="229" spans="10:10" s="1608" customFormat="1" ht="21.75" customHeight="1">
      <c r="J229" s="2742"/>
    </row>
    <row r="230" spans="10:10" s="1608" customFormat="1" ht="21.75" customHeight="1">
      <c r="J230" s="2742"/>
    </row>
    <row r="231" spans="10:10" s="1608" customFormat="1" ht="21.75" customHeight="1">
      <c r="J231" s="2742"/>
    </row>
    <row r="232" spans="10:10" s="1608" customFormat="1" ht="21.75" customHeight="1">
      <c r="J232" s="2742"/>
    </row>
    <row r="233" spans="10:10" s="1608" customFormat="1" ht="21.75" customHeight="1">
      <c r="J233" s="2742"/>
    </row>
    <row r="234" spans="10:10" s="1608" customFormat="1" ht="21.75" customHeight="1">
      <c r="J234" s="2742"/>
    </row>
    <row r="235" spans="10:10" s="1608" customFormat="1" ht="21.75" customHeight="1">
      <c r="J235" s="2742"/>
    </row>
    <row r="236" spans="10:10" s="1608" customFormat="1" ht="21.75" customHeight="1">
      <c r="J236" s="2742"/>
    </row>
    <row r="237" spans="10:10" s="1608" customFormat="1" ht="21.75" customHeight="1">
      <c r="J237" s="2742"/>
    </row>
    <row r="238" spans="10:10" s="1608" customFormat="1" ht="21.75" customHeight="1">
      <c r="J238" s="2742"/>
    </row>
    <row r="239" spans="10:10" s="1608" customFormat="1" ht="21.75" customHeight="1">
      <c r="J239" s="2742"/>
    </row>
    <row r="240" spans="10:10" s="1608" customFormat="1" ht="21.75" customHeight="1">
      <c r="J240" s="2742"/>
    </row>
    <row r="241" spans="10:10" s="1608" customFormat="1" ht="21.75" customHeight="1">
      <c r="J241" s="2742"/>
    </row>
    <row r="242" spans="10:10" s="1608" customFormat="1" ht="21.75" customHeight="1">
      <c r="J242" s="2742"/>
    </row>
    <row r="243" spans="10:10" s="1608" customFormat="1" ht="21.75" customHeight="1">
      <c r="J243" s="2742"/>
    </row>
    <row r="244" spans="10:10" s="1608" customFormat="1" ht="21.75" customHeight="1">
      <c r="J244" s="2742"/>
    </row>
    <row r="245" spans="10:10" s="1608" customFormat="1" ht="21.75" customHeight="1">
      <c r="J245" s="2742"/>
    </row>
    <row r="246" spans="10:10" s="1608" customFormat="1" ht="21.75" customHeight="1">
      <c r="J246" s="2742"/>
    </row>
    <row r="247" spans="10:10" s="1608" customFormat="1" ht="21.75" customHeight="1">
      <c r="J247" s="2742"/>
    </row>
    <row r="248" spans="10:10" s="1608" customFormat="1" ht="21.75" customHeight="1">
      <c r="J248" s="2742"/>
    </row>
    <row r="249" spans="10:10" s="1608" customFormat="1" ht="21.75" customHeight="1">
      <c r="J249" s="2742"/>
    </row>
    <row r="250" spans="10:10" s="1608" customFormat="1" ht="21.75" customHeight="1">
      <c r="J250" s="2742"/>
    </row>
    <row r="251" spans="10:10" s="1608" customFormat="1" ht="21.75" customHeight="1">
      <c r="J251" s="2742"/>
    </row>
    <row r="252" spans="10:10" s="1608" customFormat="1" ht="21.75" customHeight="1">
      <c r="J252" s="2742"/>
    </row>
    <row r="253" spans="10:10" s="1608" customFormat="1" ht="21.75" customHeight="1">
      <c r="J253" s="2742"/>
    </row>
    <row r="254" spans="10:10" s="1608" customFormat="1" ht="21.75" customHeight="1">
      <c r="J254" s="2742"/>
    </row>
    <row r="255" spans="10:10" s="1608" customFormat="1" ht="21.75" customHeight="1">
      <c r="J255" s="2742"/>
    </row>
    <row r="256" spans="10:10" s="1608" customFormat="1" ht="21.75" customHeight="1">
      <c r="J256" s="2742"/>
    </row>
    <row r="257" spans="10:10" s="1608" customFormat="1" ht="21.75" customHeight="1">
      <c r="J257" s="2742"/>
    </row>
    <row r="258" spans="10:10" s="1608" customFormat="1" ht="21.75" customHeight="1">
      <c r="J258" s="2742"/>
    </row>
    <row r="259" spans="10:10" s="1608" customFormat="1" ht="21.75" customHeight="1">
      <c r="J259" s="2742"/>
    </row>
    <row r="260" spans="10:10" s="1608" customFormat="1" ht="21.75" customHeight="1">
      <c r="J260" s="2742"/>
    </row>
    <row r="261" spans="10:10" s="1608" customFormat="1" ht="21.75" customHeight="1">
      <c r="J261" s="2742"/>
    </row>
    <row r="262" spans="10:10" s="1608" customFormat="1" ht="21.75" customHeight="1">
      <c r="J262" s="2742"/>
    </row>
    <row r="263" spans="10:10" s="1608" customFormat="1" ht="21.75" customHeight="1">
      <c r="J263" s="2742"/>
    </row>
    <row r="264" spans="10:10" s="1608" customFormat="1" ht="21.75" customHeight="1">
      <c r="J264" s="2742"/>
    </row>
    <row r="265" spans="10:10" s="1608" customFormat="1" ht="21.75" customHeight="1">
      <c r="J265" s="2742"/>
    </row>
    <row r="266" spans="10:10" s="1608" customFormat="1" ht="21.75" customHeight="1">
      <c r="J266" s="2742"/>
    </row>
    <row r="267" spans="10:10" s="1608" customFormat="1" ht="21.75" customHeight="1">
      <c r="J267" s="2742"/>
    </row>
    <row r="268" spans="10:10" s="1608" customFormat="1" ht="21.75" customHeight="1">
      <c r="J268" s="2742"/>
    </row>
    <row r="269" spans="10:10" s="1608" customFormat="1" ht="21.75" customHeight="1">
      <c r="J269" s="2742"/>
    </row>
    <row r="270" spans="10:10" s="1608" customFormat="1" ht="21.75" customHeight="1">
      <c r="J270" s="2742"/>
    </row>
    <row r="271" spans="10:10" s="1608" customFormat="1" ht="21.75" customHeight="1">
      <c r="J271" s="2742"/>
    </row>
    <row r="272" spans="10:10" s="1608" customFormat="1" ht="21.75" customHeight="1">
      <c r="J272" s="2742"/>
    </row>
    <row r="273" spans="10:10" s="1608" customFormat="1" ht="21.75" customHeight="1">
      <c r="J273" s="2742"/>
    </row>
    <row r="274" spans="10:10" s="1608" customFormat="1" ht="21.75" customHeight="1">
      <c r="J274" s="2742"/>
    </row>
    <row r="275" spans="10:10" s="1608" customFormat="1" ht="21.75" customHeight="1">
      <c r="J275" s="2742"/>
    </row>
    <row r="276" spans="10:10" s="1608" customFormat="1" ht="21.75" customHeight="1">
      <c r="J276" s="2742"/>
    </row>
    <row r="277" spans="10:10" s="1608" customFormat="1" ht="21.75" customHeight="1">
      <c r="J277" s="2742"/>
    </row>
    <row r="278" spans="10:10" s="1608" customFormat="1" ht="21.75" customHeight="1">
      <c r="J278" s="2742"/>
    </row>
    <row r="279" spans="10:10" s="1608" customFormat="1" ht="21.75" customHeight="1">
      <c r="J279" s="2742"/>
    </row>
    <row r="280" spans="10:10" s="1608" customFormat="1" ht="21.75" customHeight="1">
      <c r="J280" s="2742"/>
    </row>
    <row r="281" spans="10:10" s="1608" customFormat="1" ht="21.75" customHeight="1">
      <c r="J281" s="2742"/>
    </row>
    <row r="282" spans="10:10" s="1608" customFormat="1" ht="21.75" customHeight="1">
      <c r="J282" s="2742"/>
    </row>
    <row r="283" spans="10:10" s="1608" customFormat="1" ht="21.75" customHeight="1">
      <c r="J283" s="2742"/>
    </row>
    <row r="284" spans="10:10" s="1608" customFormat="1" ht="21.75" customHeight="1">
      <c r="J284" s="2742"/>
    </row>
    <row r="285" spans="10:10" s="1608" customFormat="1" ht="21.75" customHeight="1">
      <c r="J285" s="2742"/>
    </row>
    <row r="286" spans="10:10" s="1608" customFormat="1" ht="21.75" customHeight="1">
      <c r="J286" s="2742"/>
    </row>
    <row r="287" spans="10:10" s="1608" customFormat="1" ht="21.75" customHeight="1">
      <c r="J287" s="2742"/>
    </row>
    <row r="288" spans="10:10" s="1608" customFormat="1" ht="21.75" customHeight="1">
      <c r="J288" s="2742"/>
    </row>
    <row r="289" spans="10:10" s="1608" customFormat="1" ht="21.75" customHeight="1">
      <c r="J289" s="2742"/>
    </row>
    <row r="290" spans="10:10" s="1608" customFormat="1" ht="21.75" customHeight="1">
      <c r="J290" s="2742"/>
    </row>
    <row r="291" spans="10:10" s="1608" customFormat="1" ht="21.75" customHeight="1">
      <c r="J291" s="2742"/>
    </row>
    <row r="292" spans="10:10" s="1608" customFormat="1" ht="21.75" customHeight="1">
      <c r="J292" s="2742"/>
    </row>
    <row r="293" spans="10:10" s="1608" customFormat="1" ht="21.75" customHeight="1">
      <c r="J293" s="2742"/>
    </row>
    <row r="294" spans="10:10" s="1608" customFormat="1" ht="21.75" customHeight="1">
      <c r="J294" s="2742"/>
    </row>
    <row r="295" spans="10:10" s="1608" customFormat="1" ht="21.75" customHeight="1">
      <c r="J295" s="2742"/>
    </row>
    <row r="296" spans="10:10" s="1608" customFormat="1" ht="21.75" customHeight="1">
      <c r="J296" s="2742"/>
    </row>
    <row r="297" spans="10:10" s="1608" customFormat="1" ht="21.75" customHeight="1">
      <c r="J297" s="2742"/>
    </row>
    <row r="298" spans="10:10" s="1608" customFormat="1" ht="21.75" customHeight="1">
      <c r="J298" s="2742"/>
    </row>
    <row r="299" spans="10:10" s="1608" customFormat="1" ht="21.75" customHeight="1">
      <c r="J299" s="2742"/>
    </row>
    <row r="300" spans="10:10" s="1608" customFormat="1" ht="21.75" customHeight="1">
      <c r="J300" s="2742"/>
    </row>
    <row r="301" spans="10:10" s="1608" customFormat="1" ht="21.75" customHeight="1">
      <c r="J301" s="2742"/>
    </row>
    <row r="302" spans="10:10" s="1608" customFormat="1" ht="21.75" customHeight="1">
      <c r="J302" s="2742"/>
    </row>
    <row r="303" spans="10:10" s="1608" customFormat="1" ht="21.75" customHeight="1">
      <c r="J303" s="2742"/>
    </row>
    <row r="304" spans="10:10" s="1608" customFormat="1" ht="21.75" customHeight="1">
      <c r="J304" s="2742"/>
    </row>
    <row r="305" spans="10:10" s="1608" customFormat="1" ht="21.75" customHeight="1">
      <c r="J305" s="2742"/>
    </row>
    <row r="306" spans="10:10" s="1608" customFormat="1" ht="21.75" customHeight="1">
      <c r="J306" s="2742"/>
    </row>
    <row r="307" spans="10:10" s="1608" customFormat="1" ht="21.75" customHeight="1">
      <c r="J307" s="2742"/>
    </row>
    <row r="308" spans="10:10" s="1608" customFormat="1" ht="21.75" customHeight="1">
      <c r="J308" s="2742"/>
    </row>
    <row r="309" spans="10:10" s="1608" customFormat="1" ht="21.75" customHeight="1">
      <c r="J309" s="2742"/>
    </row>
    <row r="310" spans="10:10" s="1608" customFormat="1" ht="21.75" customHeight="1">
      <c r="J310" s="2742"/>
    </row>
    <row r="311" spans="10:10" s="1608" customFormat="1" ht="21.75" customHeight="1">
      <c r="J311" s="2742"/>
    </row>
    <row r="312" spans="10:10" s="1608" customFormat="1" ht="21.75" customHeight="1">
      <c r="J312" s="2742"/>
    </row>
    <row r="313" spans="10:10" s="1608" customFormat="1" ht="21.75" customHeight="1">
      <c r="J313" s="2742"/>
    </row>
    <row r="314" spans="10:10" s="1608" customFormat="1" ht="21.75" customHeight="1">
      <c r="J314" s="2742"/>
    </row>
    <row r="315" spans="10:10" s="1608" customFormat="1" ht="21.75" customHeight="1">
      <c r="J315" s="2742"/>
    </row>
    <row r="316" spans="10:10" s="1608" customFormat="1" ht="21.75" customHeight="1">
      <c r="J316" s="2742"/>
    </row>
    <row r="317" spans="10:10" s="1608" customFormat="1" ht="21.75" customHeight="1">
      <c r="J317" s="2742"/>
    </row>
    <row r="318" spans="10:10" s="1608" customFormat="1" ht="21.75" customHeight="1">
      <c r="J318" s="2742"/>
    </row>
    <row r="319" spans="10:10" s="1608" customFormat="1" ht="21.75" customHeight="1">
      <c r="J319" s="2742"/>
    </row>
    <row r="320" spans="10:10" s="1608" customFormat="1" ht="21.75" customHeight="1">
      <c r="J320" s="2742"/>
    </row>
    <row r="321" spans="10:10" s="1608" customFormat="1" ht="21.75" customHeight="1">
      <c r="J321" s="2742"/>
    </row>
    <row r="322" spans="10:10" s="1608" customFormat="1" ht="21.75" customHeight="1">
      <c r="J322" s="2742"/>
    </row>
    <row r="323" spans="10:10" s="1608" customFormat="1" ht="21.75" customHeight="1">
      <c r="J323" s="2742"/>
    </row>
    <row r="324" spans="10:10" s="1608" customFormat="1" ht="21.75" customHeight="1">
      <c r="J324" s="2742"/>
    </row>
    <row r="325" spans="10:10" s="1608" customFormat="1" ht="21.75" customHeight="1">
      <c r="J325" s="2742"/>
    </row>
    <row r="326" spans="10:10" s="1608" customFormat="1" ht="21.75" customHeight="1">
      <c r="J326" s="2742"/>
    </row>
    <row r="327" spans="10:10" s="1608" customFormat="1" ht="21.75" customHeight="1">
      <c r="J327" s="2742"/>
    </row>
    <row r="328" spans="10:10" s="1608" customFormat="1" ht="21.75" customHeight="1">
      <c r="J328" s="2742"/>
    </row>
    <row r="329" spans="10:10" s="1608" customFormat="1" ht="21.75" customHeight="1">
      <c r="J329" s="2742"/>
    </row>
    <row r="330" spans="10:10" s="1608" customFormat="1" ht="21.75" customHeight="1">
      <c r="J330" s="2742"/>
    </row>
    <row r="331" spans="10:10" s="1608" customFormat="1" ht="21.75" customHeight="1">
      <c r="J331" s="2742"/>
    </row>
    <row r="332" spans="10:10" s="1608" customFormat="1" ht="21.75" customHeight="1">
      <c r="J332" s="2742"/>
    </row>
    <row r="333" spans="10:10" s="1608" customFormat="1" ht="21.75" customHeight="1">
      <c r="J333" s="2742"/>
    </row>
    <row r="334" spans="10:10" s="1608" customFormat="1" ht="21.75" customHeight="1">
      <c r="J334" s="2742"/>
    </row>
    <row r="335" spans="10:10" s="1608" customFormat="1" ht="21.75" customHeight="1">
      <c r="J335" s="2742"/>
    </row>
    <row r="336" spans="10:10" s="1608" customFormat="1" ht="21.75" customHeight="1">
      <c r="J336" s="2742"/>
    </row>
    <row r="337" spans="10:10" s="1608" customFormat="1" ht="21.75" customHeight="1">
      <c r="J337" s="2742"/>
    </row>
    <row r="338" spans="10:10" s="1608" customFormat="1" ht="21.75" customHeight="1">
      <c r="J338" s="2742"/>
    </row>
    <row r="339" spans="10:10" s="1608" customFormat="1" ht="21.75" customHeight="1">
      <c r="J339" s="2742"/>
    </row>
    <row r="340" spans="10:10" s="1608" customFormat="1" ht="21.75" customHeight="1">
      <c r="J340" s="2742"/>
    </row>
    <row r="341" spans="10:10" s="1608" customFormat="1" ht="21.75" customHeight="1">
      <c r="J341" s="2742"/>
    </row>
    <row r="342" spans="10:10" s="1608" customFormat="1" ht="21.75" customHeight="1">
      <c r="J342" s="2742"/>
    </row>
    <row r="343" spans="10:10" s="1608" customFormat="1" ht="21.75" customHeight="1">
      <c r="J343" s="2742"/>
    </row>
    <row r="344" spans="10:10" s="1608" customFormat="1" ht="21.75" customHeight="1">
      <c r="J344" s="2742"/>
    </row>
    <row r="345" spans="10:10" s="1608" customFormat="1" ht="21.75" customHeight="1">
      <c r="J345" s="2742"/>
    </row>
    <row r="346" spans="10:10" s="1608" customFormat="1" ht="21.75" customHeight="1">
      <c r="J346" s="2742"/>
    </row>
    <row r="347" spans="10:10" s="1608" customFormat="1" ht="21.75" customHeight="1">
      <c r="J347" s="2742"/>
    </row>
    <row r="348" spans="10:10" s="1608" customFormat="1" ht="21.75" customHeight="1">
      <c r="J348" s="2742"/>
    </row>
    <row r="349" spans="10:10" s="1608" customFormat="1" ht="21.75" customHeight="1">
      <c r="J349" s="2742"/>
    </row>
    <row r="350" spans="10:10" s="1608" customFormat="1" ht="21.75" customHeight="1">
      <c r="J350" s="2742"/>
    </row>
    <row r="351" spans="10:10" s="1608" customFormat="1" ht="21.75" customHeight="1">
      <c r="J351" s="2742"/>
    </row>
    <row r="352" spans="10:10" s="1608" customFormat="1" ht="21.75" customHeight="1">
      <c r="J352" s="2742"/>
    </row>
    <row r="353" spans="10:10" s="1608" customFormat="1" ht="21.75" customHeight="1">
      <c r="J353" s="2742"/>
    </row>
    <row r="354" spans="10:10" s="1608" customFormat="1" ht="21.75" customHeight="1">
      <c r="J354" s="2742"/>
    </row>
    <row r="355" spans="10:10" s="1608" customFormat="1" ht="21.75" customHeight="1">
      <c r="J355" s="2742"/>
    </row>
    <row r="356" spans="10:10" s="1608" customFormat="1" ht="21.75" customHeight="1">
      <c r="J356" s="2742"/>
    </row>
    <row r="357" spans="10:10" s="1608" customFormat="1" ht="21.75" customHeight="1">
      <c r="J357" s="2742"/>
    </row>
    <row r="358" spans="10:10" s="1608" customFormat="1" ht="21.75" customHeight="1">
      <c r="J358" s="2742"/>
    </row>
    <row r="359" spans="10:10" s="1608" customFormat="1" ht="21.75" customHeight="1">
      <c r="J359" s="2742"/>
    </row>
    <row r="360" spans="10:10" s="1608" customFormat="1" ht="21.75" customHeight="1">
      <c r="J360" s="2742"/>
    </row>
    <row r="361" spans="10:10" s="1608" customFormat="1" ht="21.75" customHeight="1">
      <c r="J361" s="2742"/>
    </row>
    <row r="362" spans="10:10" s="1608" customFormat="1" ht="21.75" customHeight="1">
      <c r="J362" s="2742"/>
    </row>
    <row r="363" spans="10:10" s="1608" customFormat="1" ht="21.75" customHeight="1">
      <c r="J363" s="2742"/>
    </row>
    <row r="364" spans="10:10" s="1608" customFormat="1" ht="21.75" customHeight="1">
      <c r="J364" s="2742"/>
    </row>
    <row r="365" spans="10:10" s="1608" customFormat="1" ht="21.75" customHeight="1">
      <c r="J365" s="2742"/>
    </row>
    <row r="366" spans="10:10" s="1608" customFormat="1" ht="21.75" customHeight="1">
      <c r="J366" s="2742"/>
    </row>
    <row r="367" spans="10:10" s="1608" customFormat="1" ht="21.75" customHeight="1">
      <c r="J367" s="2742"/>
    </row>
    <row r="368" spans="10:10" s="1608" customFormat="1" ht="21.75" customHeight="1">
      <c r="J368" s="2742"/>
    </row>
    <row r="369" spans="10:10" s="1608" customFormat="1" ht="21.75" customHeight="1">
      <c r="J369" s="2742"/>
    </row>
    <row r="370" spans="10:10" s="1608" customFormat="1" ht="21.75" customHeight="1">
      <c r="J370" s="2742"/>
    </row>
    <row r="371" spans="10:10" s="1608" customFormat="1" ht="21.75" customHeight="1">
      <c r="J371" s="2742"/>
    </row>
    <row r="372" spans="10:10" s="1608" customFormat="1" ht="21.75" customHeight="1">
      <c r="J372" s="2742"/>
    </row>
    <row r="373" spans="10:10" s="1608" customFormat="1" ht="21.75" customHeight="1">
      <c r="J373" s="2742"/>
    </row>
    <row r="374" spans="10:10" s="1608" customFormat="1" ht="21.75" customHeight="1">
      <c r="J374" s="2742"/>
    </row>
    <row r="375" spans="10:10" s="1608" customFormat="1" ht="21.75" customHeight="1">
      <c r="J375" s="2742"/>
    </row>
    <row r="376" spans="10:10" s="1608" customFormat="1" ht="21.75" customHeight="1">
      <c r="J376" s="2742"/>
    </row>
    <row r="377" spans="10:10" s="1608" customFormat="1" ht="21.75" customHeight="1">
      <c r="J377" s="2742"/>
    </row>
    <row r="378" spans="10:10" s="1608" customFormat="1" ht="21.75" customHeight="1">
      <c r="J378" s="2742"/>
    </row>
    <row r="379" spans="10:10" s="1608" customFormat="1" ht="21.75" customHeight="1">
      <c r="J379" s="2742"/>
    </row>
    <row r="380" spans="10:10" s="1608" customFormat="1" ht="21.75" customHeight="1">
      <c r="J380" s="2742"/>
    </row>
    <row r="381" spans="10:10" s="1608" customFormat="1" ht="21.75" customHeight="1">
      <c r="J381" s="2742"/>
    </row>
    <row r="382" spans="10:10" s="1608" customFormat="1" ht="21.75" customHeight="1">
      <c r="J382" s="2742"/>
    </row>
    <row r="383" spans="10:10" s="1608" customFormat="1" ht="21.75" customHeight="1">
      <c r="J383" s="2742"/>
    </row>
    <row r="384" spans="10:10" s="1608" customFormat="1" ht="21.75" customHeight="1">
      <c r="J384" s="2742"/>
    </row>
    <row r="385" spans="10:10" s="1608" customFormat="1" ht="21.75" customHeight="1">
      <c r="J385" s="2742"/>
    </row>
    <row r="386" spans="10:10" s="1608" customFormat="1" ht="21.75" customHeight="1">
      <c r="J386" s="2742"/>
    </row>
    <row r="387" spans="10:10" s="1608" customFormat="1" ht="21.75" customHeight="1">
      <c r="J387" s="2742"/>
    </row>
    <row r="388" spans="10:10" s="1608" customFormat="1" ht="21.75" customHeight="1">
      <c r="J388" s="2742"/>
    </row>
    <row r="389" spans="10:10" s="1608" customFormat="1" ht="21.75" customHeight="1">
      <c r="J389" s="2742"/>
    </row>
    <row r="390" spans="10:10" s="1608" customFormat="1" ht="21.75" customHeight="1">
      <c r="J390" s="2742"/>
    </row>
    <row r="391" spans="10:10" s="1608" customFormat="1" ht="21.75" customHeight="1">
      <c r="J391" s="2742"/>
    </row>
    <row r="392" spans="10:10" s="1608" customFormat="1" ht="21.75" customHeight="1">
      <c r="J392" s="2742"/>
    </row>
    <row r="393" spans="10:10" s="1608" customFormat="1" ht="21.75" customHeight="1">
      <c r="J393" s="2742"/>
    </row>
    <row r="394" spans="10:10" s="1608" customFormat="1" ht="21.75" customHeight="1">
      <c r="J394" s="2742"/>
    </row>
    <row r="395" spans="10:10" s="1608" customFormat="1" ht="21.75" customHeight="1">
      <c r="J395" s="2742"/>
    </row>
    <row r="396" spans="10:10" s="1608" customFormat="1" ht="21.75" customHeight="1">
      <c r="J396" s="2742"/>
    </row>
    <row r="397" spans="10:10" s="1608" customFormat="1" ht="21.75" customHeight="1">
      <c r="J397" s="2742"/>
    </row>
    <row r="398" spans="10:10" s="1608" customFormat="1" ht="21.75" customHeight="1">
      <c r="J398" s="2742"/>
    </row>
    <row r="399" spans="10:10" s="1608" customFormat="1" ht="21.75" customHeight="1">
      <c r="J399" s="2742"/>
    </row>
    <row r="400" spans="10:10" s="1608" customFormat="1" ht="21.75" customHeight="1">
      <c r="J400" s="2742"/>
    </row>
    <row r="401" spans="10:27" s="1608" customFormat="1" ht="21.75" customHeight="1">
      <c r="J401" s="2742"/>
    </row>
    <row r="402" spans="10:27" s="1608" customFormat="1" ht="21.75" customHeight="1">
      <c r="J402" s="2742"/>
    </row>
    <row r="403" spans="10:27" s="2462" customFormat="1" ht="21.75" customHeight="1">
      <c r="J403" s="2464"/>
      <c r="K403" s="1608"/>
      <c r="L403" s="1608"/>
      <c r="M403" s="1608"/>
      <c r="N403" s="1608"/>
      <c r="O403" s="1608"/>
      <c r="P403" s="1608"/>
      <c r="Q403" s="1608"/>
      <c r="R403" s="1608"/>
      <c r="S403" s="1608"/>
      <c r="T403" s="1608"/>
      <c r="U403" s="1608"/>
      <c r="V403" s="1608"/>
      <c r="W403" s="1608"/>
      <c r="X403" s="1608"/>
      <c r="Y403" s="1608"/>
      <c r="Z403" s="1608"/>
      <c r="AA403" s="1608"/>
    </row>
    <row r="404" spans="10:27" s="2462" customFormat="1" ht="21.75" customHeight="1">
      <c r="J404" s="2464"/>
      <c r="K404" s="1608"/>
      <c r="L404" s="1608"/>
      <c r="M404" s="1608"/>
      <c r="N404" s="1608"/>
      <c r="O404" s="1608"/>
      <c r="P404" s="1608"/>
      <c r="Q404" s="1608"/>
      <c r="R404" s="1608"/>
      <c r="S404" s="1608"/>
      <c r="T404" s="1608"/>
      <c r="U404" s="1608"/>
      <c r="V404" s="1608"/>
      <c r="W404" s="1608"/>
      <c r="X404" s="1608"/>
      <c r="Y404" s="1608"/>
      <c r="Z404" s="1608"/>
      <c r="AA404" s="1608"/>
    </row>
    <row r="405" spans="10:27" s="2462" customFormat="1" ht="21.75" customHeight="1">
      <c r="J405" s="2464"/>
      <c r="K405" s="1608"/>
      <c r="L405" s="1608"/>
      <c r="M405" s="1608"/>
      <c r="N405" s="1608"/>
      <c r="O405" s="1608"/>
      <c r="P405" s="1608"/>
      <c r="Q405" s="1608"/>
      <c r="R405" s="1608"/>
      <c r="S405" s="1608"/>
      <c r="T405" s="1608"/>
      <c r="U405" s="1608"/>
      <c r="V405" s="1608"/>
      <c r="W405" s="1608"/>
      <c r="X405" s="1608"/>
      <c r="Y405" s="1608"/>
      <c r="Z405" s="1608"/>
      <c r="AA405" s="1608"/>
    </row>
    <row r="406" spans="10:27" s="2462" customFormat="1" ht="21.75" customHeight="1">
      <c r="J406" s="2464"/>
      <c r="K406" s="1608"/>
      <c r="L406" s="1608"/>
      <c r="M406" s="1608"/>
      <c r="N406" s="1608"/>
      <c r="O406" s="1608"/>
      <c r="P406" s="1608"/>
      <c r="Q406" s="1608"/>
      <c r="R406" s="1608"/>
      <c r="S406" s="1608"/>
      <c r="T406" s="1608"/>
      <c r="U406" s="1608"/>
      <c r="V406" s="1608"/>
      <c r="W406" s="1608"/>
      <c r="X406" s="1608"/>
      <c r="Y406" s="1608"/>
      <c r="Z406" s="1608"/>
      <c r="AA406" s="1608"/>
    </row>
    <row r="407" spans="10:27" s="2462" customFormat="1" ht="21.75" customHeight="1">
      <c r="J407" s="2464"/>
      <c r="K407" s="1608"/>
      <c r="L407" s="1608"/>
      <c r="M407" s="1608"/>
      <c r="N407" s="1608"/>
      <c r="O407" s="1608"/>
      <c r="P407" s="1608"/>
      <c r="Q407" s="1608"/>
      <c r="R407" s="1608"/>
      <c r="S407" s="1608"/>
      <c r="T407" s="1608"/>
      <c r="U407" s="1608"/>
      <c r="V407" s="1608"/>
      <c r="W407" s="1608"/>
      <c r="X407" s="1608"/>
      <c r="Y407" s="1608"/>
      <c r="Z407" s="1608"/>
      <c r="AA407" s="1608"/>
    </row>
    <row r="408" spans="10:27" s="2462" customFormat="1" ht="21.75" customHeight="1">
      <c r="J408" s="2464"/>
      <c r="K408" s="1608"/>
      <c r="L408" s="1608"/>
      <c r="M408" s="1608"/>
      <c r="N408" s="1608"/>
      <c r="O408" s="1608"/>
      <c r="P408" s="1608"/>
      <c r="Q408" s="1608"/>
      <c r="R408" s="1608"/>
      <c r="S408" s="1608"/>
      <c r="T408" s="1608"/>
      <c r="U408" s="1608"/>
      <c r="V408" s="1608"/>
      <c r="W408" s="1608"/>
      <c r="X408" s="1608"/>
      <c r="Y408" s="1608"/>
      <c r="Z408" s="1608"/>
      <c r="AA408" s="1608"/>
    </row>
    <row r="409" spans="10:27" s="2462" customFormat="1" ht="21.75" customHeight="1">
      <c r="J409" s="2464"/>
      <c r="K409" s="1608"/>
      <c r="L409" s="1608"/>
      <c r="M409" s="1608"/>
      <c r="N409" s="1608"/>
      <c r="O409" s="1608"/>
      <c r="P409" s="1608"/>
      <c r="Q409" s="1608"/>
      <c r="R409" s="1608"/>
      <c r="S409" s="1608"/>
      <c r="T409" s="1608"/>
      <c r="U409" s="1608"/>
      <c r="V409" s="1608"/>
      <c r="W409" s="1608"/>
      <c r="X409" s="1608"/>
      <c r="Y409" s="1608"/>
      <c r="Z409" s="1608"/>
      <c r="AA409" s="1608"/>
    </row>
    <row r="410" spans="10:27" s="2462" customFormat="1" ht="21.75" customHeight="1">
      <c r="J410" s="2464"/>
      <c r="K410" s="1608"/>
      <c r="L410" s="1608"/>
      <c r="M410" s="1608"/>
      <c r="N410" s="1608"/>
      <c r="O410" s="1608"/>
      <c r="P410" s="1608"/>
      <c r="Q410" s="1608"/>
      <c r="R410" s="1608"/>
      <c r="S410" s="1608"/>
      <c r="T410" s="1608"/>
      <c r="U410" s="1608"/>
      <c r="V410" s="1608"/>
      <c r="W410" s="1608"/>
      <c r="X410" s="1608"/>
      <c r="Y410" s="1608"/>
      <c r="Z410" s="1608"/>
      <c r="AA410" s="1608"/>
    </row>
    <row r="411" spans="10:27" s="2462" customFormat="1" ht="21.75" customHeight="1">
      <c r="J411" s="2464"/>
      <c r="K411" s="1608"/>
      <c r="L411" s="1608"/>
      <c r="M411" s="1608"/>
      <c r="N411" s="1608"/>
      <c r="O411" s="1608"/>
      <c r="P411" s="1608"/>
      <c r="Q411" s="1608"/>
      <c r="R411" s="1608"/>
      <c r="S411" s="1608"/>
      <c r="T411" s="1608"/>
      <c r="U411" s="1608"/>
      <c r="V411" s="1608"/>
      <c r="W411" s="1608"/>
      <c r="X411" s="1608"/>
      <c r="Y411" s="1608"/>
      <c r="Z411" s="1608"/>
      <c r="AA411" s="1608"/>
    </row>
    <row r="412" spans="10:27" s="2462" customFormat="1" ht="21.75" customHeight="1">
      <c r="J412" s="2464"/>
      <c r="K412" s="1608"/>
      <c r="L412" s="1608"/>
      <c r="M412" s="1608"/>
      <c r="N412" s="1608"/>
      <c r="O412" s="1608"/>
      <c r="P412" s="1608"/>
      <c r="Q412" s="1608"/>
      <c r="R412" s="1608"/>
      <c r="S412" s="1608"/>
      <c r="T412" s="1608"/>
      <c r="U412" s="1608"/>
      <c r="V412" s="1608"/>
      <c r="W412" s="1608"/>
      <c r="X412" s="1608"/>
      <c r="Y412" s="1608"/>
      <c r="Z412" s="1608"/>
      <c r="AA412" s="1608"/>
    </row>
    <row r="413" spans="10:27" s="2462" customFormat="1" ht="21.75" customHeight="1">
      <c r="J413" s="2464"/>
      <c r="K413" s="1608"/>
      <c r="L413" s="1608"/>
      <c r="M413" s="1608"/>
      <c r="N413" s="1608"/>
      <c r="O413" s="1608"/>
      <c r="P413" s="1608"/>
      <c r="Q413" s="1608"/>
      <c r="R413" s="1608"/>
      <c r="S413" s="1608"/>
      <c r="T413" s="1608"/>
      <c r="U413" s="1608"/>
      <c r="V413" s="1608"/>
      <c r="W413" s="1608"/>
      <c r="X413" s="1608"/>
      <c r="Y413" s="1608"/>
      <c r="Z413" s="1608"/>
      <c r="AA413" s="1608"/>
    </row>
    <row r="414" spans="10:27" s="2462" customFormat="1" ht="21.75" customHeight="1">
      <c r="J414" s="2464"/>
      <c r="K414" s="1608"/>
      <c r="L414" s="1608"/>
      <c r="M414" s="1608"/>
      <c r="N414" s="1608"/>
      <c r="O414" s="1608"/>
      <c r="P414" s="1608"/>
      <c r="Q414" s="1608"/>
      <c r="R414" s="1608"/>
      <c r="S414" s="1608"/>
      <c r="T414" s="1608"/>
      <c r="U414" s="1608"/>
      <c r="V414" s="1608"/>
      <c r="W414" s="1608"/>
      <c r="X414" s="1608"/>
      <c r="Y414" s="1608"/>
      <c r="Z414" s="1608"/>
      <c r="AA414" s="1608"/>
    </row>
    <row r="415" spans="10:27" s="2462" customFormat="1" ht="21.75" customHeight="1">
      <c r="J415" s="2464"/>
      <c r="K415" s="1608"/>
      <c r="L415" s="1608"/>
      <c r="M415" s="1608"/>
      <c r="N415" s="1608"/>
      <c r="O415" s="1608"/>
      <c r="P415" s="1608"/>
      <c r="Q415" s="1608"/>
      <c r="R415" s="1608"/>
      <c r="S415" s="1608"/>
      <c r="T415" s="1608"/>
      <c r="U415" s="1608"/>
      <c r="V415" s="1608"/>
      <c r="W415" s="1608"/>
      <c r="X415" s="1608"/>
      <c r="Y415" s="1608"/>
      <c r="Z415" s="1608"/>
      <c r="AA415" s="1608"/>
    </row>
    <row r="416" spans="10:27" s="2462" customFormat="1" ht="21.75" customHeight="1">
      <c r="J416" s="2464"/>
      <c r="K416" s="1608"/>
      <c r="L416" s="1608"/>
      <c r="M416" s="1608"/>
      <c r="N416" s="1608"/>
      <c r="O416" s="1608"/>
      <c r="P416" s="1608"/>
      <c r="Q416" s="1608"/>
      <c r="R416" s="1608"/>
      <c r="S416" s="1608"/>
      <c r="T416" s="1608"/>
      <c r="U416" s="1608"/>
      <c r="V416" s="1608"/>
      <c r="W416" s="1608"/>
      <c r="X416" s="1608"/>
      <c r="Y416" s="1608"/>
      <c r="Z416" s="1608"/>
      <c r="AA416" s="1608"/>
    </row>
    <row r="417" spans="10:27" s="2462" customFormat="1" ht="21.75" customHeight="1">
      <c r="J417" s="2464"/>
      <c r="K417" s="1608"/>
      <c r="L417" s="1608"/>
      <c r="M417" s="1608"/>
      <c r="N417" s="1608"/>
      <c r="O417" s="1608"/>
      <c r="P417" s="1608"/>
      <c r="Q417" s="1608"/>
      <c r="R417" s="1608"/>
      <c r="S417" s="1608"/>
      <c r="T417" s="1608"/>
      <c r="U417" s="1608"/>
      <c r="V417" s="1608"/>
      <c r="W417" s="1608"/>
      <c r="X417" s="1608"/>
      <c r="Y417" s="1608"/>
      <c r="Z417" s="1608"/>
      <c r="AA417" s="1608"/>
    </row>
    <row r="418" spans="10:27" s="2462" customFormat="1" ht="21.75" customHeight="1">
      <c r="J418" s="2464"/>
      <c r="K418" s="1608"/>
      <c r="L418" s="1608"/>
      <c r="M418" s="1608"/>
      <c r="N418" s="1608"/>
      <c r="O418" s="1608"/>
      <c r="P418" s="1608"/>
      <c r="Q418" s="1608"/>
      <c r="R418" s="1608"/>
      <c r="S418" s="1608"/>
      <c r="T418" s="1608"/>
      <c r="U418" s="1608"/>
      <c r="V418" s="1608"/>
      <c r="W418" s="1608"/>
      <c r="X418" s="1608"/>
      <c r="Y418" s="1608"/>
      <c r="Z418" s="1608"/>
      <c r="AA418" s="1608"/>
    </row>
    <row r="419" spans="10:27" s="2462" customFormat="1" ht="21.75" customHeight="1">
      <c r="J419" s="2464"/>
      <c r="K419" s="1608"/>
      <c r="L419" s="1608"/>
      <c r="M419" s="1608"/>
      <c r="N419" s="1608"/>
      <c r="O419" s="1608"/>
      <c r="P419" s="1608"/>
      <c r="Q419" s="1608"/>
      <c r="R419" s="1608"/>
      <c r="S419" s="1608"/>
      <c r="T419" s="1608"/>
      <c r="U419" s="1608"/>
      <c r="V419" s="1608"/>
      <c r="W419" s="1608"/>
      <c r="X419" s="1608"/>
      <c r="Y419" s="1608"/>
      <c r="Z419" s="1608"/>
      <c r="AA419" s="1608"/>
    </row>
    <row r="420" spans="10:27" s="2462" customFormat="1" ht="21.75" customHeight="1">
      <c r="J420" s="2464"/>
      <c r="K420" s="1608"/>
      <c r="L420" s="1608"/>
      <c r="M420" s="1608"/>
      <c r="N420" s="1608"/>
      <c r="O420" s="1608"/>
      <c r="P420" s="1608"/>
      <c r="Q420" s="1608"/>
      <c r="R420" s="1608"/>
      <c r="S420" s="1608"/>
      <c r="T420" s="1608"/>
      <c r="U420" s="1608"/>
      <c r="V420" s="1608"/>
      <c r="W420" s="1608"/>
      <c r="X420" s="1608"/>
      <c r="Y420" s="1608"/>
      <c r="Z420" s="1608"/>
      <c r="AA420" s="1608"/>
    </row>
    <row r="421" spans="10:27" s="2462" customFormat="1" ht="21.75" customHeight="1">
      <c r="J421" s="2464"/>
      <c r="K421" s="1608"/>
      <c r="L421" s="1608"/>
      <c r="M421" s="1608"/>
      <c r="N421" s="1608"/>
      <c r="O421" s="1608"/>
      <c r="P421" s="1608"/>
      <c r="Q421" s="1608"/>
      <c r="R421" s="1608"/>
      <c r="S421" s="1608"/>
      <c r="T421" s="1608"/>
      <c r="U421" s="1608"/>
      <c r="V421" s="1608"/>
      <c r="W421" s="1608"/>
      <c r="X421" s="1608"/>
      <c r="Y421" s="1608"/>
      <c r="Z421" s="1608"/>
      <c r="AA421" s="1608"/>
    </row>
    <row r="422" spans="10:27" s="2462" customFormat="1" ht="21.75" customHeight="1">
      <c r="J422" s="2464"/>
      <c r="K422" s="1608"/>
      <c r="L422" s="1608"/>
      <c r="M422" s="1608"/>
      <c r="N422" s="1608"/>
      <c r="O422" s="1608"/>
      <c r="P422" s="1608"/>
      <c r="Q422" s="1608"/>
      <c r="R422" s="1608"/>
      <c r="S422" s="1608"/>
      <c r="T422" s="1608"/>
      <c r="U422" s="1608"/>
      <c r="V422" s="1608"/>
      <c r="W422" s="1608"/>
      <c r="X422" s="1608"/>
      <c r="Y422" s="1608"/>
      <c r="Z422" s="1608"/>
      <c r="AA422" s="1608"/>
    </row>
    <row r="423" spans="10:27" s="2462" customFormat="1" ht="21.75" customHeight="1">
      <c r="J423" s="2464"/>
      <c r="K423" s="1608"/>
      <c r="L423" s="1608"/>
      <c r="M423" s="1608"/>
      <c r="N423" s="1608"/>
      <c r="O423" s="1608"/>
      <c r="P423" s="1608"/>
      <c r="Q423" s="1608"/>
      <c r="R423" s="1608"/>
      <c r="S423" s="1608"/>
      <c r="T423" s="1608"/>
      <c r="U423" s="1608"/>
      <c r="V423" s="1608"/>
      <c r="W423" s="1608"/>
      <c r="X423" s="1608"/>
      <c r="Y423" s="1608"/>
      <c r="Z423" s="1608"/>
      <c r="AA423" s="1608"/>
    </row>
    <row r="424" spans="10:27" s="2462" customFormat="1" ht="21.75" customHeight="1">
      <c r="J424" s="2464"/>
      <c r="K424" s="1608"/>
      <c r="L424" s="1608"/>
      <c r="M424" s="1608"/>
      <c r="N424" s="1608"/>
      <c r="O424" s="1608"/>
      <c r="P424" s="1608"/>
      <c r="Q424" s="1608"/>
      <c r="R424" s="1608"/>
      <c r="S424" s="1608"/>
      <c r="T424" s="1608"/>
      <c r="U424" s="1608"/>
      <c r="V424" s="1608"/>
      <c r="W424" s="1608"/>
      <c r="X424" s="1608"/>
      <c r="Y424" s="1608"/>
      <c r="Z424" s="1608"/>
      <c r="AA424" s="1608"/>
    </row>
    <row r="425" spans="10:27" s="2462" customFormat="1" ht="21.75" customHeight="1">
      <c r="J425" s="2464"/>
      <c r="K425" s="1608"/>
      <c r="L425" s="1608"/>
      <c r="M425" s="1608"/>
      <c r="N425" s="1608"/>
      <c r="O425" s="1608"/>
      <c r="P425" s="1608"/>
      <c r="Q425" s="1608"/>
      <c r="R425" s="1608"/>
      <c r="S425" s="1608"/>
      <c r="T425" s="1608"/>
      <c r="U425" s="1608"/>
      <c r="V425" s="1608"/>
      <c r="W425" s="1608"/>
      <c r="X425" s="1608"/>
      <c r="Y425" s="1608"/>
      <c r="Z425" s="1608"/>
      <c r="AA425" s="1608"/>
    </row>
    <row r="426" spans="10:27" s="2462" customFormat="1" ht="21.75" customHeight="1">
      <c r="J426" s="2464"/>
      <c r="K426" s="1608"/>
      <c r="L426" s="1608"/>
      <c r="M426" s="1608"/>
      <c r="N426" s="1608"/>
      <c r="O426" s="1608"/>
      <c r="P426" s="1608"/>
      <c r="Q426" s="1608"/>
      <c r="R426" s="1608"/>
      <c r="S426" s="1608"/>
      <c r="T426" s="1608"/>
      <c r="U426" s="1608"/>
      <c r="V426" s="1608"/>
      <c r="W426" s="1608"/>
      <c r="X426" s="1608"/>
      <c r="Y426" s="1608"/>
      <c r="Z426" s="1608"/>
      <c r="AA426" s="1608"/>
    </row>
    <row r="427" spans="10:27" s="2462" customFormat="1" ht="21.75" customHeight="1">
      <c r="J427" s="2464"/>
      <c r="K427" s="1608"/>
      <c r="L427" s="1608"/>
      <c r="M427" s="1608"/>
      <c r="N427" s="1608"/>
      <c r="O427" s="1608"/>
      <c r="P427" s="1608"/>
      <c r="Q427" s="1608"/>
      <c r="R427" s="1608"/>
      <c r="S427" s="1608"/>
      <c r="T427" s="1608"/>
      <c r="U427" s="1608"/>
      <c r="V427" s="1608"/>
      <c r="W427" s="1608"/>
      <c r="X427" s="1608"/>
      <c r="Y427" s="1608"/>
      <c r="Z427" s="1608"/>
      <c r="AA427" s="1608"/>
    </row>
    <row r="428" spans="10:27" s="2462" customFormat="1" ht="21.75" customHeight="1">
      <c r="J428" s="2464"/>
      <c r="K428" s="1608"/>
      <c r="L428" s="1608"/>
      <c r="M428" s="1608"/>
      <c r="N428" s="1608"/>
      <c r="O428" s="1608"/>
      <c r="P428" s="1608"/>
      <c r="Q428" s="1608"/>
      <c r="R428" s="1608"/>
      <c r="S428" s="1608"/>
      <c r="T428" s="1608"/>
      <c r="U428" s="1608"/>
      <c r="V428" s="1608"/>
      <c r="W428" s="1608"/>
      <c r="X428" s="1608"/>
      <c r="Y428" s="1608"/>
      <c r="Z428" s="1608"/>
      <c r="AA428" s="1608"/>
    </row>
    <row r="429" spans="10:27" s="2462" customFormat="1" ht="21.75" customHeight="1">
      <c r="J429" s="2464"/>
      <c r="K429" s="1608"/>
      <c r="L429" s="1608"/>
      <c r="M429" s="1608"/>
      <c r="N429" s="1608"/>
      <c r="O429" s="1608"/>
      <c r="P429" s="1608"/>
      <c r="Q429" s="1608"/>
      <c r="R429" s="1608"/>
      <c r="S429" s="1608"/>
      <c r="T429" s="1608"/>
      <c r="U429" s="1608"/>
      <c r="V429" s="1608"/>
      <c r="W429" s="1608"/>
      <c r="X429" s="1608"/>
      <c r="Y429" s="1608"/>
      <c r="Z429" s="1608"/>
      <c r="AA429" s="1608"/>
    </row>
    <row r="430" spans="10:27" s="2462" customFormat="1" ht="21.75" customHeight="1">
      <c r="J430" s="2464"/>
      <c r="K430" s="1608"/>
      <c r="L430" s="1608"/>
      <c r="M430" s="1608"/>
      <c r="N430" s="1608"/>
      <c r="O430" s="1608"/>
      <c r="P430" s="1608"/>
      <c r="Q430" s="1608"/>
      <c r="R430" s="1608"/>
      <c r="S430" s="1608"/>
      <c r="T430" s="1608"/>
      <c r="U430" s="1608"/>
      <c r="V430" s="1608"/>
      <c r="W430" s="1608"/>
      <c r="X430" s="1608"/>
      <c r="Y430" s="1608"/>
      <c r="Z430" s="1608"/>
      <c r="AA430" s="1608"/>
    </row>
    <row r="431" spans="10:27" s="2462" customFormat="1" ht="21.75" customHeight="1">
      <c r="J431" s="2464"/>
      <c r="K431" s="1608"/>
      <c r="L431" s="1608"/>
      <c r="M431" s="1608"/>
      <c r="N431" s="1608"/>
      <c r="O431" s="1608"/>
      <c r="P431" s="1608"/>
      <c r="Q431" s="1608"/>
      <c r="R431" s="1608"/>
      <c r="S431" s="1608"/>
      <c r="T431" s="1608"/>
      <c r="U431" s="1608"/>
      <c r="V431" s="1608"/>
      <c r="W431" s="1608"/>
      <c r="X431" s="1608"/>
      <c r="Y431" s="1608"/>
      <c r="Z431" s="1608"/>
      <c r="AA431" s="1608"/>
    </row>
    <row r="432" spans="10:27" s="2462" customFormat="1" ht="21.75" customHeight="1">
      <c r="J432" s="2464"/>
      <c r="K432" s="1608"/>
      <c r="L432" s="1608"/>
      <c r="M432" s="1608"/>
      <c r="N432" s="1608"/>
      <c r="O432" s="1608"/>
      <c r="P432" s="1608"/>
      <c r="Q432" s="1608"/>
      <c r="R432" s="1608"/>
      <c r="S432" s="1608"/>
      <c r="T432" s="1608"/>
      <c r="U432" s="1608"/>
      <c r="V432" s="1608"/>
      <c r="W432" s="1608"/>
      <c r="X432" s="1608"/>
      <c r="Y432" s="1608"/>
      <c r="Z432" s="1608"/>
      <c r="AA432" s="1608"/>
    </row>
    <row r="433" spans="10:27" s="2462" customFormat="1" ht="21.75" customHeight="1">
      <c r="J433" s="2464"/>
      <c r="K433" s="1608"/>
      <c r="L433" s="1608"/>
      <c r="M433" s="1608"/>
      <c r="N433" s="1608"/>
      <c r="O433" s="1608"/>
      <c r="P433" s="1608"/>
      <c r="Q433" s="1608"/>
      <c r="R433" s="1608"/>
      <c r="S433" s="1608"/>
      <c r="T433" s="1608"/>
      <c r="U433" s="1608"/>
      <c r="V433" s="1608"/>
      <c r="W433" s="1608"/>
      <c r="X433" s="1608"/>
      <c r="Y433" s="1608"/>
      <c r="Z433" s="1608"/>
      <c r="AA433" s="1608"/>
    </row>
    <row r="434" spans="10:27" s="2462" customFormat="1" ht="21.75" customHeight="1">
      <c r="J434" s="2464"/>
      <c r="K434" s="1608"/>
      <c r="L434" s="1608"/>
      <c r="M434" s="1608"/>
      <c r="N434" s="1608"/>
      <c r="O434" s="1608"/>
      <c r="P434" s="1608"/>
      <c r="Q434" s="1608"/>
      <c r="R434" s="1608"/>
      <c r="S434" s="1608"/>
      <c r="T434" s="1608"/>
      <c r="U434" s="1608"/>
      <c r="V434" s="1608"/>
      <c r="W434" s="1608"/>
      <c r="X434" s="1608"/>
      <c r="Y434" s="1608"/>
      <c r="Z434" s="1608"/>
      <c r="AA434" s="1608"/>
    </row>
    <row r="435" spans="10:27" s="2462" customFormat="1" ht="21.75" customHeight="1">
      <c r="J435" s="2464"/>
      <c r="K435" s="1608"/>
      <c r="L435" s="1608"/>
      <c r="M435" s="1608"/>
      <c r="N435" s="1608"/>
      <c r="O435" s="1608"/>
      <c r="P435" s="1608"/>
      <c r="Q435" s="1608"/>
      <c r="R435" s="1608"/>
      <c r="S435" s="1608"/>
      <c r="T435" s="1608"/>
      <c r="U435" s="1608"/>
      <c r="V435" s="1608"/>
      <c r="W435" s="1608"/>
      <c r="X435" s="1608"/>
      <c r="Y435" s="1608"/>
      <c r="Z435" s="1608"/>
      <c r="AA435" s="1608"/>
    </row>
    <row r="436" spans="10:27" s="2462" customFormat="1" ht="21.75" customHeight="1">
      <c r="J436" s="2464"/>
      <c r="K436" s="1608"/>
      <c r="L436" s="1608"/>
      <c r="M436" s="1608"/>
      <c r="N436" s="1608"/>
      <c r="O436" s="1608"/>
      <c r="P436" s="1608"/>
      <c r="Q436" s="1608"/>
      <c r="R436" s="1608"/>
      <c r="S436" s="1608"/>
      <c r="T436" s="1608"/>
      <c r="U436" s="1608"/>
      <c r="V436" s="1608"/>
      <c r="W436" s="1608"/>
      <c r="X436" s="1608"/>
      <c r="Y436" s="1608"/>
      <c r="Z436" s="1608"/>
      <c r="AA436" s="1608"/>
    </row>
    <row r="437" spans="10:27" s="2462" customFormat="1" ht="21.75" customHeight="1">
      <c r="J437" s="2464"/>
      <c r="K437" s="1608"/>
      <c r="L437" s="1608"/>
      <c r="M437" s="1608"/>
      <c r="N437" s="1608"/>
      <c r="O437" s="1608"/>
      <c r="P437" s="1608"/>
      <c r="Q437" s="1608"/>
      <c r="R437" s="1608"/>
      <c r="S437" s="1608"/>
      <c r="T437" s="1608"/>
      <c r="U437" s="1608"/>
      <c r="V437" s="1608"/>
      <c r="W437" s="1608"/>
      <c r="X437" s="1608"/>
      <c r="Y437" s="1608"/>
      <c r="Z437" s="1608"/>
      <c r="AA437" s="1608"/>
    </row>
    <row r="438" spans="10:27" s="2462" customFormat="1" ht="21.75" customHeight="1">
      <c r="J438" s="2464"/>
      <c r="K438" s="1608"/>
      <c r="L438" s="1608"/>
      <c r="M438" s="1608"/>
      <c r="N438" s="1608"/>
      <c r="O438" s="1608"/>
      <c r="P438" s="1608"/>
      <c r="Q438" s="1608"/>
      <c r="R438" s="1608"/>
      <c r="S438" s="1608"/>
      <c r="T438" s="1608"/>
      <c r="U438" s="1608"/>
      <c r="V438" s="1608"/>
      <c r="W438" s="1608"/>
      <c r="X438" s="1608"/>
      <c r="Y438" s="1608"/>
      <c r="Z438" s="1608"/>
      <c r="AA438" s="1608"/>
    </row>
    <row r="439" spans="10:27" s="2462" customFormat="1" ht="21.75" customHeight="1">
      <c r="J439" s="2464"/>
      <c r="K439" s="1608"/>
      <c r="L439" s="1608"/>
      <c r="M439" s="1608"/>
      <c r="N439" s="1608"/>
      <c r="O439" s="1608"/>
      <c r="P439" s="1608"/>
      <c r="Q439" s="1608"/>
      <c r="R439" s="1608"/>
      <c r="S439" s="1608"/>
      <c r="T439" s="1608"/>
      <c r="U439" s="1608"/>
      <c r="V439" s="1608"/>
      <c r="W439" s="1608"/>
      <c r="X439" s="1608"/>
      <c r="Y439" s="1608"/>
      <c r="Z439" s="1608"/>
      <c r="AA439" s="1608"/>
    </row>
    <row r="440" spans="10:27" s="2462" customFormat="1" ht="21.75" customHeight="1">
      <c r="J440" s="2464"/>
      <c r="K440" s="1608"/>
      <c r="L440" s="1608"/>
      <c r="M440" s="1608"/>
      <c r="N440" s="1608"/>
      <c r="O440" s="1608"/>
      <c r="P440" s="1608"/>
      <c r="Q440" s="1608"/>
      <c r="R440" s="1608"/>
      <c r="S440" s="1608"/>
      <c r="T440" s="1608"/>
      <c r="U440" s="1608"/>
      <c r="V440" s="1608"/>
      <c r="W440" s="1608"/>
      <c r="X440" s="1608"/>
      <c r="Y440" s="1608"/>
      <c r="Z440" s="1608"/>
      <c r="AA440" s="1608"/>
    </row>
    <row r="441" spans="10:27" s="2462" customFormat="1" ht="21.75" customHeight="1">
      <c r="J441" s="2464"/>
      <c r="K441" s="1608"/>
      <c r="L441" s="1608"/>
      <c r="M441" s="1608"/>
      <c r="N441" s="1608"/>
      <c r="O441" s="1608"/>
      <c r="P441" s="1608"/>
      <c r="Q441" s="1608"/>
      <c r="R441" s="1608"/>
      <c r="S441" s="1608"/>
      <c r="T441" s="1608"/>
      <c r="U441" s="1608"/>
      <c r="V441" s="1608"/>
      <c r="W441" s="1608"/>
      <c r="X441" s="1608"/>
      <c r="Y441" s="1608"/>
      <c r="Z441" s="1608"/>
      <c r="AA441" s="1608"/>
    </row>
    <row r="442" spans="10:27" s="2462" customFormat="1" ht="21.75" customHeight="1">
      <c r="J442" s="2464"/>
      <c r="K442" s="1608"/>
      <c r="L442" s="1608"/>
      <c r="M442" s="1608"/>
      <c r="N442" s="1608"/>
      <c r="O442" s="1608"/>
      <c r="P442" s="1608"/>
      <c r="Q442" s="1608"/>
      <c r="R442" s="1608"/>
      <c r="S442" s="1608"/>
      <c r="T442" s="1608"/>
      <c r="U442" s="1608"/>
      <c r="V442" s="1608"/>
      <c r="W442" s="1608"/>
      <c r="X442" s="1608"/>
      <c r="Y442" s="1608"/>
      <c r="Z442" s="1608"/>
      <c r="AA442" s="1608"/>
    </row>
    <row r="443" spans="10:27" s="2462" customFormat="1" ht="21.75" customHeight="1">
      <c r="J443" s="2464"/>
      <c r="K443" s="1608"/>
      <c r="L443" s="1608"/>
      <c r="M443" s="1608"/>
      <c r="N443" s="1608"/>
      <c r="O443" s="1608"/>
      <c r="P443" s="1608"/>
      <c r="Q443" s="1608"/>
      <c r="R443" s="1608"/>
      <c r="S443" s="1608"/>
      <c r="T443" s="1608"/>
      <c r="U443" s="1608"/>
      <c r="V443" s="1608"/>
      <c r="W443" s="1608"/>
      <c r="X443" s="1608"/>
      <c r="Y443" s="1608"/>
      <c r="Z443" s="1608"/>
      <c r="AA443" s="1608"/>
    </row>
    <row r="444" spans="10:27" s="2462" customFormat="1" ht="21.75" customHeight="1">
      <c r="J444" s="2464"/>
      <c r="K444" s="1608"/>
      <c r="L444" s="1608"/>
      <c r="M444" s="1608"/>
      <c r="N444" s="1608"/>
      <c r="O444" s="1608"/>
      <c r="P444" s="1608"/>
      <c r="Q444" s="1608"/>
      <c r="R444" s="1608"/>
      <c r="S444" s="1608"/>
      <c r="T444" s="1608"/>
      <c r="U444" s="1608"/>
      <c r="V444" s="1608"/>
      <c r="W444" s="1608"/>
      <c r="X444" s="1608"/>
      <c r="Y444" s="1608"/>
      <c r="Z444" s="1608"/>
      <c r="AA444" s="1608"/>
    </row>
    <row r="445" spans="10:27" s="2462" customFormat="1" ht="21.75" customHeight="1">
      <c r="J445" s="2464"/>
      <c r="K445" s="1608"/>
      <c r="L445" s="1608"/>
      <c r="M445" s="1608"/>
      <c r="N445" s="1608"/>
      <c r="O445" s="1608"/>
      <c r="P445" s="1608"/>
      <c r="Q445" s="1608"/>
      <c r="R445" s="1608"/>
      <c r="S445" s="1608"/>
      <c r="T445" s="1608"/>
      <c r="U445" s="1608"/>
      <c r="V445" s="1608"/>
      <c r="W445" s="1608"/>
      <c r="X445" s="1608"/>
      <c r="Y445" s="1608"/>
      <c r="Z445" s="1608"/>
      <c r="AA445" s="1608"/>
    </row>
    <row r="446" spans="10:27" s="2462" customFormat="1" ht="21.75" customHeight="1">
      <c r="J446" s="2464"/>
      <c r="K446" s="1608"/>
      <c r="L446" s="1608"/>
      <c r="M446" s="1608"/>
      <c r="N446" s="1608"/>
      <c r="O446" s="1608"/>
      <c r="P446" s="1608"/>
      <c r="Q446" s="1608"/>
      <c r="R446" s="1608"/>
      <c r="S446" s="1608"/>
      <c r="T446" s="1608"/>
      <c r="U446" s="1608"/>
      <c r="V446" s="1608"/>
      <c r="W446" s="1608"/>
      <c r="X446" s="1608"/>
      <c r="Y446" s="1608"/>
      <c r="Z446" s="1608"/>
      <c r="AA446" s="1608"/>
    </row>
    <row r="447" spans="10:27" s="2462" customFormat="1" ht="21.75" customHeight="1">
      <c r="J447" s="2464"/>
      <c r="K447" s="1608"/>
      <c r="L447" s="1608"/>
      <c r="M447" s="1608"/>
      <c r="N447" s="1608"/>
      <c r="O447" s="1608"/>
      <c r="P447" s="1608"/>
      <c r="Q447" s="1608"/>
      <c r="R447" s="1608"/>
      <c r="S447" s="1608"/>
      <c r="T447" s="1608"/>
      <c r="U447" s="1608"/>
      <c r="V447" s="1608"/>
      <c r="W447" s="1608"/>
      <c r="X447" s="1608"/>
      <c r="Y447" s="1608"/>
      <c r="Z447" s="1608"/>
      <c r="AA447" s="1608"/>
    </row>
    <row r="448" spans="10:27" s="2462" customFormat="1" ht="21.75" customHeight="1">
      <c r="J448" s="2464"/>
      <c r="K448" s="1608"/>
      <c r="L448" s="1608"/>
      <c r="M448" s="1608"/>
      <c r="N448" s="1608"/>
      <c r="O448" s="1608"/>
      <c r="P448" s="1608"/>
      <c r="Q448" s="1608"/>
      <c r="R448" s="1608"/>
      <c r="S448" s="1608"/>
      <c r="T448" s="1608"/>
      <c r="U448" s="1608"/>
      <c r="V448" s="1608"/>
      <c r="W448" s="1608"/>
      <c r="X448" s="1608"/>
      <c r="Y448" s="1608"/>
      <c r="Z448" s="1608"/>
      <c r="AA448" s="1608"/>
    </row>
    <row r="449" spans="10:27" s="2462" customFormat="1" ht="21.75" customHeight="1">
      <c r="J449" s="2464"/>
      <c r="K449" s="1608"/>
      <c r="L449" s="1608"/>
      <c r="M449" s="1608"/>
      <c r="N449" s="1608"/>
      <c r="O449" s="1608"/>
      <c r="P449" s="1608"/>
      <c r="Q449" s="1608"/>
      <c r="R449" s="1608"/>
      <c r="S449" s="1608"/>
      <c r="T449" s="1608"/>
      <c r="U449" s="1608"/>
      <c r="V449" s="1608"/>
      <c r="W449" s="1608"/>
      <c r="X449" s="1608"/>
      <c r="Y449" s="1608"/>
      <c r="Z449" s="1608"/>
      <c r="AA449" s="1608"/>
    </row>
    <row r="450" spans="10:27" s="2462" customFormat="1" ht="21.75" customHeight="1">
      <c r="J450" s="2464"/>
      <c r="K450" s="1608"/>
      <c r="L450" s="1608"/>
      <c r="M450" s="1608"/>
      <c r="N450" s="1608"/>
      <c r="O450" s="1608"/>
      <c r="P450" s="1608"/>
      <c r="Q450" s="1608"/>
      <c r="R450" s="1608"/>
      <c r="S450" s="1608"/>
      <c r="T450" s="1608"/>
      <c r="U450" s="1608"/>
      <c r="V450" s="1608"/>
      <c r="W450" s="1608"/>
      <c r="X450" s="1608"/>
      <c r="Y450" s="1608"/>
      <c r="Z450" s="1608"/>
      <c r="AA450" s="1608"/>
    </row>
    <row r="451" spans="10:27" s="2462" customFormat="1" ht="21.75" customHeight="1">
      <c r="J451" s="2464"/>
      <c r="K451" s="1608"/>
      <c r="L451" s="1608"/>
      <c r="M451" s="1608"/>
      <c r="N451" s="1608"/>
      <c r="O451" s="1608"/>
      <c r="P451" s="1608"/>
      <c r="Q451" s="1608"/>
      <c r="R451" s="1608"/>
      <c r="S451" s="1608"/>
      <c r="T451" s="1608"/>
      <c r="U451" s="1608"/>
      <c r="V451" s="1608"/>
      <c r="W451" s="1608"/>
      <c r="X451" s="1608"/>
      <c r="Y451" s="1608"/>
      <c r="Z451" s="1608"/>
      <c r="AA451" s="1608"/>
    </row>
    <row r="452" spans="10:27" s="2462" customFormat="1" ht="21.75" customHeight="1">
      <c r="J452" s="2464"/>
      <c r="K452" s="1608"/>
      <c r="L452" s="1608"/>
      <c r="M452" s="1608"/>
      <c r="N452" s="1608"/>
      <c r="O452" s="1608"/>
      <c r="P452" s="1608"/>
      <c r="Q452" s="1608"/>
      <c r="R452" s="1608"/>
      <c r="S452" s="1608"/>
      <c r="T452" s="1608"/>
      <c r="U452" s="1608"/>
      <c r="V452" s="1608"/>
      <c r="W452" s="1608"/>
      <c r="X452" s="1608"/>
      <c r="Y452" s="1608"/>
      <c r="Z452" s="1608"/>
      <c r="AA452" s="1608"/>
    </row>
    <row r="453" spans="10:27" s="2462" customFormat="1" ht="21.75" customHeight="1">
      <c r="J453" s="2464"/>
      <c r="K453" s="1608"/>
      <c r="L453" s="1608"/>
      <c r="M453" s="1608"/>
      <c r="N453" s="1608"/>
      <c r="O453" s="1608"/>
      <c r="P453" s="1608"/>
      <c r="Q453" s="1608"/>
      <c r="R453" s="1608"/>
      <c r="S453" s="1608"/>
      <c r="T453" s="1608"/>
      <c r="U453" s="1608"/>
      <c r="V453" s="1608"/>
      <c r="W453" s="1608"/>
      <c r="X453" s="1608"/>
      <c r="Y453" s="1608"/>
      <c r="Z453" s="1608"/>
      <c r="AA453" s="1608"/>
    </row>
    <row r="454" spans="10:27" s="2462" customFormat="1" ht="21.75" customHeight="1">
      <c r="J454" s="2464"/>
      <c r="K454" s="1608"/>
      <c r="L454" s="1608"/>
      <c r="M454" s="1608"/>
      <c r="N454" s="1608"/>
      <c r="O454" s="1608"/>
      <c r="P454" s="1608"/>
      <c r="Q454" s="1608"/>
      <c r="R454" s="1608"/>
      <c r="S454" s="1608"/>
      <c r="T454" s="1608"/>
      <c r="U454" s="1608"/>
      <c r="V454" s="1608"/>
      <c r="W454" s="1608"/>
      <c r="X454" s="1608"/>
      <c r="Y454" s="1608"/>
      <c r="Z454" s="1608"/>
      <c r="AA454" s="1608"/>
    </row>
    <row r="455" spans="10:27" s="2462" customFormat="1" ht="21.75" customHeight="1">
      <c r="J455" s="2464"/>
      <c r="K455" s="1608"/>
      <c r="L455" s="1608"/>
      <c r="M455" s="1608"/>
      <c r="N455" s="1608"/>
      <c r="O455" s="1608"/>
      <c r="P455" s="1608"/>
      <c r="Q455" s="1608"/>
      <c r="R455" s="1608"/>
      <c r="S455" s="1608"/>
      <c r="T455" s="1608"/>
      <c r="U455" s="1608"/>
      <c r="V455" s="1608"/>
      <c r="W455" s="1608"/>
      <c r="X455" s="1608"/>
      <c r="Y455" s="1608"/>
      <c r="Z455" s="1608"/>
      <c r="AA455" s="1608"/>
    </row>
    <row r="456" spans="10:27" s="2462" customFormat="1" ht="21.75" customHeight="1">
      <c r="J456" s="2464"/>
      <c r="K456" s="1608"/>
      <c r="L456" s="1608"/>
      <c r="M456" s="1608"/>
      <c r="N456" s="1608"/>
      <c r="O456" s="1608"/>
      <c r="P456" s="1608"/>
      <c r="Q456" s="1608"/>
      <c r="R456" s="1608"/>
      <c r="S456" s="1608"/>
      <c r="T456" s="1608"/>
      <c r="U456" s="1608"/>
      <c r="V456" s="1608"/>
      <c r="W456" s="1608"/>
      <c r="X456" s="1608"/>
      <c r="Y456" s="1608"/>
      <c r="Z456" s="1608"/>
      <c r="AA456" s="1608"/>
    </row>
    <row r="457" spans="10:27" s="2462" customFormat="1" ht="21.75" customHeight="1">
      <c r="J457" s="2464"/>
      <c r="K457" s="1608"/>
      <c r="L457" s="1608"/>
      <c r="M457" s="1608"/>
      <c r="N457" s="1608"/>
      <c r="O457" s="1608"/>
      <c r="P457" s="1608"/>
      <c r="Q457" s="1608"/>
      <c r="R457" s="1608"/>
      <c r="S457" s="1608"/>
      <c r="T457" s="1608"/>
      <c r="U457" s="1608"/>
      <c r="V457" s="1608"/>
      <c r="W457" s="1608"/>
      <c r="X457" s="1608"/>
      <c r="Y457" s="1608"/>
      <c r="Z457" s="1608"/>
      <c r="AA457" s="1608"/>
    </row>
    <row r="458" spans="10:27" s="2462" customFormat="1" ht="21.75" customHeight="1">
      <c r="J458" s="2464"/>
      <c r="K458" s="1608"/>
      <c r="L458" s="1608"/>
      <c r="M458" s="1608"/>
      <c r="N458" s="1608"/>
      <c r="O458" s="1608"/>
      <c r="P458" s="1608"/>
      <c r="Q458" s="1608"/>
      <c r="R458" s="1608"/>
      <c r="S458" s="1608"/>
      <c r="T458" s="1608"/>
      <c r="U458" s="1608"/>
      <c r="V458" s="1608"/>
      <c r="W458" s="1608"/>
      <c r="X458" s="1608"/>
      <c r="Y458" s="1608"/>
      <c r="Z458" s="1608"/>
      <c r="AA458" s="1608"/>
    </row>
    <row r="459" spans="10:27" s="2462" customFormat="1" ht="21.75" customHeight="1">
      <c r="J459" s="2464"/>
      <c r="K459" s="1608"/>
      <c r="L459" s="1608"/>
      <c r="M459" s="1608"/>
      <c r="N459" s="1608"/>
      <c r="O459" s="1608"/>
      <c r="P459" s="1608"/>
      <c r="Q459" s="1608"/>
      <c r="R459" s="1608"/>
      <c r="S459" s="1608"/>
      <c r="T459" s="1608"/>
      <c r="U459" s="1608"/>
      <c r="V459" s="1608"/>
      <c r="W459" s="1608"/>
      <c r="X459" s="1608"/>
      <c r="Y459" s="1608"/>
      <c r="Z459" s="1608"/>
      <c r="AA459" s="1608"/>
    </row>
    <row r="460" spans="10:27" s="2462" customFormat="1" ht="21.75" customHeight="1">
      <c r="J460" s="2464"/>
      <c r="K460" s="1608"/>
      <c r="L460" s="1608"/>
      <c r="M460" s="1608"/>
      <c r="N460" s="1608"/>
      <c r="O460" s="1608"/>
      <c r="P460" s="1608"/>
      <c r="Q460" s="1608"/>
      <c r="R460" s="1608"/>
      <c r="S460" s="1608"/>
      <c r="T460" s="1608"/>
      <c r="U460" s="1608"/>
      <c r="V460" s="1608"/>
      <c r="W460" s="1608"/>
      <c r="X460" s="1608"/>
      <c r="Y460" s="1608"/>
      <c r="Z460" s="1608"/>
      <c r="AA460" s="1608"/>
    </row>
    <row r="461" spans="10:27" s="2462" customFormat="1" ht="21.75" customHeight="1">
      <c r="J461" s="2464"/>
      <c r="K461" s="1608"/>
      <c r="L461" s="1608"/>
      <c r="M461" s="1608"/>
      <c r="N461" s="1608"/>
      <c r="O461" s="1608"/>
      <c r="P461" s="1608"/>
      <c r="Q461" s="1608"/>
      <c r="R461" s="1608"/>
      <c r="S461" s="1608"/>
      <c r="T461" s="1608"/>
      <c r="U461" s="1608"/>
      <c r="V461" s="1608"/>
      <c r="W461" s="1608"/>
      <c r="X461" s="1608"/>
      <c r="Y461" s="1608"/>
      <c r="Z461" s="1608"/>
      <c r="AA461" s="1608"/>
    </row>
    <row r="462" spans="10:27" s="2462" customFormat="1" ht="21.75" customHeight="1">
      <c r="J462" s="2464"/>
      <c r="K462" s="1608"/>
      <c r="L462" s="1608"/>
      <c r="M462" s="1608"/>
      <c r="N462" s="1608"/>
      <c r="O462" s="1608"/>
      <c r="P462" s="1608"/>
      <c r="Q462" s="1608"/>
      <c r="R462" s="1608"/>
      <c r="S462" s="1608"/>
      <c r="T462" s="1608"/>
      <c r="U462" s="1608"/>
      <c r="V462" s="1608"/>
      <c r="W462" s="1608"/>
      <c r="X462" s="1608"/>
      <c r="Y462" s="1608"/>
      <c r="Z462" s="1608"/>
      <c r="AA462" s="1608"/>
    </row>
    <row r="463" spans="10:27" s="2462" customFormat="1" ht="21.75" customHeight="1">
      <c r="J463" s="2464"/>
      <c r="K463" s="1608"/>
      <c r="L463" s="1608"/>
      <c r="M463" s="1608"/>
      <c r="N463" s="1608"/>
      <c r="O463" s="1608"/>
      <c r="P463" s="1608"/>
      <c r="Q463" s="1608"/>
      <c r="R463" s="1608"/>
      <c r="S463" s="1608"/>
      <c r="T463" s="1608"/>
      <c r="U463" s="1608"/>
      <c r="V463" s="1608"/>
      <c r="W463" s="1608"/>
      <c r="X463" s="1608"/>
      <c r="Y463" s="1608"/>
      <c r="Z463" s="1608"/>
      <c r="AA463" s="1608"/>
    </row>
    <row r="464" spans="10:27" s="2462" customFormat="1" ht="21.75" customHeight="1">
      <c r="J464" s="2464"/>
      <c r="K464" s="1608"/>
      <c r="L464" s="1608"/>
      <c r="M464" s="1608"/>
      <c r="N464" s="1608"/>
      <c r="O464" s="1608"/>
      <c r="P464" s="1608"/>
      <c r="Q464" s="1608"/>
      <c r="R464" s="1608"/>
      <c r="S464" s="1608"/>
      <c r="T464" s="1608"/>
      <c r="U464" s="1608"/>
      <c r="V464" s="1608"/>
      <c r="W464" s="1608"/>
      <c r="X464" s="1608"/>
      <c r="Y464" s="1608"/>
      <c r="Z464" s="1608"/>
      <c r="AA464" s="1608"/>
    </row>
    <row r="465" spans="10:27" s="2462" customFormat="1" ht="21.75" customHeight="1">
      <c r="J465" s="2464"/>
      <c r="K465" s="1608"/>
      <c r="L465" s="1608"/>
      <c r="M465" s="1608"/>
      <c r="N465" s="1608"/>
      <c r="O465" s="1608"/>
      <c r="P465" s="1608"/>
      <c r="Q465" s="1608"/>
      <c r="R465" s="1608"/>
      <c r="S465" s="1608"/>
      <c r="T465" s="1608"/>
      <c r="U465" s="1608"/>
      <c r="V465" s="1608"/>
      <c r="W465" s="1608"/>
      <c r="X465" s="1608"/>
      <c r="Y465" s="1608"/>
      <c r="Z465" s="1608"/>
      <c r="AA465" s="1608"/>
    </row>
    <row r="466" spans="10:27" s="2462" customFormat="1" ht="21.75" customHeight="1">
      <c r="J466" s="2464"/>
      <c r="K466" s="1608"/>
      <c r="L466" s="1608"/>
      <c r="M466" s="1608"/>
      <c r="N466" s="1608"/>
      <c r="O466" s="1608"/>
      <c r="P466" s="1608"/>
      <c r="Q466" s="1608"/>
      <c r="R466" s="1608"/>
      <c r="S466" s="1608"/>
      <c r="T466" s="1608"/>
      <c r="U466" s="1608"/>
      <c r="V466" s="1608"/>
      <c r="W466" s="1608"/>
      <c r="X466" s="1608"/>
      <c r="Y466" s="1608"/>
      <c r="Z466" s="1608"/>
      <c r="AA466" s="1608"/>
    </row>
    <row r="467" spans="10:27" s="2462" customFormat="1" ht="21.75" customHeight="1">
      <c r="J467" s="2464"/>
      <c r="K467" s="1608"/>
      <c r="L467" s="1608"/>
      <c r="M467" s="1608"/>
      <c r="N467" s="1608"/>
      <c r="O467" s="1608"/>
      <c r="P467" s="1608"/>
      <c r="Q467" s="1608"/>
      <c r="R467" s="1608"/>
      <c r="S467" s="1608"/>
      <c r="T467" s="1608"/>
      <c r="U467" s="1608"/>
      <c r="V467" s="1608"/>
      <c r="W467" s="1608"/>
      <c r="X467" s="1608"/>
      <c r="Y467" s="1608"/>
      <c r="Z467" s="1608"/>
      <c r="AA467" s="1608"/>
    </row>
    <row r="468" spans="10:27" s="2462" customFormat="1" ht="21.75" customHeight="1">
      <c r="J468" s="2464"/>
      <c r="K468" s="1608"/>
      <c r="L468" s="1608"/>
      <c r="M468" s="1608"/>
      <c r="N468" s="1608"/>
      <c r="O468" s="1608"/>
      <c r="P468" s="1608"/>
      <c r="Q468" s="1608"/>
      <c r="R468" s="1608"/>
      <c r="S468" s="1608"/>
      <c r="T468" s="1608"/>
      <c r="U468" s="1608"/>
      <c r="V468" s="1608"/>
      <c r="W468" s="1608"/>
      <c r="X468" s="1608"/>
      <c r="Y468" s="1608"/>
      <c r="Z468" s="1608"/>
      <c r="AA468" s="1608"/>
    </row>
    <row r="469" spans="10:27" s="2462" customFormat="1" ht="21.75" customHeight="1">
      <c r="J469" s="2464"/>
      <c r="K469" s="1608"/>
      <c r="L469" s="1608"/>
      <c r="M469" s="1608"/>
      <c r="N469" s="1608"/>
      <c r="O469" s="1608"/>
      <c r="P469" s="1608"/>
      <c r="Q469" s="1608"/>
      <c r="R469" s="1608"/>
      <c r="S469" s="1608"/>
      <c r="T469" s="1608"/>
      <c r="U469" s="1608"/>
      <c r="V469" s="1608"/>
      <c r="W469" s="1608"/>
      <c r="X469" s="1608"/>
      <c r="Y469" s="1608"/>
      <c r="Z469" s="1608"/>
      <c r="AA469" s="1608"/>
    </row>
    <row r="470" spans="10:27" s="2462" customFormat="1" ht="21.75" customHeight="1">
      <c r="J470" s="2464"/>
      <c r="K470" s="1608"/>
      <c r="L470" s="1608"/>
      <c r="M470" s="1608"/>
      <c r="N470" s="1608"/>
      <c r="O470" s="1608"/>
      <c r="P470" s="1608"/>
      <c r="Q470" s="1608"/>
      <c r="R470" s="1608"/>
      <c r="S470" s="1608"/>
      <c r="T470" s="1608"/>
      <c r="U470" s="1608"/>
      <c r="V470" s="1608"/>
      <c r="W470" s="1608"/>
      <c r="X470" s="1608"/>
      <c r="Y470" s="1608"/>
      <c r="Z470" s="1608"/>
      <c r="AA470" s="1608"/>
    </row>
    <row r="471" spans="10:27" s="2462" customFormat="1" ht="21.75" customHeight="1">
      <c r="J471" s="2464"/>
      <c r="K471" s="1608"/>
      <c r="L471" s="1608"/>
      <c r="M471" s="1608"/>
      <c r="N471" s="1608"/>
      <c r="O471" s="1608"/>
      <c r="P471" s="1608"/>
      <c r="Q471" s="1608"/>
      <c r="R471" s="1608"/>
      <c r="S471" s="1608"/>
      <c r="T471" s="1608"/>
      <c r="U471" s="1608"/>
      <c r="V471" s="1608"/>
      <c r="W471" s="1608"/>
      <c r="X471" s="1608"/>
      <c r="Y471" s="1608"/>
      <c r="Z471" s="1608"/>
      <c r="AA471" s="1608"/>
    </row>
    <row r="472" spans="10:27" s="2462" customFormat="1" ht="21.75" customHeight="1">
      <c r="J472" s="2464"/>
      <c r="K472" s="1608"/>
      <c r="L472" s="1608"/>
      <c r="M472" s="1608"/>
      <c r="N472" s="1608"/>
      <c r="O472" s="1608"/>
      <c r="P472" s="1608"/>
      <c r="Q472" s="1608"/>
      <c r="R472" s="1608"/>
      <c r="S472" s="1608"/>
      <c r="T472" s="1608"/>
      <c r="U472" s="1608"/>
      <c r="V472" s="1608"/>
      <c r="W472" s="1608"/>
      <c r="X472" s="1608"/>
      <c r="Y472" s="1608"/>
      <c r="Z472" s="1608"/>
      <c r="AA472" s="1608"/>
    </row>
    <row r="473" spans="10:27" s="2462" customFormat="1" ht="21.75" customHeight="1">
      <c r="J473" s="2464"/>
      <c r="K473" s="1608"/>
      <c r="L473" s="1608"/>
      <c r="M473" s="1608"/>
      <c r="N473" s="1608"/>
      <c r="O473" s="1608"/>
      <c r="P473" s="1608"/>
      <c r="Q473" s="1608"/>
      <c r="R473" s="1608"/>
      <c r="S473" s="1608"/>
      <c r="T473" s="1608"/>
      <c r="U473" s="1608"/>
      <c r="V473" s="1608"/>
      <c r="W473" s="1608"/>
      <c r="X473" s="1608"/>
      <c r="Y473" s="1608"/>
      <c r="Z473" s="1608"/>
      <c r="AA473" s="1608"/>
    </row>
    <row r="474" spans="10:27" s="2462" customFormat="1" ht="21.75" customHeight="1">
      <c r="J474" s="2464"/>
      <c r="K474" s="1608"/>
      <c r="L474" s="1608"/>
      <c r="M474" s="1608"/>
      <c r="N474" s="1608"/>
      <c r="O474" s="1608"/>
      <c r="P474" s="1608"/>
      <c r="Q474" s="1608"/>
      <c r="R474" s="1608"/>
      <c r="S474" s="1608"/>
      <c r="T474" s="1608"/>
      <c r="U474" s="1608"/>
      <c r="V474" s="1608"/>
      <c r="W474" s="1608"/>
      <c r="X474" s="1608"/>
      <c r="Y474" s="1608"/>
      <c r="Z474" s="1608"/>
      <c r="AA474" s="1608"/>
    </row>
    <row r="475" spans="10:27" s="2462" customFormat="1" ht="21.75" customHeight="1">
      <c r="J475" s="2464"/>
      <c r="K475" s="1608"/>
      <c r="L475" s="1608"/>
      <c r="M475" s="1608"/>
      <c r="N475" s="1608"/>
      <c r="O475" s="1608"/>
      <c r="P475" s="1608"/>
      <c r="Q475" s="1608"/>
      <c r="R475" s="1608"/>
      <c r="S475" s="1608"/>
      <c r="T475" s="1608"/>
      <c r="U475" s="1608"/>
      <c r="V475" s="1608"/>
      <c r="W475" s="1608"/>
      <c r="X475" s="1608"/>
      <c r="Y475" s="1608"/>
      <c r="Z475" s="1608"/>
      <c r="AA475" s="1608"/>
    </row>
    <row r="476" spans="10:27" s="2462" customFormat="1" ht="21.75" customHeight="1">
      <c r="J476" s="2464"/>
      <c r="K476" s="1608"/>
      <c r="L476" s="1608"/>
      <c r="M476" s="1608"/>
      <c r="N476" s="1608"/>
      <c r="O476" s="1608"/>
      <c r="P476" s="1608"/>
      <c r="Q476" s="1608"/>
      <c r="R476" s="1608"/>
      <c r="S476" s="1608"/>
      <c r="T476" s="1608"/>
      <c r="U476" s="1608"/>
      <c r="V476" s="1608"/>
      <c r="W476" s="1608"/>
      <c r="X476" s="1608"/>
      <c r="Y476" s="1608"/>
      <c r="Z476" s="1608"/>
      <c r="AA476" s="1608"/>
    </row>
    <row r="477" spans="10:27" s="2462" customFormat="1" ht="21.75" customHeight="1">
      <c r="J477" s="2464"/>
      <c r="K477" s="1608"/>
      <c r="L477" s="1608"/>
      <c r="M477" s="1608"/>
      <c r="N477" s="1608"/>
      <c r="O477" s="1608"/>
      <c r="P477" s="1608"/>
      <c r="Q477" s="1608"/>
      <c r="R477" s="1608"/>
      <c r="S477" s="1608"/>
      <c r="T477" s="1608"/>
      <c r="U477" s="1608"/>
      <c r="V477" s="1608"/>
      <c r="W477" s="1608"/>
      <c r="X477" s="1608"/>
      <c r="Y477" s="1608"/>
      <c r="Z477" s="1608"/>
      <c r="AA477" s="1608"/>
    </row>
    <row r="478" spans="10:27" s="2462" customFormat="1" ht="21.75" customHeight="1">
      <c r="J478" s="2464"/>
      <c r="K478" s="1608"/>
      <c r="L478" s="1608"/>
      <c r="M478" s="1608"/>
      <c r="N478" s="1608"/>
      <c r="O478" s="1608"/>
      <c r="P478" s="1608"/>
      <c r="Q478" s="1608"/>
      <c r="R478" s="1608"/>
      <c r="S478" s="1608"/>
      <c r="T478" s="1608"/>
      <c r="U478" s="1608"/>
      <c r="V478" s="1608"/>
      <c r="W478" s="1608"/>
      <c r="X478" s="1608"/>
      <c r="Y478" s="1608"/>
      <c r="Z478" s="1608"/>
      <c r="AA478" s="1608"/>
    </row>
    <row r="479" spans="10:27" s="2462" customFormat="1" ht="21.75" customHeight="1">
      <c r="J479" s="2464"/>
      <c r="K479" s="1608"/>
      <c r="L479" s="1608"/>
      <c r="M479" s="1608"/>
      <c r="N479" s="1608"/>
      <c r="O479" s="1608"/>
      <c r="P479" s="1608"/>
      <c r="Q479" s="1608"/>
      <c r="R479" s="1608"/>
      <c r="S479" s="1608"/>
      <c r="T479" s="1608"/>
      <c r="U479" s="1608"/>
      <c r="V479" s="1608"/>
      <c r="W479" s="1608"/>
      <c r="X479" s="1608"/>
      <c r="Y479" s="1608"/>
      <c r="Z479" s="1608"/>
      <c r="AA479" s="1608"/>
    </row>
    <row r="480" spans="10:27" s="2462" customFormat="1" ht="21.75" customHeight="1">
      <c r="J480" s="2464"/>
      <c r="K480" s="1608"/>
      <c r="L480" s="1608"/>
      <c r="M480" s="1608"/>
      <c r="N480" s="1608"/>
      <c r="O480" s="1608"/>
      <c r="P480" s="1608"/>
      <c r="Q480" s="1608"/>
      <c r="R480" s="1608"/>
      <c r="S480" s="1608"/>
      <c r="T480" s="1608"/>
      <c r="U480" s="1608"/>
      <c r="V480" s="1608"/>
      <c r="W480" s="1608"/>
      <c r="X480" s="1608"/>
      <c r="Y480" s="1608"/>
      <c r="Z480" s="1608"/>
      <c r="AA480" s="1608"/>
    </row>
    <row r="481" spans="10:27" s="2462" customFormat="1" ht="21.75" customHeight="1">
      <c r="J481" s="2464"/>
      <c r="K481" s="1608"/>
      <c r="L481" s="1608"/>
      <c r="M481" s="1608"/>
      <c r="N481" s="1608"/>
      <c r="O481" s="1608"/>
      <c r="P481" s="1608"/>
      <c r="Q481" s="1608"/>
      <c r="R481" s="1608"/>
      <c r="S481" s="1608"/>
      <c r="T481" s="1608"/>
      <c r="U481" s="1608"/>
      <c r="V481" s="1608"/>
      <c r="W481" s="1608"/>
      <c r="X481" s="1608"/>
      <c r="Y481" s="1608"/>
      <c r="Z481" s="1608"/>
      <c r="AA481" s="1608"/>
    </row>
    <row r="482" spans="10:27" s="2462" customFormat="1" ht="21.75" customHeight="1">
      <c r="J482" s="2464"/>
      <c r="K482" s="1608"/>
      <c r="L482" s="1608"/>
      <c r="M482" s="1608"/>
      <c r="N482" s="1608"/>
      <c r="O482" s="1608"/>
      <c r="P482" s="1608"/>
      <c r="Q482" s="1608"/>
      <c r="R482" s="1608"/>
      <c r="S482" s="1608"/>
      <c r="T482" s="1608"/>
      <c r="U482" s="1608"/>
      <c r="V482" s="1608"/>
      <c r="W482" s="1608"/>
      <c r="X482" s="1608"/>
      <c r="Y482" s="1608"/>
      <c r="Z482" s="1608"/>
      <c r="AA482" s="1608"/>
    </row>
    <row r="483" spans="10:27" s="2462" customFormat="1" ht="21.75" customHeight="1">
      <c r="J483" s="2464"/>
      <c r="K483" s="1608"/>
      <c r="L483" s="1608"/>
      <c r="M483" s="1608"/>
      <c r="N483" s="1608"/>
      <c r="O483" s="1608"/>
      <c r="P483" s="1608"/>
      <c r="Q483" s="1608"/>
      <c r="R483" s="1608"/>
      <c r="S483" s="1608"/>
      <c r="T483" s="1608"/>
      <c r="U483" s="1608"/>
      <c r="V483" s="1608"/>
      <c r="W483" s="1608"/>
      <c r="X483" s="1608"/>
      <c r="Y483" s="1608"/>
      <c r="Z483" s="1608"/>
      <c r="AA483" s="1608"/>
    </row>
    <row r="484" spans="10:27" s="2462" customFormat="1" ht="21.75" customHeight="1">
      <c r="J484" s="2464"/>
      <c r="K484" s="1608"/>
      <c r="L484" s="1608"/>
      <c r="M484" s="1608"/>
      <c r="N484" s="1608"/>
      <c r="O484" s="1608"/>
      <c r="P484" s="1608"/>
      <c r="Q484" s="1608"/>
      <c r="R484" s="1608"/>
      <c r="S484" s="1608"/>
      <c r="T484" s="1608"/>
      <c r="U484" s="1608"/>
      <c r="V484" s="1608"/>
      <c r="W484" s="1608"/>
      <c r="X484" s="1608"/>
      <c r="Y484" s="1608"/>
      <c r="Z484" s="1608"/>
      <c r="AA484" s="1608"/>
    </row>
    <row r="485" spans="10:27" s="2462" customFormat="1" ht="21.75" customHeight="1">
      <c r="J485" s="2464"/>
      <c r="K485" s="1608"/>
      <c r="L485" s="1608"/>
      <c r="M485" s="1608"/>
      <c r="N485" s="1608"/>
      <c r="O485" s="1608"/>
      <c r="P485" s="1608"/>
      <c r="Q485" s="1608"/>
      <c r="R485" s="1608"/>
      <c r="S485" s="1608"/>
      <c r="T485" s="1608"/>
      <c r="U485" s="1608"/>
      <c r="V485" s="1608"/>
      <c r="W485" s="1608"/>
      <c r="X485" s="1608"/>
      <c r="Y485" s="1608"/>
      <c r="Z485" s="1608"/>
      <c r="AA485" s="1608"/>
    </row>
    <row r="486" spans="10:27" s="2462" customFormat="1" ht="21.75" customHeight="1">
      <c r="J486" s="2464"/>
      <c r="K486" s="1608"/>
      <c r="L486" s="1608"/>
      <c r="M486" s="1608"/>
      <c r="N486" s="1608"/>
      <c r="O486" s="1608"/>
      <c r="P486" s="1608"/>
      <c r="Q486" s="1608"/>
      <c r="R486" s="1608"/>
      <c r="S486" s="1608"/>
      <c r="T486" s="1608"/>
      <c r="U486" s="1608"/>
      <c r="V486" s="1608"/>
      <c r="W486" s="1608"/>
      <c r="X486" s="1608"/>
      <c r="Y486" s="1608"/>
      <c r="Z486" s="1608"/>
      <c r="AA486" s="1608"/>
    </row>
    <row r="487" spans="10:27" s="2462" customFormat="1" ht="21.75" customHeight="1">
      <c r="J487" s="2464"/>
      <c r="K487" s="1608"/>
      <c r="L487" s="1608"/>
      <c r="M487" s="1608"/>
      <c r="N487" s="1608"/>
      <c r="O487" s="1608"/>
      <c r="P487" s="1608"/>
      <c r="Q487" s="1608"/>
      <c r="R487" s="1608"/>
      <c r="S487" s="1608"/>
      <c r="T487" s="1608"/>
      <c r="U487" s="1608"/>
      <c r="V487" s="1608"/>
      <c r="W487" s="1608"/>
      <c r="X487" s="1608"/>
      <c r="Y487" s="1608"/>
      <c r="Z487" s="1608"/>
      <c r="AA487" s="1608"/>
    </row>
    <row r="488" spans="10:27" s="2462" customFormat="1" ht="21.75" customHeight="1">
      <c r="J488" s="2464"/>
      <c r="K488" s="1608"/>
      <c r="L488" s="1608"/>
      <c r="M488" s="1608"/>
      <c r="N488" s="1608"/>
      <c r="O488" s="1608"/>
      <c r="P488" s="1608"/>
      <c r="Q488" s="1608"/>
      <c r="R488" s="1608"/>
      <c r="S488" s="1608"/>
      <c r="T488" s="1608"/>
      <c r="U488" s="1608"/>
      <c r="V488" s="1608"/>
      <c r="W488" s="1608"/>
      <c r="X488" s="1608"/>
      <c r="Y488" s="1608"/>
      <c r="Z488" s="1608"/>
      <c r="AA488" s="1608"/>
    </row>
    <row r="489" spans="10:27" s="2462" customFormat="1" ht="21.75" customHeight="1">
      <c r="J489" s="2464"/>
      <c r="K489" s="1608"/>
      <c r="L489" s="1608"/>
      <c r="M489" s="1608"/>
      <c r="N489" s="1608"/>
      <c r="O489" s="1608"/>
      <c r="P489" s="1608"/>
      <c r="Q489" s="1608"/>
      <c r="R489" s="1608"/>
      <c r="S489" s="1608"/>
      <c r="T489" s="1608"/>
      <c r="U489" s="1608"/>
      <c r="V489" s="1608"/>
      <c r="W489" s="1608"/>
      <c r="X489" s="1608"/>
      <c r="Y489" s="1608"/>
      <c r="Z489" s="1608"/>
      <c r="AA489" s="1608"/>
    </row>
    <row r="490" spans="10:27" s="2462" customFormat="1" ht="21.75" customHeight="1">
      <c r="J490" s="2464"/>
      <c r="K490" s="1608"/>
      <c r="L490" s="1608"/>
      <c r="M490" s="1608"/>
      <c r="N490" s="1608"/>
      <c r="O490" s="1608"/>
      <c r="P490" s="1608"/>
      <c r="Q490" s="1608"/>
      <c r="R490" s="1608"/>
      <c r="S490" s="1608"/>
      <c r="T490" s="1608"/>
      <c r="U490" s="1608"/>
      <c r="V490" s="1608"/>
      <c r="W490" s="1608"/>
      <c r="X490" s="1608"/>
      <c r="Y490" s="1608"/>
      <c r="Z490" s="1608"/>
      <c r="AA490" s="1608"/>
    </row>
    <row r="491" spans="10:27" s="2462" customFormat="1" ht="21.75" customHeight="1">
      <c r="J491" s="2464"/>
      <c r="K491" s="1608"/>
      <c r="L491" s="1608"/>
      <c r="M491" s="1608"/>
      <c r="N491" s="1608"/>
      <c r="O491" s="1608"/>
      <c r="P491" s="1608"/>
      <c r="Q491" s="1608"/>
      <c r="R491" s="1608"/>
      <c r="S491" s="1608"/>
      <c r="T491" s="1608"/>
      <c r="U491" s="1608"/>
      <c r="V491" s="1608"/>
      <c r="W491" s="1608"/>
      <c r="X491" s="1608"/>
      <c r="Y491" s="1608"/>
      <c r="Z491" s="1608"/>
      <c r="AA491" s="1608"/>
    </row>
    <row r="492" spans="10:27" s="2462" customFormat="1" ht="21.75" customHeight="1">
      <c r="J492" s="2464"/>
      <c r="K492" s="1608"/>
      <c r="L492" s="1608"/>
      <c r="M492" s="1608"/>
      <c r="N492" s="1608"/>
      <c r="O492" s="1608"/>
      <c r="P492" s="1608"/>
      <c r="Q492" s="1608"/>
      <c r="R492" s="1608"/>
      <c r="S492" s="1608"/>
      <c r="T492" s="1608"/>
      <c r="U492" s="1608"/>
      <c r="V492" s="1608"/>
      <c r="W492" s="1608"/>
      <c r="X492" s="1608"/>
      <c r="Y492" s="1608"/>
      <c r="Z492" s="1608"/>
      <c r="AA492" s="1608"/>
    </row>
    <row r="493" spans="10:27" s="2462" customFormat="1" ht="21.75" customHeight="1">
      <c r="J493" s="2464"/>
      <c r="K493" s="1608"/>
      <c r="L493" s="1608"/>
      <c r="M493" s="1608"/>
      <c r="N493" s="1608"/>
      <c r="O493" s="1608"/>
      <c r="P493" s="1608"/>
      <c r="Q493" s="1608"/>
      <c r="R493" s="1608"/>
      <c r="S493" s="1608"/>
      <c r="T493" s="1608"/>
      <c r="U493" s="1608"/>
      <c r="V493" s="1608"/>
      <c r="W493" s="1608"/>
      <c r="X493" s="1608"/>
      <c r="Y493" s="1608"/>
      <c r="Z493" s="1608"/>
      <c r="AA493" s="1608"/>
    </row>
    <row r="494" spans="10:27" s="2462" customFormat="1" ht="21.75" customHeight="1">
      <c r="J494" s="2464"/>
      <c r="K494" s="1608"/>
      <c r="L494" s="1608"/>
      <c r="M494" s="1608"/>
      <c r="N494" s="1608"/>
      <c r="O494" s="1608"/>
      <c r="P494" s="1608"/>
      <c r="Q494" s="1608"/>
      <c r="R494" s="1608"/>
      <c r="S494" s="1608"/>
      <c r="T494" s="1608"/>
      <c r="U494" s="1608"/>
      <c r="V494" s="1608"/>
      <c r="W494" s="1608"/>
      <c r="X494" s="1608"/>
      <c r="Y494" s="1608"/>
      <c r="Z494" s="1608"/>
      <c r="AA494" s="1608"/>
    </row>
    <row r="495" spans="10:27" s="2462" customFormat="1" ht="21.75" customHeight="1">
      <c r="J495" s="2464"/>
      <c r="K495" s="1608"/>
      <c r="L495" s="1608"/>
      <c r="M495" s="1608"/>
      <c r="N495" s="1608"/>
      <c r="O495" s="1608"/>
      <c r="P495" s="1608"/>
      <c r="Q495" s="1608"/>
      <c r="R495" s="1608"/>
      <c r="S495" s="1608"/>
      <c r="T495" s="1608"/>
      <c r="U495" s="1608"/>
      <c r="V495" s="1608"/>
      <c r="W495" s="1608"/>
      <c r="X495" s="1608"/>
      <c r="Y495" s="1608"/>
      <c r="Z495" s="1608"/>
      <c r="AA495" s="1608"/>
    </row>
    <row r="496" spans="10:27" s="2462" customFormat="1" ht="21.75" customHeight="1">
      <c r="J496" s="2464"/>
      <c r="K496" s="1608"/>
      <c r="L496" s="1608"/>
      <c r="M496" s="1608"/>
      <c r="N496" s="1608"/>
      <c r="O496" s="1608"/>
      <c r="P496" s="1608"/>
      <c r="Q496" s="1608"/>
      <c r="R496" s="1608"/>
      <c r="S496" s="1608"/>
      <c r="T496" s="1608"/>
      <c r="U496" s="1608"/>
      <c r="V496" s="1608"/>
      <c r="W496" s="1608"/>
      <c r="X496" s="1608"/>
      <c r="Y496" s="1608"/>
      <c r="Z496" s="1608"/>
      <c r="AA496" s="1608"/>
    </row>
    <row r="497" spans="10:27" s="2462" customFormat="1" ht="21.75" customHeight="1">
      <c r="J497" s="2464"/>
      <c r="K497" s="1608"/>
      <c r="L497" s="1608"/>
      <c r="M497" s="1608"/>
      <c r="N497" s="1608"/>
      <c r="O497" s="1608"/>
      <c r="P497" s="1608"/>
      <c r="Q497" s="1608"/>
      <c r="R497" s="1608"/>
      <c r="S497" s="1608"/>
      <c r="T497" s="1608"/>
      <c r="U497" s="1608"/>
      <c r="V497" s="1608"/>
      <c r="W497" s="1608"/>
      <c r="X497" s="1608"/>
      <c r="Y497" s="1608"/>
      <c r="Z497" s="1608"/>
      <c r="AA497" s="1608"/>
    </row>
    <row r="498" spans="10:27" s="2462" customFormat="1" ht="21.75" customHeight="1">
      <c r="J498" s="2464"/>
      <c r="K498" s="1608"/>
      <c r="L498" s="1608"/>
      <c r="M498" s="1608"/>
      <c r="N498" s="1608"/>
      <c r="O498" s="1608"/>
      <c r="P498" s="1608"/>
      <c r="Q498" s="1608"/>
      <c r="R498" s="1608"/>
      <c r="S498" s="1608"/>
      <c r="T498" s="1608"/>
      <c r="U498" s="1608"/>
      <c r="V498" s="1608"/>
      <c r="W498" s="1608"/>
      <c r="X498" s="1608"/>
      <c r="Y498" s="1608"/>
      <c r="Z498" s="1608"/>
      <c r="AA498" s="1608"/>
    </row>
    <row r="499" spans="10:27" s="2462" customFormat="1" ht="21.75" customHeight="1">
      <c r="J499" s="2464"/>
      <c r="K499" s="1608"/>
      <c r="L499" s="1608"/>
      <c r="M499" s="1608"/>
      <c r="N499" s="1608"/>
      <c r="O499" s="1608"/>
      <c r="P499" s="1608"/>
      <c r="Q499" s="1608"/>
      <c r="R499" s="1608"/>
      <c r="S499" s="1608"/>
      <c r="T499" s="1608"/>
      <c r="U499" s="1608"/>
      <c r="V499" s="1608"/>
      <c r="W499" s="1608"/>
      <c r="X499" s="1608"/>
      <c r="Y499" s="1608"/>
      <c r="Z499" s="1608"/>
      <c r="AA499" s="1608"/>
    </row>
    <row r="500" spans="10:27" s="2462" customFormat="1" ht="21.75" customHeight="1">
      <c r="J500" s="2464"/>
      <c r="K500" s="1608"/>
      <c r="L500" s="1608"/>
      <c r="M500" s="1608"/>
      <c r="N500" s="1608"/>
      <c r="O500" s="1608"/>
      <c r="P500" s="1608"/>
      <c r="Q500" s="1608"/>
      <c r="R500" s="1608"/>
      <c r="S500" s="1608"/>
      <c r="T500" s="1608"/>
      <c r="U500" s="1608"/>
      <c r="V500" s="1608"/>
      <c r="W500" s="1608"/>
      <c r="X500" s="1608"/>
      <c r="Y500" s="1608"/>
      <c r="Z500" s="1608"/>
      <c r="AA500" s="1608"/>
    </row>
    <row r="501" spans="10:27" s="2462" customFormat="1" ht="21.75" customHeight="1">
      <c r="J501" s="2464"/>
      <c r="K501" s="1608"/>
      <c r="L501" s="1608"/>
      <c r="M501" s="1608"/>
      <c r="N501" s="1608"/>
      <c r="O501" s="1608"/>
      <c r="P501" s="1608"/>
      <c r="Q501" s="1608"/>
      <c r="R501" s="1608"/>
      <c r="S501" s="1608"/>
      <c r="T501" s="1608"/>
      <c r="U501" s="1608"/>
      <c r="V501" s="1608"/>
      <c r="W501" s="1608"/>
      <c r="X501" s="1608"/>
      <c r="Y501" s="1608"/>
      <c r="Z501" s="1608"/>
      <c r="AA501" s="1608"/>
    </row>
    <row r="502" spans="10:27" s="2462" customFormat="1" ht="21.75" customHeight="1">
      <c r="J502" s="2464"/>
      <c r="K502" s="1608"/>
      <c r="L502" s="1608"/>
      <c r="M502" s="1608"/>
      <c r="N502" s="1608"/>
      <c r="O502" s="1608"/>
      <c r="P502" s="1608"/>
      <c r="Q502" s="1608"/>
      <c r="R502" s="1608"/>
      <c r="S502" s="1608"/>
      <c r="T502" s="1608"/>
      <c r="U502" s="1608"/>
      <c r="V502" s="1608"/>
      <c r="W502" s="1608"/>
      <c r="X502" s="1608"/>
      <c r="Y502" s="1608"/>
      <c r="Z502" s="1608"/>
      <c r="AA502" s="1608"/>
    </row>
    <row r="503" spans="10:27" s="2462" customFormat="1" ht="21.75" customHeight="1">
      <c r="J503" s="2464"/>
      <c r="K503" s="1608"/>
      <c r="L503" s="1608"/>
      <c r="M503" s="1608"/>
      <c r="N503" s="1608"/>
      <c r="O503" s="1608"/>
      <c r="P503" s="1608"/>
      <c r="Q503" s="1608"/>
      <c r="R503" s="1608"/>
      <c r="S503" s="1608"/>
      <c r="T503" s="1608"/>
      <c r="U503" s="1608"/>
      <c r="V503" s="1608"/>
      <c r="W503" s="1608"/>
      <c r="X503" s="1608"/>
      <c r="Y503" s="1608"/>
      <c r="Z503" s="1608"/>
      <c r="AA503" s="1608"/>
    </row>
    <row r="504" spans="10:27" s="2462" customFormat="1" ht="21.75" customHeight="1">
      <c r="J504" s="2464"/>
      <c r="K504" s="1608"/>
      <c r="L504" s="1608"/>
      <c r="M504" s="1608"/>
      <c r="N504" s="1608"/>
      <c r="O504" s="1608"/>
      <c r="P504" s="1608"/>
      <c r="Q504" s="1608"/>
      <c r="R504" s="1608"/>
      <c r="S504" s="1608"/>
      <c r="T504" s="1608"/>
      <c r="U504" s="1608"/>
      <c r="V504" s="1608"/>
      <c r="W504" s="1608"/>
      <c r="X504" s="1608"/>
      <c r="Y504" s="1608"/>
      <c r="Z504" s="1608"/>
      <c r="AA504" s="1608"/>
    </row>
    <row r="505" spans="10:27" s="2462" customFormat="1" ht="21.75" customHeight="1">
      <c r="J505" s="2464"/>
      <c r="K505" s="1608"/>
      <c r="L505" s="1608"/>
      <c r="M505" s="1608"/>
      <c r="N505" s="1608"/>
      <c r="O505" s="1608"/>
      <c r="P505" s="1608"/>
      <c r="Q505" s="1608"/>
      <c r="R505" s="1608"/>
      <c r="S505" s="1608"/>
      <c r="T505" s="1608"/>
      <c r="U505" s="1608"/>
      <c r="V505" s="1608"/>
      <c r="W505" s="1608"/>
      <c r="X505" s="1608"/>
      <c r="Y505" s="1608"/>
      <c r="Z505" s="1608"/>
      <c r="AA505" s="1608"/>
    </row>
    <row r="506" spans="10:27" s="2462" customFormat="1" ht="21.75" customHeight="1">
      <c r="J506" s="2464"/>
      <c r="K506" s="1608"/>
      <c r="L506" s="1608"/>
      <c r="M506" s="1608"/>
      <c r="N506" s="1608"/>
      <c r="O506" s="1608"/>
      <c r="P506" s="1608"/>
      <c r="Q506" s="1608"/>
      <c r="R506" s="1608"/>
      <c r="S506" s="1608"/>
      <c r="T506" s="1608"/>
      <c r="U506" s="1608"/>
      <c r="V506" s="1608"/>
      <c r="W506" s="1608"/>
      <c r="X506" s="1608"/>
      <c r="Y506" s="1608"/>
      <c r="Z506" s="1608"/>
      <c r="AA506" s="1608"/>
    </row>
    <row r="507" spans="10:27" s="2462" customFormat="1" ht="21.75" customHeight="1">
      <c r="J507" s="2464"/>
      <c r="K507" s="1608"/>
      <c r="L507" s="1608"/>
      <c r="M507" s="1608"/>
      <c r="N507" s="1608"/>
      <c r="O507" s="1608"/>
      <c r="P507" s="1608"/>
      <c r="Q507" s="1608"/>
      <c r="R507" s="1608"/>
      <c r="S507" s="1608"/>
      <c r="T507" s="1608"/>
      <c r="U507" s="1608"/>
      <c r="V507" s="1608"/>
      <c r="W507" s="1608"/>
      <c r="X507" s="1608"/>
      <c r="Y507" s="1608"/>
      <c r="Z507" s="1608"/>
      <c r="AA507" s="1608"/>
    </row>
    <row r="508" spans="10:27" s="2462" customFormat="1" ht="21.75" customHeight="1">
      <c r="J508" s="2464"/>
      <c r="K508" s="1608"/>
      <c r="L508" s="1608"/>
      <c r="M508" s="1608"/>
      <c r="N508" s="1608"/>
      <c r="O508" s="1608"/>
      <c r="P508" s="1608"/>
      <c r="Q508" s="1608"/>
      <c r="R508" s="1608"/>
      <c r="S508" s="1608"/>
      <c r="T508" s="1608"/>
      <c r="U508" s="1608"/>
      <c r="V508" s="1608"/>
      <c r="W508" s="1608"/>
      <c r="X508" s="1608"/>
      <c r="Y508" s="1608"/>
      <c r="Z508" s="1608"/>
      <c r="AA508" s="1608"/>
    </row>
    <row r="509" spans="10:27" s="2462" customFormat="1" ht="21.75" customHeight="1">
      <c r="J509" s="2464"/>
      <c r="K509" s="1608"/>
      <c r="L509" s="1608"/>
      <c r="M509" s="1608"/>
      <c r="N509" s="1608"/>
      <c r="O509" s="1608"/>
      <c r="P509" s="1608"/>
      <c r="Q509" s="1608"/>
      <c r="R509" s="1608"/>
      <c r="S509" s="1608"/>
      <c r="T509" s="1608"/>
      <c r="U509" s="1608"/>
      <c r="V509" s="1608"/>
      <c r="W509" s="1608"/>
      <c r="X509" s="1608"/>
      <c r="Y509" s="1608"/>
      <c r="Z509" s="1608"/>
      <c r="AA509" s="1608"/>
    </row>
    <row r="510" spans="10:27" s="2462" customFormat="1" ht="21.75" customHeight="1">
      <c r="J510" s="2464"/>
      <c r="K510" s="1608"/>
      <c r="L510" s="1608"/>
      <c r="M510" s="1608"/>
      <c r="N510" s="1608"/>
      <c r="O510" s="1608"/>
      <c r="P510" s="1608"/>
      <c r="Q510" s="1608"/>
      <c r="R510" s="1608"/>
      <c r="S510" s="1608"/>
      <c r="T510" s="1608"/>
      <c r="U510" s="1608"/>
      <c r="V510" s="1608"/>
      <c r="W510" s="1608"/>
      <c r="X510" s="1608"/>
      <c r="Y510" s="1608"/>
      <c r="Z510" s="1608"/>
      <c r="AA510" s="1608"/>
    </row>
    <row r="511" spans="10:27" s="2462" customFormat="1" ht="21.75" customHeight="1">
      <c r="J511" s="2464"/>
      <c r="K511" s="1608"/>
      <c r="L511" s="1608"/>
      <c r="M511" s="1608"/>
      <c r="N511" s="1608"/>
      <c r="O511" s="1608"/>
      <c r="P511" s="1608"/>
      <c r="Q511" s="1608"/>
      <c r="R511" s="1608"/>
      <c r="S511" s="1608"/>
      <c r="T511" s="1608"/>
      <c r="U511" s="1608"/>
      <c r="V511" s="1608"/>
      <c r="W511" s="1608"/>
      <c r="X511" s="1608"/>
      <c r="Y511" s="1608"/>
      <c r="Z511" s="1608"/>
      <c r="AA511" s="1608"/>
    </row>
    <row r="512" spans="10:27" s="2462" customFormat="1" ht="21.75" customHeight="1">
      <c r="J512" s="2464"/>
      <c r="K512" s="1608"/>
      <c r="L512" s="1608"/>
      <c r="M512" s="1608"/>
      <c r="N512" s="1608"/>
      <c r="O512" s="1608"/>
      <c r="P512" s="1608"/>
      <c r="Q512" s="1608"/>
      <c r="R512" s="1608"/>
      <c r="S512" s="1608"/>
      <c r="T512" s="1608"/>
      <c r="U512" s="1608"/>
      <c r="V512" s="1608"/>
      <c r="W512" s="1608"/>
      <c r="X512" s="1608"/>
      <c r="Y512" s="1608"/>
      <c r="Z512" s="1608"/>
      <c r="AA512" s="1608"/>
    </row>
    <row r="513" spans="6:27" s="2462" customFormat="1" ht="21.75" customHeight="1">
      <c r="J513" s="2464"/>
      <c r="K513" s="1608"/>
      <c r="L513" s="1608"/>
      <c r="M513" s="1608"/>
      <c r="N513" s="1608"/>
      <c r="O513" s="1608"/>
      <c r="P513" s="1608"/>
      <c r="Q513" s="1608"/>
      <c r="R513" s="1608"/>
      <c r="S513" s="1608"/>
      <c r="T513" s="1608"/>
      <c r="U513" s="1608"/>
      <c r="V513" s="1608"/>
      <c r="W513" s="1608"/>
      <c r="X513" s="1608"/>
      <c r="Y513" s="1608"/>
      <c r="Z513" s="1608"/>
      <c r="AA513" s="1608"/>
    </row>
    <row r="514" spans="6:27" s="2462" customFormat="1" ht="21.75" customHeight="1">
      <c r="J514" s="2464"/>
      <c r="K514" s="1608"/>
      <c r="L514" s="1608"/>
      <c r="M514" s="1608"/>
      <c r="N514" s="1608"/>
      <c r="O514" s="1608"/>
      <c r="P514" s="1608"/>
      <c r="Q514" s="1608"/>
      <c r="R514" s="1608"/>
      <c r="S514" s="1608"/>
      <c r="T514" s="1608"/>
      <c r="U514" s="1608"/>
      <c r="V514" s="1608"/>
      <c r="W514" s="1608"/>
      <c r="X514" s="1608"/>
      <c r="Y514" s="1608"/>
      <c r="Z514" s="1608"/>
      <c r="AA514" s="1608"/>
    </row>
    <row r="515" spans="6:27" s="2462" customFormat="1" ht="21.75" customHeight="1">
      <c r="J515" s="2464"/>
      <c r="K515" s="1608"/>
      <c r="L515" s="1608"/>
      <c r="M515" s="1608"/>
      <c r="N515" s="1608"/>
      <c r="O515" s="1608"/>
      <c r="P515" s="1608"/>
      <c r="Q515" s="1608"/>
      <c r="R515" s="1608"/>
      <c r="S515" s="1608"/>
      <c r="T515" s="1608"/>
      <c r="U515" s="1608"/>
      <c r="V515" s="1608"/>
      <c r="W515" s="1608"/>
      <c r="X515" s="1608"/>
      <c r="Y515" s="1608"/>
      <c r="Z515" s="1608"/>
      <c r="AA515" s="1608"/>
    </row>
    <row r="516" spans="6:27" s="2462" customFormat="1" ht="21.75" customHeight="1">
      <c r="F516" s="2463"/>
      <c r="G516" s="2463"/>
      <c r="H516" s="2463"/>
      <c r="I516" s="2463"/>
      <c r="J516" s="2464"/>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63"/>
    <col min="2" max="2" width="17.625" style="2463" customWidth="1"/>
    <col min="3" max="4" width="12.625" style="2463" customWidth="1"/>
    <col min="5" max="9" width="12.625" style="2463"/>
    <col min="10" max="10" width="4.125" style="2464" customWidth="1"/>
    <col min="11" max="12" width="12.625" style="1608" customWidth="1"/>
    <col min="13" max="13" width="12.625" style="1608"/>
    <col min="14" max="14" width="14.125" style="1608" customWidth="1"/>
    <col min="15" max="27" width="12.625" style="1608"/>
    <col min="28" max="36" width="12.625" style="2462"/>
    <col min="37" max="16384" width="12.625" style="2463"/>
  </cols>
  <sheetData>
    <row r="1" spans="1:15" ht="21.75" customHeight="1">
      <c r="A1" s="2465" t="s">
        <v>606</v>
      </c>
      <c r="B1" s="2466"/>
      <c r="C1" s="2466"/>
      <c r="D1" s="2466"/>
      <c r="E1" s="2466"/>
      <c r="F1" s="2466"/>
      <c r="G1" s="2466"/>
      <c r="H1" s="2466"/>
      <c r="I1" s="2466"/>
    </row>
    <row r="2" spans="1:15" ht="21.75" customHeight="1">
      <c r="A2" s="3539" t="s">
        <v>823</v>
      </c>
      <c r="B2" s="3539"/>
      <c r="C2" s="3539"/>
      <c r="D2" s="3539"/>
      <c r="E2" s="3539"/>
      <c r="F2" s="3539"/>
      <c r="G2" s="3539"/>
      <c r="H2" s="3539"/>
      <c r="I2" s="3539"/>
      <c r="J2" s="2578"/>
    </row>
    <row r="3" spans="1:15" ht="12.75">
      <c r="A3" s="3506" t="s">
        <v>607</v>
      </c>
      <c r="B3" s="3507"/>
      <c r="C3" s="3507"/>
      <c r="D3" s="3507"/>
      <c r="E3" s="3507"/>
      <c r="F3" s="3507"/>
      <c r="G3" s="3507"/>
      <c r="H3" s="3507"/>
      <c r="I3" s="3507"/>
      <c r="J3" s="2579"/>
    </row>
    <row r="4" spans="1:15" ht="14.25">
      <c r="A4" s="2467" t="s">
        <v>608</v>
      </c>
      <c r="B4" s="2467" t="s">
        <v>609</v>
      </c>
      <c r="C4" s="2468"/>
      <c r="D4" s="2468"/>
      <c r="E4" s="3436" t="s">
        <v>612</v>
      </c>
      <c r="F4" s="3453"/>
      <c r="G4" s="3453"/>
      <c r="H4" s="3453"/>
      <c r="I4" s="3454"/>
      <c r="J4" s="2580"/>
      <c r="L4" s="246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6"/>
      <c r="O4" s="2466"/>
    </row>
    <row r="5" spans="1:15" ht="12.75">
      <c r="A5" s="3415" t="s">
        <v>613</v>
      </c>
      <c r="B5" s="3415">
        <v>25</v>
      </c>
      <c r="C5" s="3425"/>
      <c r="D5" s="3428"/>
      <c r="E5" s="2259" t="s">
        <v>614</v>
      </c>
      <c r="F5" s="2181"/>
      <c r="G5" s="2181"/>
      <c r="H5" s="2181"/>
      <c r="I5" s="2564"/>
      <c r="J5" s="2580"/>
    </row>
    <row r="6" spans="1:15" ht="12.75">
      <c r="A6" s="3415"/>
      <c r="B6" s="3415"/>
      <c r="C6" s="3426"/>
      <c r="D6" s="3428"/>
      <c r="E6" s="2259" t="s">
        <v>615</v>
      </c>
      <c r="F6" s="2181"/>
      <c r="G6" s="2181"/>
      <c r="H6" s="2181"/>
      <c r="I6" s="2564"/>
      <c r="J6" s="2580"/>
    </row>
    <row r="7" spans="1:15" ht="12.75">
      <c r="A7" s="3415"/>
      <c r="B7" s="3415"/>
      <c r="C7" s="3427"/>
      <c r="D7" s="3428"/>
      <c r="E7" s="2259" t="s">
        <v>616</v>
      </c>
      <c r="F7" s="2181"/>
      <c r="G7" s="2181"/>
      <c r="H7" s="2181"/>
      <c r="I7" s="2564"/>
      <c r="J7" s="2580"/>
    </row>
    <row r="8" spans="1:15" ht="12.75">
      <c r="A8" s="3415" t="s">
        <v>617</v>
      </c>
      <c r="B8" s="3415">
        <v>15</v>
      </c>
      <c r="C8" s="3425"/>
      <c r="D8" s="3428"/>
      <c r="E8" s="2259" t="s">
        <v>618</v>
      </c>
      <c r="F8" s="2181"/>
      <c r="G8" s="2181"/>
      <c r="H8" s="2181"/>
      <c r="I8" s="2564"/>
      <c r="J8" s="2580"/>
    </row>
    <row r="9" spans="1:15" ht="12.75">
      <c r="A9" s="3415"/>
      <c r="B9" s="3415"/>
      <c r="C9" s="3427"/>
      <c r="D9" s="3428"/>
      <c r="E9" s="2259" t="s">
        <v>619</v>
      </c>
      <c r="F9" s="2181"/>
      <c r="G9" s="2181"/>
      <c r="H9" s="2181"/>
      <c r="I9" s="2564"/>
      <c r="J9" s="2580"/>
    </row>
    <row r="10" spans="1:15" ht="12.75">
      <c r="A10" s="3415" t="s">
        <v>620</v>
      </c>
      <c r="B10" s="3415">
        <v>15</v>
      </c>
      <c r="C10" s="3425"/>
      <c r="D10" s="3428"/>
      <c r="E10" s="2259" t="s">
        <v>621</v>
      </c>
      <c r="F10" s="2181"/>
      <c r="G10" s="2181"/>
      <c r="H10" s="2181"/>
      <c r="I10" s="2564"/>
      <c r="J10" s="2580"/>
    </row>
    <row r="11" spans="1:15" ht="12.75">
      <c r="A11" s="3415"/>
      <c r="B11" s="3415"/>
      <c r="C11" s="3427"/>
      <c r="D11" s="3428"/>
      <c r="E11" s="2259" t="s">
        <v>622</v>
      </c>
      <c r="F11" s="2181"/>
      <c r="G11" s="2181"/>
      <c r="H11" s="2181"/>
      <c r="I11" s="2564"/>
      <c r="J11" s="2580"/>
    </row>
    <row r="12" spans="1:15" ht="12.75">
      <c r="A12" s="3415" t="s">
        <v>623</v>
      </c>
      <c r="B12" s="3415">
        <v>15</v>
      </c>
      <c r="C12" s="3425"/>
      <c r="D12" s="3428"/>
      <c r="E12" s="2259" t="s">
        <v>624</v>
      </c>
      <c r="F12" s="2181"/>
      <c r="G12" s="2181"/>
      <c r="H12" s="2181"/>
      <c r="I12" s="2564"/>
      <c r="J12" s="2580"/>
    </row>
    <row r="13" spans="1:15" ht="12.75">
      <c r="A13" s="3415"/>
      <c r="B13" s="3415"/>
      <c r="C13" s="3427"/>
      <c r="D13" s="3428"/>
      <c r="E13" s="2259" t="s">
        <v>625</v>
      </c>
      <c r="F13" s="2181"/>
      <c r="G13" s="2181"/>
      <c r="H13" s="2181"/>
      <c r="I13" s="2564"/>
      <c r="J13" s="2580"/>
    </row>
    <row r="14" spans="1:15" ht="12.75">
      <c r="A14" s="3415" t="s">
        <v>626</v>
      </c>
      <c r="B14" s="3415">
        <v>30</v>
      </c>
      <c r="C14" s="3425"/>
      <c r="D14" s="3428"/>
      <c r="E14" s="2259" t="s">
        <v>627</v>
      </c>
      <c r="F14" s="2181"/>
      <c r="G14" s="2181"/>
      <c r="H14" s="2181"/>
      <c r="I14" s="2564"/>
      <c r="J14" s="2580"/>
    </row>
    <row r="15" spans="1:15" ht="12.75">
      <c r="A15" s="3415"/>
      <c r="B15" s="3415"/>
      <c r="C15" s="3426"/>
      <c r="D15" s="3428"/>
      <c r="E15" s="2259" t="s">
        <v>628</v>
      </c>
      <c r="F15" s="2181"/>
      <c r="G15" s="2181"/>
      <c r="H15" s="2181"/>
      <c r="I15" s="2564"/>
      <c r="J15" s="2580"/>
    </row>
    <row r="16" spans="1:15" ht="12.75">
      <c r="A16" s="3415"/>
      <c r="B16" s="3415"/>
      <c r="C16" s="3427"/>
      <c r="D16" s="3428"/>
      <c r="E16" s="2259" t="s">
        <v>629</v>
      </c>
      <c r="F16" s="2181"/>
      <c r="G16" s="2181"/>
      <c r="H16" s="2181"/>
      <c r="I16" s="2564"/>
      <c r="J16" s="2580"/>
    </row>
    <row r="17" spans="1:36" ht="15">
      <c r="A17" s="2470" t="s">
        <v>630</v>
      </c>
      <c r="B17" s="1202"/>
      <c r="C17" s="2471">
        <f>SUM(C5:C16)</f>
        <v>0</v>
      </c>
      <c r="D17" s="2471">
        <f>SUM(D5:D16)</f>
        <v>0</v>
      </c>
      <c r="E17" s="2472"/>
      <c r="F17" s="2472"/>
      <c r="G17" s="2472"/>
      <c r="H17" s="2472"/>
      <c r="I17" s="2472"/>
      <c r="J17" s="2581"/>
    </row>
    <row r="18" spans="1:36" ht="32.450000000000003" customHeight="1">
      <c r="A18" s="2473" t="s">
        <v>631</v>
      </c>
      <c r="B18" s="2474"/>
      <c r="C18" s="2475" t="e">
        <f>ROUND(C17/SUM(C17:D17),2)</f>
        <v>#DIV/0!</v>
      </c>
      <c r="D18" s="2475" t="e">
        <f>1-C18</f>
        <v>#DIV/0!</v>
      </c>
      <c r="E18" s="3508" t="s">
        <v>632</v>
      </c>
      <c r="F18" s="3509"/>
      <c r="G18" s="3509"/>
      <c r="H18" s="3509"/>
      <c r="I18" s="3509"/>
      <c r="J18" s="2581"/>
    </row>
    <row r="19" spans="1:36" ht="15">
      <c r="A19" s="2476" t="s">
        <v>633</v>
      </c>
      <c r="B19" s="2477" t="s">
        <v>634</v>
      </c>
      <c r="C19" s="2478" t="e">
        <f ca="1">SUMIF(INDIRECT("'"&amp;C4&amp;"'"&amp;"!A:A"),'结果表 (1修多)'!B19,INDIRECT("'"&amp;C4&amp;"'"&amp;"!B:B"))</f>
        <v>#REF!</v>
      </c>
      <c r="D19" s="2479" t="e">
        <f ca="1">SUMIF(INDIRECT("'"&amp;D4&amp;"'"&amp;"!A:A"),'结果表 (1修多)'!B19,INDIRECT("'"&amp;D4&amp;"'"&amp;"!B:B"))</f>
        <v>#REF!</v>
      </c>
      <c r="E19" s="2476" t="s">
        <v>635</v>
      </c>
      <c r="F19" s="2477" t="s">
        <v>634</v>
      </c>
      <c r="G19" s="2480" t="e">
        <f ca="1">ROUND(C19*$C$18+D19*$D$18,0)</f>
        <v>#REF!</v>
      </c>
      <c r="H19" s="2481" t="str">
        <f>'数据-取费表'!B3</f>
        <v>元</v>
      </c>
      <c r="I19" s="2472"/>
      <c r="J19" s="2581"/>
    </row>
    <row r="20" spans="1:36" ht="15">
      <c r="A20" s="2482"/>
      <c r="B20" s="1215" t="s">
        <v>636</v>
      </c>
      <c r="C20" s="1142" t="e">
        <f ca="1">SUMIF(INDIRECT("'"&amp;C4&amp;"'"&amp;"!A:A"),'结果表 (1修多)'!B20,INDIRECT("'"&amp;C4&amp;"'"&amp;"!B:B"))</f>
        <v>#REF!</v>
      </c>
      <c r="D20" s="2426" t="e">
        <f ca="1">SUMIF(INDIRECT("'"&amp;D4&amp;"'"&amp;"!A:A"),'结果表 (1修多)'!B20,INDIRECT("'"&amp;D4&amp;"'"&amp;"!B:B"))</f>
        <v>#REF!</v>
      </c>
      <c r="E20" s="2482"/>
      <c r="F20" s="1215" t="s">
        <v>636</v>
      </c>
      <c r="G20" s="1163" t="e">
        <f ca="1">ROUND(C20*$C$18+D20*$D$18,0)</f>
        <v>#REF!</v>
      </c>
      <c r="H20" s="2483" t="s">
        <v>637</v>
      </c>
      <c r="I20" s="2472"/>
      <c r="J20" s="2581"/>
    </row>
    <row r="21" spans="1:36" ht="15" customHeight="1">
      <c r="A21" s="2484"/>
      <c r="B21" s="2485"/>
      <c r="C21" s="2485"/>
      <c r="D21" s="2486"/>
      <c r="E21" s="2484"/>
      <c r="F21" s="2485"/>
      <c r="G21" s="2487"/>
      <c r="H21" s="2488"/>
      <c r="I21" s="2472"/>
      <c r="J21" s="2581"/>
    </row>
    <row r="22" spans="1:36" ht="14.25">
      <c r="A22" s="2489" t="s">
        <v>638</v>
      </c>
      <c r="B22" s="2490"/>
      <c r="C22" s="2491"/>
      <c r="D22" s="2492" t="e">
        <f ca="1">IF(C19&lt;D19,D19/C19-1,C19/D19-1)</f>
        <v>#REF!</v>
      </c>
      <c r="E22" s="2298"/>
      <c r="F22" s="2298"/>
      <c r="G22" s="2298"/>
      <c r="H22" s="2298"/>
      <c r="I22" s="2298"/>
      <c r="J22" s="2581"/>
    </row>
    <row r="23" spans="1:36" ht="12.75">
      <c r="A23" s="2472"/>
      <c r="B23" s="2472"/>
      <c r="C23" s="2472"/>
      <c r="D23" s="2472"/>
      <c r="E23" s="2298"/>
      <c r="F23" s="2298"/>
      <c r="G23" s="2298"/>
      <c r="H23" s="2298"/>
      <c r="I23" s="2298"/>
      <c r="J23" s="2581"/>
    </row>
    <row r="24" spans="1:36" ht="21.75" customHeight="1">
      <c r="A24" s="3416" t="s">
        <v>639</v>
      </c>
      <c r="B24" s="2477" t="s">
        <v>634</v>
      </c>
      <c r="C24" s="2480">
        <f>D30</f>
        <v>0</v>
      </c>
      <c r="D24" s="2493"/>
      <c r="E24" s="2298"/>
      <c r="F24" s="2298"/>
      <c r="G24" s="2298"/>
      <c r="H24" s="2298"/>
      <c r="I24" s="2298"/>
      <c r="J24" s="2581"/>
    </row>
    <row r="25" spans="1:36" ht="21.75" customHeight="1">
      <c r="A25" s="3417"/>
      <c r="B25" s="1215" t="s">
        <v>636</v>
      </c>
      <c r="C25" s="2494">
        <f>IF(B30=0,0,C30)</f>
        <v>0</v>
      </c>
      <c r="D25" s="2495"/>
      <c r="E25" s="2298"/>
      <c r="F25" s="2298"/>
      <c r="G25" s="2298"/>
      <c r="H25" s="2298"/>
      <c r="I25" s="2298"/>
      <c r="J25" s="2581"/>
    </row>
    <row r="26" spans="1:36" ht="13.5" customHeight="1">
      <c r="A26" s="2496" t="s">
        <v>640</v>
      </c>
      <c r="B26" s="2497" t="s">
        <v>641</v>
      </c>
      <c r="C26" s="2497" t="s">
        <v>642</v>
      </c>
      <c r="D26" s="2498" t="s">
        <v>643</v>
      </c>
      <c r="E26" s="2298"/>
      <c r="F26" s="2298"/>
      <c r="G26" s="2298"/>
      <c r="H26" s="2298"/>
      <c r="I26" s="2298"/>
      <c r="J26" s="2581"/>
    </row>
    <row r="27" spans="1:36" ht="14.25">
      <c r="A27" s="2499" t="s">
        <v>824</v>
      </c>
      <c r="B27" s="2497">
        <v>0</v>
      </c>
      <c r="C27" s="2497">
        <v>0</v>
      </c>
      <c r="D27" s="2498">
        <f>ROUND(C27*B27/10000,0)</f>
        <v>0</v>
      </c>
      <c r="E27" s="2298"/>
      <c r="F27" s="2298"/>
      <c r="G27" s="2298"/>
      <c r="H27" s="2298"/>
      <c r="I27" s="2298"/>
      <c r="J27" s="2581"/>
    </row>
    <row r="28" spans="1:36" ht="14.25">
      <c r="A28" s="2496"/>
      <c r="B28" s="2497"/>
      <c r="C28" s="2497"/>
      <c r="D28" s="2498">
        <f>ROUND(C28*B28/10000,0)</f>
        <v>0</v>
      </c>
      <c r="E28" s="2298"/>
      <c r="F28" s="2298"/>
      <c r="G28" s="2298"/>
      <c r="H28" s="2298"/>
      <c r="I28" s="2298"/>
      <c r="J28" s="2581"/>
    </row>
    <row r="29" spans="1:36" ht="14.25">
      <c r="A29" s="2496"/>
      <c r="B29" s="2497"/>
      <c r="C29" s="2497"/>
      <c r="D29" s="2498">
        <f t="shared" ref="D29" si="0">ROUND(C29*B29/10000,0)</f>
        <v>0</v>
      </c>
      <c r="E29" s="2298"/>
      <c r="F29" s="2298"/>
      <c r="G29" s="2298"/>
      <c r="H29" s="2298"/>
      <c r="I29" s="2298"/>
      <c r="J29" s="2581"/>
    </row>
    <row r="30" spans="1:36" ht="14.25">
      <c r="A30" s="2500" t="s">
        <v>644</v>
      </c>
      <c r="B30" s="2501"/>
      <c r="C30" s="2501"/>
      <c r="D30" s="2501"/>
      <c r="E30" s="2502" t="s">
        <v>645</v>
      </c>
      <c r="F30" s="2472"/>
      <c r="G30" s="2472"/>
      <c r="H30" s="2472"/>
      <c r="I30" s="2472"/>
      <c r="J30" s="2581"/>
    </row>
    <row r="31" spans="1:36" s="2459" customFormat="1" ht="27.6" customHeight="1">
      <c r="A31" s="2503"/>
      <c r="B31" s="2504"/>
      <c r="C31" s="2504"/>
      <c r="D31" s="2504"/>
      <c r="E31" s="2504"/>
      <c r="F31" s="2504"/>
      <c r="G31" s="2504"/>
      <c r="H31" s="2504"/>
      <c r="I31" s="2582" t="s">
        <v>646</v>
      </c>
      <c r="J31" s="2583"/>
      <c r="K31" s="2584"/>
      <c r="L31" s="2584"/>
      <c r="M31" s="2584"/>
      <c r="N31" s="2584"/>
      <c r="O31" s="2584"/>
      <c r="P31" s="2584"/>
      <c r="Q31" s="2584"/>
      <c r="R31" s="2584"/>
      <c r="S31" s="2584"/>
      <c r="T31" s="2584"/>
      <c r="U31" s="2584"/>
      <c r="V31" s="2584"/>
      <c r="W31" s="2584"/>
      <c r="X31" s="2584"/>
      <c r="Y31" s="2584"/>
      <c r="Z31" s="2584"/>
      <c r="AA31" s="2584"/>
      <c r="AB31" s="2621"/>
      <c r="AC31" s="2621"/>
      <c r="AD31" s="2621"/>
      <c r="AE31" s="2621"/>
      <c r="AF31" s="2621"/>
      <c r="AG31" s="2621"/>
      <c r="AH31" s="2621"/>
      <c r="AI31" s="2621"/>
      <c r="AJ31" s="2621"/>
    </row>
    <row r="32" spans="1:36" s="2460" customFormat="1" ht="15">
      <c r="A32" s="3540" t="s">
        <v>825</v>
      </c>
      <c r="B32" s="3540"/>
      <c r="C32" s="3540"/>
      <c r="D32" s="3540"/>
      <c r="E32" s="3540"/>
      <c r="F32" s="3540"/>
      <c r="G32" s="3540"/>
      <c r="H32" s="3540"/>
      <c r="I32" s="3540"/>
      <c r="J32" s="2585"/>
      <c r="K32" s="1608"/>
      <c r="L32" s="1608"/>
      <c r="M32" s="1608"/>
      <c r="N32" s="1608"/>
      <c r="O32" s="1608"/>
      <c r="P32" s="1608"/>
      <c r="Q32" s="1608"/>
      <c r="R32" s="1608"/>
      <c r="S32" s="1608"/>
      <c r="T32" s="1608"/>
      <c r="U32" s="1608"/>
      <c r="V32" s="1608"/>
      <c r="W32" s="1608"/>
      <c r="X32" s="1608"/>
      <c r="Y32" s="1608"/>
      <c r="Z32" s="1608"/>
      <c r="AA32" s="1608"/>
      <c r="AB32" s="2462"/>
      <c r="AC32" s="2462"/>
      <c r="AD32" s="2462"/>
      <c r="AE32" s="2462"/>
      <c r="AF32" s="2462"/>
      <c r="AG32" s="2462"/>
      <c r="AH32" s="2462"/>
      <c r="AI32" s="2462"/>
      <c r="AJ32" s="2462"/>
    </row>
    <row r="33" spans="1:16" ht="15">
      <c r="A33" s="2505"/>
      <c r="B33" s="2506" t="s">
        <v>826</v>
      </c>
      <c r="C33" s="2507">
        <f>典型户型修正!R27</f>
        <v>0</v>
      </c>
      <c r="D33" s="2472" t="s">
        <v>637</v>
      </c>
      <c r="E33" s="2298"/>
      <c r="F33" s="2298"/>
      <c r="G33" s="2298"/>
      <c r="H33" s="2298"/>
      <c r="I33" s="2298"/>
      <c r="J33" s="2581"/>
    </row>
    <row r="34" spans="1:16" ht="15">
      <c r="A34" s="2508" t="s">
        <v>827</v>
      </c>
      <c r="B34" s="2509" t="s">
        <v>828</v>
      </c>
      <c r="C34" s="2510">
        <f>典型户型修正!B2</f>
        <v>0</v>
      </c>
      <c r="D34" s="2511" t="str">
        <f>IF('数据-取费表'!B3="万元","万元","元")</f>
        <v>元</v>
      </c>
      <c r="E34" s="2298"/>
      <c r="F34" s="2298"/>
      <c r="G34" s="2298"/>
      <c r="H34" s="2298"/>
      <c r="I34" s="2298"/>
      <c r="J34" s="2581"/>
    </row>
    <row r="35" spans="1:16" ht="15">
      <c r="A35" s="2512"/>
      <c r="B35" s="2513" t="s">
        <v>829</v>
      </c>
      <c r="C35" s="2486" t="e">
        <f>典型户型修正!B3</f>
        <v>#DIV/0!</v>
      </c>
      <c r="D35" s="2472" t="s">
        <v>637</v>
      </c>
      <c r="E35" s="2298"/>
      <c r="F35" s="2298"/>
      <c r="G35" s="2298"/>
      <c r="H35" s="2298"/>
      <c r="I35" s="2298"/>
      <c r="J35" s="2581"/>
    </row>
    <row r="36" spans="1:16" ht="15">
      <c r="A36" s="2514"/>
      <c r="B36" s="2515" t="s">
        <v>650</v>
      </c>
      <c r="C36" s="2516">
        <f>IF('数据-取费表'!B3="万元",典型户型修正!V25,典型户型修正!U25)</f>
        <v>0</v>
      </c>
      <c r="D36" s="2472" t="str">
        <f>D34</f>
        <v>元</v>
      </c>
      <c r="E36" s="2298"/>
      <c r="F36" s="2298"/>
      <c r="G36" s="2298"/>
      <c r="H36" s="2298"/>
      <c r="I36" s="2298"/>
      <c r="J36" s="2581"/>
    </row>
    <row r="37" spans="1:16" ht="15">
      <c r="A37" s="2517"/>
      <c r="B37" s="2518" t="s">
        <v>652</v>
      </c>
      <c r="C37" s="2519">
        <f>IF('数据-取费表'!B3="万元",典型户型修正!Y25,典型户型修正!X25)</f>
        <v>0</v>
      </c>
      <c r="D37" s="2472" t="str">
        <f>D34</f>
        <v>元</v>
      </c>
      <c r="E37" s="2298"/>
      <c r="F37" s="2298"/>
      <c r="G37" s="2298"/>
      <c r="H37" s="2298"/>
      <c r="I37" s="2298"/>
      <c r="J37" s="2581"/>
    </row>
    <row r="38" spans="1:16" ht="15">
      <c r="A38" s="3416" t="s">
        <v>654</v>
      </c>
      <c r="B38" s="2515" t="s">
        <v>655</v>
      </c>
      <c r="C38" s="2520"/>
      <c r="D38" s="2521"/>
      <c r="E38" s="2522"/>
      <c r="F38" s="2522"/>
      <c r="G38" s="2298"/>
      <c r="H38" s="2298"/>
      <c r="I38" s="2298"/>
      <c r="J38" s="2581"/>
    </row>
    <row r="39" spans="1:16" ht="15">
      <c r="A39" s="3418"/>
      <c r="B39" s="1202" t="s">
        <v>656</v>
      </c>
      <c r="C39" s="2523"/>
      <c r="D39" s="2524"/>
      <c r="E39" s="2524"/>
      <c r="F39" s="2522"/>
      <c r="G39" s="2524"/>
      <c r="H39" s="2524"/>
      <c r="I39" s="2524"/>
      <c r="J39" s="2586"/>
    </row>
    <row r="40" spans="1:16" ht="15">
      <c r="A40" s="3419"/>
      <c r="B40" s="2518" t="s">
        <v>657</v>
      </c>
      <c r="C40" s="2525"/>
      <c r="D40" s="2526" t="s">
        <v>658</v>
      </c>
      <c r="E40" s="2524"/>
      <c r="F40" s="2522"/>
      <c r="G40" s="2524"/>
      <c r="H40" s="2524"/>
      <c r="I40" s="2524"/>
      <c r="J40" s="2586"/>
    </row>
    <row r="41" spans="1:16" ht="15">
      <c r="A41" s="2482" t="s">
        <v>659</v>
      </c>
      <c r="B41" s="2527" t="s">
        <v>641</v>
      </c>
      <c r="C41" s="2528" t="s">
        <v>642</v>
      </c>
      <c r="D41" s="2528" t="s">
        <v>660</v>
      </c>
      <c r="E41" s="2529" t="s">
        <v>643</v>
      </c>
      <c r="F41" s="2522"/>
      <c r="G41" s="2524"/>
      <c r="H41" s="2524"/>
      <c r="I41" s="2524"/>
      <c r="J41" s="2586"/>
    </row>
    <row r="42" spans="1:16" ht="14.25">
      <c r="A42" s="2530" t="s">
        <v>661</v>
      </c>
      <c r="B42" s="2531"/>
      <c r="C42" s="2532"/>
      <c r="D42" s="2532"/>
      <c r="E42" s="2533"/>
      <c r="F42" s="2522"/>
      <c r="G42" s="2524"/>
      <c r="H42" s="2524"/>
      <c r="I42" s="2524"/>
      <c r="J42" s="2586"/>
    </row>
    <row r="43" spans="1:16" ht="14.25">
      <c r="A43" s="2530" t="s">
        <v>662</v>
      </c>
      <c r="B43" s="2531"/>
      <c r="C43" s="2532"/>
      <c r="D43" s="2532"/>
      <c r="E43" s="2533"/>
      <c r="F43" s="2522"/>
      <c r="G43" s="2524"/>
      <c r="H43" s="2524"/>
      <c r="I43" s="2524"/>
      <c r="J43" s="2586"/>
    </row>
    <row r="44" spans="1:16" ht="14.25">
      <c r="A44" s="2534"/>
      <c r="B44" s="2535"/>
      <c r="C44" s="2536"/>
      <c r="D44" s="2536"/>
      <c r="E44" s="2537"/>
      <c r="F44" s="2522"/>
      <c r="G44" s="2524"/>
      <c r="H44" s="2524"/>
      <c r="I44" s="2524"/>
      <c r="J44" s="2586"/>
    </row>
    <row r="45" spans="1:16" ht="12.75">
      <c r="A45" s="2538"/>
      <c r="B45" s="2538"/>
      <c r="C45" s="2538"/>
      <c r="D45" s="2538"/>
      <c r="E45" s="2538"/>
      <c r="F45" s="2539"/>
      <c r="G45" s="2539"/>
      <c r="H45" s="2539"/>
      <c r="I45" s="2587"/>
      <c r="J45" s="2588"/>
    </row>
    <row r="46" spans="1:16" ht="18.75">
      <c r="A46" s="2540" t="s">
        <v>663</v>
      </c>
      <c r="B46" s="2541"/>
      <c r="C46" s="2541"/>
      <c r="D46" s="2542"/>
      <c r="E46" s="2542"/>
      <c r="F46" s="2542"/>
      <c r="G46" s="2542"/>
      <c r="H46" s="2542"/>
      <c r="I46" s="2589" t="s">
        <v>664</v>
      </c>
      <c r="J46" s="2590"/>
      <c r="K46" s="2591" t="s">
        <v>665</v>
      </c>
      <c r="L46" s="2592"/>
      <c r="M46" s="2592"/>
      <c r="N46" s="2592"/>
      <c r="O46" s="2592"/>
      <c r="P46" s="2592"/>
    </row>
    <row r="47" spans="1:16" ht="14.25" customHeight="1">
      <c r="A47" s="3433" t="s">
        <v>666</v>
      </c>
      <c r="B47" s="3434"/>
      <c r="C47" s="3407"/>
      <c r="D47" s="2159">
        <f>ROUND(I104*F47,0)</f>
        <v>0</v>
      </c>
      <c r="E47" s="2247" t="s">
        <v>667</v>
      </c>
      <c r="F47" s="2543">
        <v>1</v>
      </c>
      <c r="G47" s="2544" t="s">
        <v>668</v>
      </c>
      <c r="H47" s="2298"/>
      <c r="I47" s="2298"/>
      <c r="J47" s="2581"/>
      <c r="K47" s="3541" t="s">
        <v>830</v>
      </c>
      <c r="L47" s="3541"/>
      <c r="M47" s="3541"/>
      <c r="N47" s="3541"/>
      <c r="O47" s="3541"/>
      <c r="P47" s="3541"/>
    </row>
    <row r="48" spans="1:16" ht="14.25" customHeight="1">
      <c r="A48" s="3511" t="s">
        <v>670</v>
      </c>
      <c r="B48" s="3512"/>
      <c r="C48" s="3512"/>
      <c r="D48" s="3512"/>
      <c r="E48" s="3512"/>
      <c r="F48" s="3512"/>
      <c r="G48" s="3513"/>
      <c r="H48" s="2545"/>
      <c r="I48" s="2298"/>
      <c r="J48" s="2581"/>
      <c r="K48" s="2593">
        <v>1</v>
      </c>
      <c r="L48" s="3536" t="s">
        <v>831</v>
      </c>
      <c r="M48" s="3536"/>
      <c r="N48" s="3542"/>
      <c r="O48" s="3542"/>
      <c r="P48" s="3542"/>
    </row>
    <row r="49" spans="1:17" ht="12" customHeight="1">
      <c r="A49" s="2546" t="s">
        <v>671</v>
      </c>
      <c r="B49" s="2547"/>
      <c r="C49" s="2548"/>
      <c r="D49" s="2197" t="s">
        <v>672</v>
      </c>
      <c r="E49" s="2147" t="s">
        <v>673</v>
      </c>
      <c r="F49" s="2357" t="s">
        <v>674</v>
      </c>
      <c r="G49" s="2549" t="s">
        <v>675</v>
      </c>
      <c r="H49" s="2545"/>
      <c r="I49" s="2298"/>
      <c r="J49" s="2581"/>
      <c r="K49" s="2593">
        <v>2</v>
      </c>
      <c r="L49" s="3536" t="s">
        <v>832</v>
      </c>
      <c r="M49" s="3536"/>
      <c r="N49" s="3537">
        <f>'数据-取费表'!B2</f>
        <v>44873</v>
      </c>
      <c r="O49" s="3537"/>
      <c r="P49" s="3537"/>
    </row>
    <row r="50" spans="1:17" ht="25.5">
      <c r="A50" s="3503" t="s">
        <v>677</v>
      </c>
      <c r="B50" s="3429"/>
      <c r="C50" s="3429"/>
      <c r="D50" s="2259">
        <f>IF(H50="情况1",0,IF(H50="情况2",D54,IF(H50="情况3",D55,IF(H50="情况4",D56))))</f>
        <v>0</v>
      </c>
      <c r="E50" s="2202" t="str">
        <f>IF(H50="情况4","(销售额-原购置价)×税（费）率","销售额×税（费）率")</f>
        <v>销售额×税（费）率</v>
      </c>
      <c r="F50" s="2551">
        <f>IF(H50="情况1","免征",'数据-取费表'!E29)</f>
        <v>5.6000000000000001E-2</v>
      </c>
      <c r="G50" s="2552" t="s">
        <v>678</v>
      </c>
      <c r="H50" s="2553" t="s">
        <v>679</v>
      </c>
      <c r="I50" s="2545"/>
      <c r="J50" s="2595"/>
      <c r="K50" s="2593">
        <v>3</v>
      </c>
      <c r="L50" s="3536" t="s">
        <v>833</v>
      </c>
      <c r="M50" s="3536"/>
      <c r="N50" s="3538">
        <f>I104</f>
        <v>0</v>
      </c>
      <c r="O50" s="3538"/>
      <c r="P50" s="3538"/>
    </row>
    <row r="51" spans="1:17" ht="25.5" customHeight="1">
      <c r="A51" s="2550" t="s">
        <v>681</v>
      </c>
      <c r="B51" s="3453" t="s">
        <v>682</v>
      </c>
      <c r="C51" s="3453"/>
      <c r="D51" s="2554">
        <v>0</v>
      </c>
      <c r="E51" s="2208" t="s">
        <v>683</v>
      </c>
      <c r="F51" s="2555" t="s">
        <v>121</v>
      </c>
      <c r="G51" s="3499"/>
      <c r="H51" s="2556" t="s">
        <v>834</v>
      </c>
      <c r="I51" s="2596"/>
      <c r="J51" s="2597"/>
      <c r="K51" s="2593">
        <v>4</v>
      </c>
      <c r="L51" s="3536" t="str">
        <f>IF(项目基本情况!F5="房地产抵押价值","房地产抵押价值","抵押担保权已注销时的房地产抵押价值")</f>
        <v>抵押担保权已注销时的房地产抵押价值</v>
      </c>
      <c r="M51" s="3536"/>
      <c r="N51" s="3538" t="str">
        <f>IF(项目基本情况!F5="房地产抵押价值",I112,I114)</f>
        <v>——</v>
      </c>
      <c r="O51" s="3538"/>
      <c r="P51" s="3538"/>
    </row>
    <row r="52" spans="1:17" ht="25.5" customHeight="1">
      <c r="A52" s="2557"/>
      <c r="B52" s="3453" t="s">
        <v>685</v>
      </c>
      <c r="C52" s="3453"/>
      <c r="D52" s="2558"/>
      <c r="E52" s="2218"/>
      <c r="F52" s="2555"/>
      <c r="G52" s="3500"/>
      <c r="H52" s="2559" t="s">
        <v>686</v>
      </c>
      <c r="I52" s="2596"/>
      <c r="J52" s="2597"/>
      <c r="K52" s="3536" t="s">
        <v>835</v>
      </c>
      <c r="L52" s="3536"/>
      <c r="M52" s="3536"/>
      <c r="N52" s="3536"/>
      <c r="O52" s="3536"/>
      <c r="P52" s="3536"/>
    </row>
    <row r="53" spans="1:17" ht="20.45" customHeight="1">
      <c r="A53" s="2560"/>
      <c r="B53" s="3453" t="s">
        <v>688</v>
      </c>
      <c r="C53" s="3453"/>
      <c r="D53" s="2197"/>
      <c r="E53" s="430"/>
      <c r="F53" s="2555"/>
      <c r="G53" s="3501"/>
      <c r="H53" s="2559" t="s">
        <v>689</v>
      </c>
      <c r="I53" s="2596"/>
      <c r="J53" s="2597"/>
      <c r="K53" s="2594" t="s">
        <v>836</v>
      </c>
      <c r="L53" s="3536" t="s">
        <v>837</v>
      </c>
      <c r="M53" s="3536"/>
      <c r="N53" s="2594" t="s">
        <v>838</v>
      </c>
      <c r="O53" s="2594" t="s">
        <v>839</v>
      </c>
      <c r="P53" s="2594" t="s">
        <v>840</v>
      </c>
    </row>
    <row r="54" spans="1:17" ht="24" customHeight="1">
      <c r="A54" s="2561" t="s">
        <v>695</v>
      </c>
      <c r="B54" s="3453" t="s">
        <v>696</v>
      </c>
      <c r="C54" s="3453"/>
      <c r="D54" s="2197">
        <f>ROUND(D47*'数据-取费表'!E29/(1+'数据-取费表'!F30),0)</f>
        <v>0</v>
      </c>
      <c r="E54" s="2202" t="s">
        <v>697</v>
      </c>
      <c r="F54" s="2562">
        <f>'数据-取费表'!E29</f>
        <v>5.6000000000000001E-2</v>
      </c>
      <c r="G54" s="2563"/>
      <c r="H54" s="2298"/>
      <c r="I54" s="2598"/>
      <c r="J54" s="2597"/>
      <c r="K54" s="2593">
        <v>1</v>
      </c>
      <c r="L54" s="3515" t="s">
        <v>841</v>
      </c>
      <c r="M54" s="3515"/>
      <c r="N54" s="2599">
        <f>D50</f>
        <v>0</v>
      </c>
      <c r="O54" s="2593" t="str">
        <f>E50</f>
        <v>销售额×税（费）率</v>
      </c>
      <c r="P54" s="2600">
        <f>F50</f>
        <v>5.6000000000000001E-2</v>
      </c>
    </row>
    <row r="55" spans="1:17" ht="12" customHeight="1">
      <c r="A55" s="2561" t="s">
        <v>699</v>
      </c>
      <c r="B55" s="3436" t="s">
        <v>700</v>
      </c>
      <c r="C55" s="3454"/>
      <c r="D55" s="2197">
        <f>ROUND(D47*'数据-取费表'!E29/(1+'数据-取费表'!F30),0)</f>
        <v>0</v>
      </c>
      <c r="E55" s="2202" t="s">
        <v>697</v>
      </c>
      <c r="F55" s="2562">
        <f>'数据-取费表'!E29</f>
        <v>5.6000000000000001E-2</v>
      </c>
      <c r="G55" s="2563"/>
      <c r="H55" s="2298"/>
      <c r="I55" s="2598"/>
      <c r="J55" s="2597"/>
      <c r="K55" s="2593">
        <v>2</v>
      </c>
      <c r="L55" s="3515" t="s">
        <v>842</v>
      </c>
      <c r="M55" s="3515"/>
      <c r="N55" s="2599">
        <f t="shared" ref="N55:P56" si="1">D57</f>
        <v>0</v>
      </c>
      <c r="O55" s="2593" t="str">
        <f t="shared" si="1"/>
        <v>销售额×税（费）率</v>
      </c>
      <c r="P55" s="2600">
        <f t="shared" si="1"/>
        <v>5.0000000000000001E-4</v>
      </c>
    </row>
    <row r="56" spans="1:17" ht="12" customHeight="1">
      <c r="A56" s="2561" t="s">
        <v>702</v>
      </c>
      <c r="B56" s="3436" t="s">
        <v>703</v>
      </c>
      <c r="C56" s="3454"/>
      <c r="D56" s="2197">
        <f>C70</f>
        <v>0</v>
      </c>
      <c r="E56" s="430" t="s">
        <v>704</v>
      </c>
      <c r="F56" s="2562">
        <f>'数据-取费表'!E29</f>
        <v>5.6000000000000001E-2</v>
      </c>
      <c r="G56" s="2563"/>
      <c r="H56" s="2565"/>
      <c r="I56" s="2598"/>
      <c r="J56" s="2597"/>
      <c r="K56" s="2593">
        <v>3</v>
      </c>
      <c r="L56" s="3515" t="s">
        <v>843</v>
      </c>
      <c r="M56" s="3515"/>
      <c r="N56" s="2599">
        <f t="shared" si="1"/>
        <v>0</v>
      </c>
      <c r="O56" s="2593" t="str">
        <f t="shared" si="1"/>
        <v>增值额×税（费）率</v>
      </c>
      <c r="P56" s="2601" t="str">
        <f t="shared" si="1"/>
        <v>——</v>
      </c>
    </row>
    <row r="57" spans="1:17" ht="24" customHeight="1">
      <c r="A57" s="3422" t="s">
        <v>706</v>
      </c>
      <c r="B57" s="3429"/>
      <c r="C57" s="3429"/>
      <c r="D57" s="2259">
        <f>IF(H57="个人住宅",0,ROUND(D47*I57,0))</f>
        <v>0</v>
      </c>
      <c r="E57" s="2202" t="s">
        <v>707</v>
      </c>
      <c r="F57" s="2562">
        <f>IF(H57="正常",I57,"免征")</f>
        <v>5.0000000000000001E-4</v>
      </c>
      <c r="G57" s="2563"/>
      <c r="H57" s="2553" t="s">
        <v>844</v>
      </c>
      <c r="I57" s="2602">
        <f>'数据-取费表'!E37</f>
        <v>5.0000000000000001E-4</v>
      </c>
      <c r="J57" s="2597"/>
      <c r="K57" s="2593">
        <f>IF(H61="非个人房产","",4)</f>
        <v>4</v>
      </c>
      <c r="L57" s="3515" t="str">
        <f>IF(H61="非个人房产","——","个人所得税")</f>
        <v>个人所得税</v>
      </c>
      <c r="M57" s="3515"/>
      <c r="N57" s="2603">
        <f>D61</f>
        <v>0</v>
      </c>
      <c r="O57" s="2604" t="str">
        <f>E61</f>
        <v>销售额×税（费）率</v>
      </c>
      <c r="P57" s="2605">
        <f>F61</f>
        <v>0.01</v>
      </c>
    </row>
    <row r="58" spans="1:17" ht="24.75">
      <c r="A58" s="3422" t="s">
        <v>709</v>
      </c>
      <c r="B58" s="3429"/>
      <c r="C58" s="3429"/>
      <c r="D58" s="2259">
        <f>IF(H58="个人住宅",D59,D60)</f>
        <v>0</v>
      </c>
      <c r="E58" s="2202" t="s">
        <v>710</v>
      </c>
      <c r="F58" s="2562" t="str">
        <f>IF(H58="正常",F60,"免征")</f>
        <v>——</v>
      </c>
      <c r="G58" s="2566" t="s">
        <v>711</v>
      </c>
      <c r="H58" s="2567" t="s">
        <v>844</v>
      </c>
      <c r="I58" s="2568"/>
      <c r="J58" s="2597"/>
      <c r="K58" s="2593" t="str">
        <f>IF(项目基本情况!I6="上海银行",IF(K57="",4,K57+1),"")</f>
        <v/>
      </c>
      <c r="L58" s="3530" t="str">
        <f>IF(项目基本情况!I6="上海银行","其他处置费用","")</f>
        <v/>
      </c>
      <c r="M58" s="3531"/>
      <c r="N58" s="2599" t="str">
        <f>IF(项目基本情况!I6="上海银行",N71,"")</f>
        <v/>
      </c>
      <c r="O58" s="3530" t="str">
        <f>IF(项目基本情况!I6="上海银行","包含处置中涉及的律师、诉讼、拍卖、评估等费用","")</f>
        <v/>
      </c>
      <c r="P58" s="3532"/>
    </row>
    <row r="59" spans="1:17" ht="12.75">
      <c r="A59" s="2561" t="s">
        <v>681</v>
      </c>
      <c r="B59" s="3436" t="s">
        <v>712</v>
      </c>
      <c r="C59" s="3454"/>
      <c r="D59" s="2554">
        <v>0</v>
      </c>
      <c r="E59" s="2208" t="s">
        <v>683</v>
      </c>
      <c r="F59" s="2147"/>
      <c r="G59" s="2563"/>
      <c r="H59" s="2568"/>
      <c r="I59" s="2568"/>
      <c r="J59" s="2597"/>
      <c r="K59" s="3515">
        <f>IF(AND(K57="",K58=""),4,IF(项目基本情况!I6="上海银行",K58+1,K57+1))</f>
        <v>5</v>
      </c>
      <c r="L59" s="3515" t="s">
        <v>845</v>
      </c>
      <c r="M59" s="2606" t="s">
        <v>846</v>
      </c>
      <c r="N59" s="2607"/>
      <c r="O59" s="2608">
        <f>SUMIF(N54:N58,"&lt;9e307")</f>
        <v>0</v>
      </c>
      <c r="P59" s="2609"/>
      <c r="Q59" s="2620" t="e">
        <f>O59/N51</f>
        <v>#VALUE!</v>
      </c>
    </row>
    <row r="60" spans="1:17" ht="24.75">
      <c r="A60" s="2561" t="s">
        <v>695</v>
      </c>
      <c r="B60" s="3436" t="s">
        <v>714</v>
      </c>
      <c r="C60" s="3453"/>
      <c r="D60" s="2259">
        <f>IF(H60="转让取得",C83,C99)</f>
        <v>0</v>
      </c>
      <c r="E60" s="2202" t="s">
        <v>710</v>
      </c>
      <c r="F60" s="2147" t="s">
        <v>121</v>
      </c>
      <c r="G60" s="2563"/>
      <c r="H60" s="2567" t="s">
        <v>715</v>
      </c>
      <c r="I60" s="2568"/>
      <c r="J60" s="2597"/>
      <c r="K60" s="3515"/>
      <c r="L60" s="3515"/>
      <c r="M60" s="2606" t="s">
        <v>847</v>
      </c>
      <c r="N60" s="2610"/>
      <c r="O60" s="2611" t="str">
        <f>IF(H19="元",NUMBERSTRING(INT(O59),2)&amp;"元整",NUMBERSTRING(INT(O59*10000),2)&amp;"元整")</f>
        <v>零元整</v>
      </c>
      <c r="P60" s="2612"/>
    </row>
    <row r="61" spans="1:17" ht="25.5">
      <c r="A61" s="3440" t="s">
        <v>717</v>
      </c>
      <c r="B61" s="3441"/>
      <c r="C61" s="3441"/>
      <c r="D61" s="2571">
        <f>IF(H61="非个人房产","——",IF(H61="个人住宅（满五唯一有凭证）",0,IF(H61="个人其他（无凭证）",ROUND(D47*F61,0),ROUND(C69*F61,0))))</f>
        <v>0</v>
      </c>
      <c r="E61" s="2570" t="str">
        <f>IF(H61="非个人房产","——",IF(H61="个人其他（无凭证）","销售额×税（费）率",IF(H61="个人住宅（满五唯一有凭证）","免征","差额计税")))</f>
        <v>销售额×税（费）率</v>
      </c>
      <c r="F61" s="2572">
        <f>IF(OR(H61="非个人房产",H61="个人住宅（满五唯一有凭证）"),"——",IF(H61="个人其他（有凭证）",20%,1%))</f>
        <v>0.01</v>
      </c>
      <c r="G61" s="2573" t="s">
        <v>718</v>
      </c>
      <c r="H61" s="2574" t="s">
        <v>848</v>
      </c>
      <c r="I61" s="2613" t="s">
        <v>720</v>
      </c>
      <c r="J61" s="2597"/>
      <c r="K61" s="3534">
        <f>K59+1</f>
        <v>6</v>
      </c>
      <c r="L61" s="3515" t="s">
        <v>849</v>
      </c>
      <c r="M61" s="2593" t="s">
        <v>846</v>
      </c>
      <c r="N61" s="2614"/>
      <c r="O61" s="2615" t="e">
        <f>N51-O59</f>
        <v>#VALUE!</v>
      </c>
      <c r="P61" s="2616"/>
    </row>
    <row r="62" spans="1:17" ht="12" customHeight="1">
      <c r="A62" s="2575"/>
      <c r="B62" s="2472"/>
      <c r="C62" s="2472"/>
      <c r="D62" s="2472"/>
      <c r="E62" s="2575"/>
      <c r="F62" s="2568"/>
      <c r="G62" s="2568"/>
      <c r="H62" s="2576"/>
      <c r="I62" s="2298"/>
      <c r="J62" s="2597"/>
      <c r="K62" s="3535"/>
      <c r="L62" s="3515"/>
      <c r="M62" s="2606" t="s">
        <v>847</v>
      </c>
      <c r="N62" s="2610"/>
      <c r="O62" s="2611" t="e">
        <f>IF(H19="元",NUMBERSTRING(INT(O61),2)&amp;"元整",NUMBERSTRING(INT(O61*10000),2)&amp;"元整")</f>
        <v>#VALUE!</v>
      </c>
      <c r="P62" s="2612"/>
    </row>
    <row r="63" spans="1:17" ht="12.75">
      <c r="A63" s="3533" t="s">
        <v>721</v>
      </c>
      <c r="B63" s="3533"/>
      <c r="C63" s="3533"/>
      <c r="D63" s="3533"/>
      <c r="E63" s="3533"/>
      <c r="F63" s="2568"/>
      <c r="G63" s="2568"/>
      <c r="H63" s="2576"/>
      <c r="I63" s="2298"/>
      <c r="J63" s="2581"/>
      <c r="K63" s="2593">
        <f>K61+1</f>
        <v>7</v>
      </c>
      <c r="L63" s="3515" t="s">
        <v>850</v>
      </c>
      <c r="M63" s="3515"/>
      <c r="N63" s="2617"/>
      <c r="O63" s="2618" t="e">
        <f>IF(H19="元",ROUND(O61/项目基本情况!C12,0),ROUND(O61*10000/项目基本情况!C12,0))</f>
        <v>#VALUE!</v>
      </c>
      <c r="P63" s="2619"/>
    </row>
    <row r="64" spans="1:17" ht="12.75">
      <c r="A64" s="3488" t="s">
        <v>723</v>
      </c>
      <c r="B64" s="3489"/>
      <c r="C64" s="409"/>
      <c r="D64" s="409" t="s">
        <v>724</v>
      </c>
      <c r="E64" s="2577" t="s">
        <v>675</v>
      </c>
      <c r="F64" s="2568"/>
      <c r="G64" s="2568"/>
      <c r="H64" s="2576"/>
      <c r="I64" s="2298"/>
      <c r="J64" s="2581"/>
      <c r="K64" s="2462"/>
      <c r="L64" s="2462"/>
      <c r="M64" s="2462"/>
      <c r="N64" s="2462"/>
      <c r="O64" s="2462"/>
    </row>
    <row r="65" spans="1:36" ht="12.75">
      <c r="A65" s="2622">
        <v>1</v>
      </c>
      <c r="B65" s="2623" t="s">
        <v>725</v>
      </c>
      <c r="C65" s="2624">
        <f>ROUND((C66+C67)/(1+'数据-取费表'!F30),0)</f>
        <v>0</v>
      </c>
      <c r="D65" s="2623"/>
      <c r="E65" s="2625"/>
      <c r="F65" s="2568"/>
      <c r="G65" s="2568"/>
      <c r="H65" s="2576"/>
      <c r="I65" s="2298"/>
      <c r="J65" s="2581"/>
      <c r="K65" s="3514" t="s">
        <v>851</v>
      </c>
      <c r="L65" s="2677" t="s">
        <v>852</v>
      </c>
      <c r="M65" s="2677" t="e">
        <f>IF(N51&gt;10000,N51*0.5%,IF(AND(N51&gt;1000,N51&lt;=10000),N51*1%,IF(AND(N51&gt;100,N51&lt;=1000),N51*3%,IF(AND(N51&gt;10,N51&lt;=100),N51*5%,N51*8%))))</f>
        <v>#VALUE!</v>
      </c>
      <c r="N65" s="2147" t="e">
        <f>ROUND(M65,1)</f>
        <v>#VALUE!</v>
      </c>
      <c r="O65" s="2694"/>
    </row>
    <row r="66" spans="1:36" ht="12.75">
      <c r="A66" s="2626" t="s">
        <v>728</v>
      </c>
      <c r="B66" s="398" t="s">
        <v>729</v>
      </c>
      <c r="C66" s="2627">
        <f>D47</f>
        <v>0</v>
      </c>
      <c r="D66" s="398" t="s">
        <v>121</v>
      </c>
      <c r="E66" s="2628"/>
      <c r="F66" s="2568"/>
      <c r="G66" s="2568"/>
      <c r="H66" s="2576"/>
      <c r="I66" s="2298"/>
      <c r="J66" s="2581"/>
      <c r="K66" s="3514"/>
      <c r="L66" s="2677" t="s">
        <v>853</v>
      </c>
      <c r="M66" s="2677" t="e">
        <f>IF(N51&gt;2000,N51*0.5%,IF(AND(N51&gt;1000,N51&lt;=2000),N51*0.6%,IF(AND(N51&gt;500,N51&lt;=1000),N51*0.7%,IF(AND(N51&gt;200,N51&lt;=500),N51*0.8%,IF(AND(N51&gt;100,N51&lt;=200),N51*0.9%,IF(AND(N51&gt;50,N51&lt;=100),N51*1%,IF(AND(N51&gt;20,N51&lt;=50),N51*1.5%,IF(AND(N51&gt;10,N51&lt;=20),N51*2%,IF(AND(N51&gt;1,N51&lt;=10),N51*2.5%)))))))))</f>
        <v>#VALUE!</v>
      </c>
      <c r="N66" s="2147" t="e">
        <f t="shared" ref="N66:N67" si="2">ROUND(M66,1)</f>
        <v>#VALUE!</v>
      </c>
      <c r="O66" s="2694" t="s">
        <v>854</v>
      </c>
    </row>
    <row r="67" spans="1:36" ht="12.75">
      <c r="A67" s="2626" t="s">
        <v>732</v>
      </c>
      <c r="B67" s="398" t="s">
        <v>733</v>
      </c>
      <c r="C67" s="2629"/>
      <c r="D67" s="398"/>
      <c r="E67" s="2628"/>
      <c r="F67" s="2568"/>
      <c r="G67" s="2568"/>
      <c r="H67" s="2576"/>
      <c r="I67" s="2298"/>
      <c r="J67" s="2581"/>
      <c r="K67" s="3514"/>
      <c r="L67" s="2677" t="s">
        <v>855</v>
      </c>
      <c r="M67" s="2677" t="e">
        <f>IF(N51&gt;1000,N51*0.1%,IF(AND(N51&gt;500,N51&lt;=1000),N51*0.5%,IF(AND(N51&gt;50,N51&lt;=500),N51*1%,IF(AND(N51&gt;1,N51&lt;=50),N51*1.5%))))</f>
        <v>#VALUE!</v>
      </c>
      <c r="N67" s="2147" t="e">
        <f t="shared" si="2"/>
        <v>#VALUE!</v>
      </c>
      <c r="O67" s="2694" t="s">
        <v>854</v>
      </c>
    </row>
    <row r="68" spans="1:36" ht="12.75">
      <c r="A68" s="2630" t="s">
        <v>735</v>
      </c>
      <c r="B68" s="495" t="s">
        <v>736</v>
      </c>
      <c r="C68" s="2631"/>
      <c r="D68" s="495" t="s">
        <v>121</v>
      </c>
      <c r="E68" s="2632" t="s">
        <v>737</v>
      </c>
      <c r="F68" s="2568"/>
      <c r="G68" s="2568"/>
      <c r="H68" s="2576"/>
      <c r="I68" s="2298"/>
      <c r="J68" s="2581"/>
      <c r="K68" s="3514"/>
      <c r="L68" s="2677" t="s">
        <v>856</v>
      </c>
      <c r="M68" s="2677" t="e">
        <f>N51*0.5%</f>
        <v>#VALUE!</v>
      </c>
      <c r="N68" s="2147" t="e">
        <f>IF(M68&gt;0.5,0.5,ROUND(M68,0))</f>
        <v>#VALUE!</v>
      </c>
      <c r="O68" s="2694" t="s">
        <v>857</v>
      </c>
    </row>
    <row r="69" spans="1:36" ht="12.75">
      <c r="A69" s="2630" t="s">
        <v>740</v>
      </c>
      <c r="B69" s="495" t="s">
        <v>741</v>
      </c>
      <c r="C69" s="2633">
        <f>C65-C68</f>
        <v>0</v>
      </c>
      <c r="D69" s="398" t="s">
        <v>121</v>
      </c>
      <c r="E69" s="2628"/>
      <c r="F69" s="2568"/>
      <c r="G69" s="2568"/>
      <c r="H69" s="2576"/>
      <c r="I69" s="2298"/>
      <c r="J69" s="2581"/>
      <c r="K69" s="3514"/>
      <c r="L69" s="2677" t="s">
        <v>858</v>
      </c>
      <c r="M69" s="2677" t="e">
        <f>IF(N51&gt;=10000,(8.25+(N51-10000)*0.01%),IF(AND(N51&gt;=8000,N51&lt;10000),(7.85+(N51-8000)*0.02%),IF(AND(N51&gt;=5000,N51&lt;8000),(6.65+(N51-5000)*0.04%),IF(AND(N51&gt;=2000,N51&lt;5000),(4.25+(PN51-2000)*0.08%),IF(AND(N51&gt;=1000,N51&lt;2000),(2.75+(N51-1000)*0.15%),IF(AND(N51&gt;=100,N51&lt;1000),(0.5+(N51-100)*0.25%),IF(AND(N51&gt;0,N51&lt;100),N51*0.5%)))))))</f>
        <v>#VALUE!</v>
      </c>
      <c r="N69" s="2147" t="e">
        <f>ROUND(M69*0.9,1)</f>
        <v>#VALUE!</v>
      </c>
      <c r="O69" s="2694"/>
    </row>
    <row r="70" spans="1:36" ht="12.75">
      <c r="A70" s="2634" t="s">
        <v>743</v>
      </c>
      <c r="B70" s="513" t="s">
        <v>744</v>
      </c>
      <c r="C70" s="2635">
        <f>IF(C69&lt;=0,0,ROUND(C69*D70,0))</f>
        <v>0</v>
      </c>
      <c r="D70" s="606">
        <f>'数据-取费表'!E29</f>
        <v>5.6000000000000001E-2</v>
      </c>
      <c r="E70" s="2636"/>
      <c r="F70" s="2568"/>
      <c r="G70" s="2568"/>
      <c r="H70" s="2576"/>
      <c r="I70" s="2298"/>
      <c r="J70" s="2581"/>
      <c r="K70" s="3514"/>
      <c r="L70" s="2677" t="s">
        <v>859</v>
      </c>
      <c r="M70" s="2677" t="e">
        <f>IF(N51&gt;10000,N51*0.5%,IF(AND(N51&gt;5000,N51&lt;=10000),N51*1%,IF(AND(N51&gt;1000,N51&lt;=5000),N51*2%,IF(AND(N51&gt;200,N51&lt;=1000),N51*3%,N51*5%))))</f>
        <v>#VALUE!</v>
      </c>
      <c r="N70" s="2147" t="e">
        <f>ROUND(M70,1)</f>
        <v>#VALUE!</v>
      </c>
      <c r="O70" s="2694"/>
    </row>
    <row r="71" spans="1:36" s="2460" customFormat="1" ht="7.5" customHeight="1">
      <c r="A71" s="2637"/>
      <c r="B71" s="486"/>
      <c r="C71" s="2638"/>
      <c r="D71" s="534"/>
      <c r="E71" s="2538"/>
      <c r="F71" s="2575"/>
      <c r="G71" s="2575"/>
      <c r="H71" s="2538"/>
      <c r="I71" s="2472"/>
      <c r="J71" s="2581"/>
      <c r="K71" s="3514"/>
      <c r="L71" s="2677" t="s">
        <v>860</v>
      </c>
      <c r="M71" s="2677"/>
      <c r="N71" s="2147" t="e">
        <f>ROUND(SUM(N65:N70),0)</f>
        <v>#VALUE!</v>
      </c>
      <c r="O71" s="2695" t="e">
        <f>N71/N51</f>
        <v>#VALUE!</v>
      </c>
      <c r="P71" s="1608"/>
      <c r="Q71" s="1608"/>
      <c r="R71" s="1608"/>
      <c r="S71" s="1608"/>
      <c r="T71" s="1608"/>
      <c r="U71" s="1608"/>
      <c r="V71" s="1608"/>
      <c r="W71" s="1608"/>
      <c r="X71" s="1608"/>
      <c r="Y71" s="1608"/>
      <c r="Z71" s="1608"/>
      <c r="AA71" s="1608"/>
      <c r="AB71" s="2462"/>
      <c r="AC71" s="2462"/>
      <c r="AD71" s="2462"/>
      <c r="AE71" s="2462"/>
      <c r="AF71" s="2462"/>
      <c r="AG71" s="2462"/>
      <c r="AH71" s="2462"/>
      <c r="AI71" s="2462"/>
      <c r="AJ71" s="2462"/>
    </row>
    <row r="72" spans="1:36" s="2461" customFormat="1" ht="14.25">
      <c r="A72" s="3527" t="s">
        <v>746</v>
      </c>
      <c r="B72" s="3528"/>
      <c r="C72" s="3528"/>
      <c r="D72" s="3528"/>
      <c r="E72" s="3528"/>
      <c r="F72" s="3528"/>
      <c r="G72" s="3528"/>
      <c r="H72" s="3528"/>
      <c r="I72" s="2696"/>
      <c r="J72" s="2697"/>
      <c r="K72" s="355"/>
      <c r="L72" s="355"/>
      <c r="M72" s="355"/>
      <c r="N72" s="355"/>
      <c r="O72" s="355"/>
      <c r="P72" s="355"/>
      <c r="Q72" s="355"/>
      <c r="R72" s="355"/>
      <c r="S72" s="355"/>
      <c r="T72" s="355"/>
      <c r="U72" s="355"/>
      <c r="V72" s="355"/>
      <c r="W72" s="355"/>
      <c r="X72" s="355"/>
      <c r="Y72" s="355"/>
      <c r="Z72" s="355"/>
      <c r="AA72" s="355"/>
      <c r="AB72" s="2703"/>
      <c r="AC72" s="2703"/>
      <c r="AD72" s="2703"/>
      <c r="AE72" s="2703"/>
      <c r="AF72" s="2703"/>
      <c r="AG72" s="2703"/>
      <c r="AH72" s="2703"/>
      <c r="AI72" s="2703"/>
      <c r="AJ72" s="2703"/>
    </row>
    <row r="73" spans="1:36" s="2461" customFormat="1" ht="14.25">
      <c r="A73" s="3488" t="s">
        <v>723</v>
      </c>
      <c r="B73" s="3489"/>
      <c r="C73" s="409"/>
      <c r="D73" s="409" t="s">
        <v>724</v>
      </c>
      <c r="E73" s="2639" t="s">
        <v>675</v>
      </c>
      <c r="F73" s="2640"/>
      <c r="G73" s="2640"/>
      <c r="H73" s="2641"/>
      <c r="I73" s="2698"/>
      <c r="J73" s="2699"/>
      <c r="K73" s="355"/>
      <c r="L73" s="355"/>
      <c r="M73" s="355"/>
      <c r="N73" s="355"/>
      <c r="O73" s="355"/>
      <c r="P73" s="355"/>
      <c r="Q73" s="355"/>
      <c r="R73" s="355"/>
      <c r="S73" s="355"/>
      <c r="T73" s="355"/>
      <c r="U73" s="355"/>
      <c r="V73" s="355"/>
      <c r="W73" s="355"/>
      <c r="X73" s="355"/>
      <c r="Y73" s="355"/>
      <c r="Z73" s="355"/>
      <c r="AA73" s="355"/>
      <c r="AB73" s="2703"/>
      <c r="AC73" s="2703"/>
      <c r="AD73" s="2703"/>
      <c r="AE73" s="2703"/>
      <c r="AF73" s="2703"/>
      <c r="AG73" s="2703"/>
      <c r="AH73" s="2703"/>
      <c r="AI73" s="2703"/>
      <c r="AJ73" s="2703"/>
    </row>
    <row r="74" spans="1:36" s="2461" customFormat="1" ht="14.25">
      <c r="A74" s="2642">
        <v>1</v>
      </c>
      <c r="B74" s="495" t="s">
        <v>747</v>
      </c>
      <c r="C74" s="2633">
        <f>ROUND(D47/(1+'数据-取费表'!F30),0)</f>
        <v>0</v>
      </c>
      <c r="D74" s="398" t="s">
        <v>121</v>
      </c>
      <c r="E74" s="2180"/>
      <c r="F74" s="2181"/>
      <c r="G74" s="2181"/>
      <c r="H74" s="2643"/>
      <c r="I74" s="2698"/>
      <c r="J74" s="2699"/>
      <c r="K74" s="355"/>
      <c r="L74" s="355"/>
      <c r="M74" s="355"/>
      <c r="N74" s="355"/>
      <c r="O74" s="355"/>
      <c r="P74" s="355"/>
      <c r="Q74" s="355"/>
      <c r="R74" s="355"/>
      <c r="S74" s="355"/>
      <c r="T74" s="355"/>
      <c r="U74" s="355"/>
      <c r="V74" s="355"/>
      <c r="W74" s="355"/>
      <c r="X74" s="355"/>
      <c r="Y74" s="355"/>
      <c r="Z74" s="355"/>
      <c r="AA74" s="355"/>
      <c r="AB74" s="2703"/>
      <c r="AC74" s="2703"/>
      <c r="AD74" s="2703"/>
      <c r="AE74" s="2703"/>
      <c r="AF74" s="2703"/>
      <c r="AG74" s="2703"/>
      <c r="AH74" s="2703"/>
      <c r="AI74" s="2703"/>
      <c r="AJ74" s="2703"/>
    </row>
    <row r="75" spans="1:36" s="2461" customFormat="1" ht="14.25">
      <c r="A75" s="2644">
        <v>2</v>
      </c>
      <c r="B75" s="2357" t="s">
        <v>749</v>
      </c>
      <c r="C75" s="2633">
        <f>C76+C80</f>
        <v>0</v>
      </c>
      <c r="D75" s="398" t="s">
        <v>121</v>
      </c>
      <c r="E75" s="2180"/>
      <c r="F75" s="2181"/>
      <c r="G75" s="2181"/>
      <c r="H75" s="2643"/>
      <c r="I75" s="2698"/>
      <c r="J75" s="2699"/>
      <c r="K75" s="355"/>
      <c r="L75" s="355"/>
      <c r="M75" s="355"/>
      <c r="N75" s="355"/>
      <c r="O75" s="355"/>
      <c r="P75" s="355"/>
      <c r="Q75" s="355"/>
      <c r="R75" s="355"/>
      <c r="S75" s="355"/>
      <c r="T75" s="355"/>
      <c r="U75" s="355"/>
      <c r="V75" s="355"/>
      <c r="W75" s="355"/>
      <c r="X75" s="355"/>
      <c r="Y75" s="355"/>
      <c r="Z75" s="355"/>
      <c r="AA75" s="355"/>
      <c r="AB75" s="2703"/>
      <c r="AC75" s="2703"/>
      <c r="AD75" s="2703"/>
      <c r="AE75" s="2703"/>
      <c r="AF75" s="2703"/>
      <c r="AG75" s="2703"/>
      <c r="AH75" s="2703"/>
      <c r="AI75" s="2703"/>
      <c r="AJ75" s="2703"/>
    </row>
    <row r="76" spans="1:36" s="2461" customFormat="1" ht="14.25">
      <c r="A76" s="2626" t="s">
        <v>750</v>
      </c>
      <c r="B76" s="398" t="s">
        <v>751</v>
      </c>
      <c r="C76" s="398">
        <f>ROUND(IF(G79="2016年5月1日后购买",C77/(1+'数据-取费表'!F30)+C78+C79,C77+C78+C79),0)</f>
        <v>0</v>
      </c>
      <c r="D76" s="398" t="s">
        <v>121</v>
      </c>
      <c r="E76" s="2180"/>
      <c r="F76" s="2181"/>
      <c r="G76" s="2181"/>
      <c r="H76" s="2643"/>
      <c r="I76" s="2698"/>
      <c r="J76" s="2699"/>
      <c r="K76" s="355"/>
      <c r="L76" s="355"/>
      <c r="M76" s="355"/>
      <c r="N76" s="355"/>
      <c r="O76" s="355"/>
      <c r="P76" s="355"/>
      <c r="Q76" s="355"/>
      <c r="R76" s="355"/>
      <c r="S76" s="355"/>
      <c r="T76" s="355"/>
      <c r="U76" s="355"/>
      <c r="V76" s="355"/>
      <c r="W76" s="355"/>
      <c r="X76" s="355"/>
      <c r="Y76" s="355"/>
      <c r="Z76" s="355"/>
      <c r="AA76" s="355"/>
      <c r="AB76" s="2703"/>
      <c r="AC76" s="2703"/>
      <c r="AD76" s="2703"/>
      <c r="AE76" s="2703"/>
      <c r="AF76" s="2703"/>
      <c r="AG76" s="2703"/>
      <c r="AH76" s="2703"/>
      <c r="AI76" s="2703"/>
      <c r="AJ76" s="2703"/>
    </row>
    <row r="77" spans="1:36" s="2461" customFormat="1" ht="14.25">
      <c r="A77" s="2626" t="s">
        <v>752</v>
      </c>
      <c r="B77" s="398" t="s">
        <v>753</v>
      </c>
      <c r="C77" s="516"/>
      <c r="D77" s="398" t="s">
        <v>121</v>
      </c>
      <c r="E77" s="2645" t="s">
        <v>754</v>
      </c>
      <c r="F77" s="2646" t="s">
        <v>755</v>
      </c>
      <c r="G77" s="2645" t="s">
        <v>756</v>
      </c>
      <c r="H77" s="2647"/>
      <c r="I77" s="520"/>
      <c r="J77" s="2700"/>
      <c r="K77" s="355"/>
      <c r="L77" s="355"/>
      <c r="M77" s="355"/>
      <c r="N77" s="355"/>
      <c r="O77" s="355"/>
      <c r="P77" s="355"/>
      <c r="Q77" s="355"/>
      <c r="R77" s="355"/>
      <c r="S77" s="355"/>
      <c r="T77" s="355"/>
      <c r="U77" s="355"/>
      <c r="V77" s="355"/>
      <c r="W77" s="355"/>
      <c r="X77" s="355"/>
      <c r="Y77" s="355"/>
      <c r="Z77" s="355"/>
      <c r="AA77" s="355"/>
      <c r="AB77" s="2703"/>
      <c r="AC77" s="2703"/>
      <c r="AD77" s="2703"/>
      <c r="AE77" s="2703"/>
      <c r="AF77" s="2703"/>
      <c r="AG77" s="2703"/>
      <c r="AH77" s="2703"/>
      <c r="AI77" s="2703"/>
      <c r="AJ77" s="2703"/>
    </row>
    <row r="78" spans="1:36" s="2461" customFormat="1" ht="24.75" customHeight="1">
      <c r="A78" s="2626" t="s">
        <v>757</v>
      </c>
      <c r="B78" s="416" t="s">
        <v>758</v>
      </c>
      <c r="C78" s="398">
        <f>IF(F77="购房发票",ROUND(C77*H77*D78,0),0)</f>
        <v>0</v>
      </c>
      <c r="D78" s="2648">
        <v>0.05</v>
      </c>
      <c r="E78" s="3436" t="s">
        <v>759</v>
      </c>
      <c r="F78" s="3453"/>
      <c r="G78" s="3453"/>
      <c r="H78" s="3490"/>
      <c r="I78" s="2698"/>
      <c r="J78" s="2699"/>
      <c r="K78" s="355"/>
      <c r="L78" s="355"/>
      <c r="M78" s="355"/>
      <c r="N78" s="355"/>
      <c r="O78" s="355"/>
      <c r="P78" s="355"/>
      <c r="Q78" s="355"/>
      <c r="R78" s="355"/>
      <c r="S78" s="355"/>
      <c r="T78" s="355"/>
      <c r="U78" s="355"/>
      <c r="V78" s="355"/>
      <c r="W78" s="355"/>
      <c r="X78" s="355"/>
      <c r="Y78" s="355"/>
      <c r="Z78" s="355"/>
      <c r="AA78" s="355"/>
      <c r="AB78" s="2703"/>
      <c r="AC78" s="2703"/>
      <c r="AD78" s="2703"/>
      <c r="AE78" s="2703"/>
      <c r="AF78" s="2703"/>
      <c r="AG78" s="2703"/>
      <c r="AH78" s="2703"/>
      <c r="AI78" s="2703"/>
      <c r="AJ78" s="2703"/>
    </row>
    <row r="79" spans="1:36" s="2461" customFormat="1" ht="24.75" customHeight="1">
      <c r="A79" s="2626" t="s">
        <v>760</v>
      </c>
      <c r="B79" s="398" t="s">
        <v>761</v>
      </c>
      <c r="C79" s="398">
        <f>ROUND(IF(G79="个人住宅",0,IF(G79="2016年5月1日前购买",C77*D79,C77*D79/(1+'数据-取费表'!F30))),0)</f>
        <v>0</v>
      </c>
      <c r="D79" s="2650">
        <f>'数据-取费表'!E36+'数据-取费表'!E37</f>
        <v>3.0499999999999999E-2</v>
      </c>
      <c r="E79" s="2259" t="s">
        <v>762</v>
      </c>
      <c r="F79" s="1198"/>
      <c r="G79" s="2651" t="s">
        <v>763</v>
      </c>
      <c r="H79" s="2649" t="str">
        <f>IF(G79="个人买卖住房","免征印花税"," ")</f>
        <v/>
      </c>
      <c r="I79" s="2698"/>
      <c r="J79" s="2699"/>
      <c r="K79" s="355"/>
      <c r="L79" s="355"/>
      <c r="M79" s="355"/>
      <c r="N79" s="355"/>
      <c r="O79" s="355"/>
      <c r="P79" s="355"/>
      <c r="Q79" s="355"/>
      <c r="R79" s="355"/>
      <c r="S79" s="355"/>
      <c r="T79" s="355"/>
      <c r="U79" s="355"/>
      <c r="V79" s="355"/>
      <c r="W79" s="355"/>
      <c r="X79" s="355"/>
      <c r="Y79" s="355"/>
      <c r="Z79" s="355"/>
      <c r="AA79" s="355"/>
      <c r="AB79" s="2703"/>
      <c r="AC79" s="2703"/>
      <c r="AD79" s="2703"/>
      <c r="AE79" s="2703"/>
      <c r="AF79" s="2703"/>
      <c r="AG79" s="2703"/>
      <c r="AH79" s="2703"/>
      <c r="AI79" s="2703"/>
      <c r="AJ79" s="2703"/>
    </row>
    <row r="80" spans="1:36" s="2461" customFormat="1" ht="24.75" customHeight="1">
      <c r="A80" s="2626" t="s">
        <v>764</v>
      </c>
      <c r="B80" s="398" t="s">
        <v>765</v>
      </c>
      <c r="C80" s="2652">
        <f>ROUND(D47*D80/(1+'数据-取费表'!F30),0)</f>
        <v>0</v>
      </c>
      <c r="D80" s="2653">
        <f>'数据-取费表'!E31</f>
        <v>6.0000000000000001E-3</v>
      </c>
      <c r="E80" s="3478" t="s">
        <v>766</v>
      </c>
      <c r="F80" s="3479"/>
      <c r="G80" s="3479"/>
      <c r="H80" s="3480"/>
      <c r="I80" s="2661"/>
      <c r="J80" s="2701"/>
      <c r="K80" s="355"/>
      <c r="L80" s="355"/>
      <c r="M80" s="355"/>
      <c r="N80" s="355"/>
      <c r="O80" s="355"/>
      <c r="P80" s="355"/>
      <c r="Q80" s="355"/>
      <c r="R80" s="355"/>
      <c r="S80" s="355"/>
      <c r="T80" s="355"/>
      <c r="U80" s="355"/>
      <c r="V80" s="355"/>
      <c r="W80" s="355"/>
      <c r="X80" s="355"/>
      <c r="Y80" s="355"/>
      <c r="Z80" s="355"/>
      <c r="AA80" s="355"/>
      <c r="AB80" s="2703"/>
      <c r="AC80" s="2703"/>
      <c r="AD80" s="2703"/>
      <c r="AE80" s="2703"/>
      <c r="AF80" s="2703"/>
      <c r="AG80" s="2703"/>
      <c r="AH80" s="2703"/>
      <c r="AI80" s="2703"/>
      <c r="AJ80" s="2703"/>
    </row>
    <row r="81" spans="1:36" s="2461" customFormat="1" ht="14.25">
      <c r="A81" s="2630" t="s">
        <v>740</v>
      </c>
      <c r="B81" s="495" t="s">
        <v>767</v>
      </c>
      <c r="C81" s="2633">
        <f>C74-C75</f>
        <v>0</v>
      </c>
      <c r="D81" s="398" t="s">
        <v>121</v>
      </c>
      <c r="E81" s="2180"/>
      <c r="F81" s="2181"/>
      <c r="G81" s="2181"/>
      <c r="H81" s="2643"/>
      <c r="I81" s="2698"/>
      <c r="J81" s="2699"/>
      <c r="K81" s="355"/>
      <c r="L81" s="355"/>
      <c r="M81" s="355"/>
      <c r="N81" s="355"/>
      <c r="O81" s="355"/>
      <c r="P81" s="355"/>
      <c r="Q81" s="355"/>
      <c r="R81" s="355"/>
      <c r="S81" s="355"/>
      <c r="T81" s="355"/>
      <c r="U81" s="355"/>
      <c r="V81" s="355"/>
      <c r="W81" s="355"/>
      <c r="X81" s="355"/>
      <c r="Y81" s="355"/>
      <c r="Z81" s="355"/>
      <c r="AA81" s="355"/>
      <c r="AB81" s="2703"/>
      <c r="AC81" s="2703"/>
      <c r="AD81" s="2703"/>
      <c r="AE81" s="2703"/>
      <c r="AF81" s="2703"/>
      <c r="AG81" s="2703"/>
      <c r="AH81" s="2703"/>
      <c r="AI81" s="2703"/>
      <c r="AJ81" s="2703"/>
    </row>
    <row r="82" spans="1:36" s="2461" customFormat="1" ht="14.25">
      <c r="A82" s="2630" t="s">
        <v>743</v>
      </c>
      <c r="B82" s="495" t="s">
        <v>768</v>
      </c>
      <c r="C82" s="2657">
        <f>IF(C81&lt;=0,0,C81/C75)</f>
        <v>0</v>
      </c>
      <c r="D82" s="398" t="s">
        <v>121</v>
      </c>
      <c r="E82" s="2259" t="str">
        <f>IF(C82&gt;=200%,"增值额超过扣除项目金额200%",IF(C82&gt;=100%,"增值额超过扣除项目金额100%，未超过200%",IF(C82&gt;=50%,"增值额超过扣除项目金额50%，未超过100%",IF(C82&lt;50%,"增值额未超过扣除项目金额50%"))))</f>
        <v>增值额未超过扣除项目金额50%</v>
      </c>
      <c r="F82" s="2181"/>
      <c r="G82" s="2181"/>
      <c r="H82" s="2643"/>
      <c r="I82" s="2698"/>
      <c r="J82" s="2699"/>
      <c r="K82" s="355"/>
      <c r="L82" s="355"/>
      <c r="M82" s="355"/>
      <c r="N82" s="355"/>
      <c r="O82" s="355"/>
      <c r="P82" s="355"/>
      <c r="Q82" s="355"/>
      <c r="R82" s="355"/>
      <c r="S82" s="355"/>
      <c r="T82" s="355"/>
      <c r="U82" s="355"/>
      <c r="V82" s="355"/>
      <c r="W82" s="355"/>
      <c r="X82" s="355"/>
      <c r="Y82" s="355"/>
      <c r="Z82" s="355"/>
      <c r="AA82" s="355"/>
      <c r="AB82" s="2703"/>
      <c r="AC82" s="2703"/>
      <c r="AD82" s="2703"/>
      <c r="AE82" s="2703"/>
      <c r="AF82" s="2703"/>
      <c r="AG82" s="2703"/>
      <c r="AH82" s="2703"/>
      <c r="AI82" s="2703"/>
      <c r="AJ82" s="2703"/>
    </row>
    <row r="83" spans="1:36" s="2461" customFormat="1" ht="14.25">
      <c r="A83" s="2634" t="s">
        <v>769</v>
      </c>
      <c r="B83" s="513" t="s">
        <v>770</v>
      </c>
      <c r="C83" s="2658">
        <f>ROUND(IF(C81&lt;=0,0,IF(C82&gt;=200%,C81*60%-C75*35%,IF(C82&gt;=100%,C81*50%-C75*15%,IF(C82&gt;=50%,C81*40%-C75*5%,IF(C82&lt;50%,C81*30%,0))))),0)</f>
        <v>0</v>
      </c>
      <c r="D83" s="438" t="s">
        <v>121</v>
      </c>
      <c r="E83" s="257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9"/>
      <c r="G83" s="2659"/>
      <c r="H83" s="2660"/>
      <c r="I83" s="2698"/>
      <c r="J83" s="2699"/>
      <c r="K83" s="355"/>
      <c r="L83" s="355"/>
      <c r="M83" s="355"/>
      <c r="N83" s="355"/>
      <c r="O83" s="355"/>
      <c r="P83" s="355"/>
      <c r="Q83" s="355"/>
      <c r="R83" s="355"/>
      <c r="S83" s="355"/>
      <c r="T83" s="355"/>
      <c r="U83" s="355"/>
      <c r="V83" s="355"/>
      <c r="W83" s="355"/>
      <c r="X83" s="355"/>
      <c r="Y83" s="355"/>
      <c r="Z83" s="355"/>
      <c r="AA83" s="355"/>
      <c r="AB83" s="2703"/>
      <c r="AC83" s="2703"/>
      <c r="AD83" s="2703"/>
      <c r="AE83" s="2703"/>
      <c r="AF83" s="2703"/>
      <c r="AG83" s="2703"/>
      <c r="AH83" s="2703"/>
      <c r="AI83" s="2703"/>
      <c r="AJ83" s="2703"/>
    </row>
    <row r="84" spans="1:36" s="2461" customFormat="1" ht="7.5" customHeight="1">
      <c r="A84" s="520"/>
      <c r="B84" s="520"/>
      <c r="C84" s="520"/>
      <c r="D84" s="520"/>
      <c r="E84" s="520"/>
      <c r="F84" s="520"/>
      <c r="G84" s="520"/>
      <c r="H84" s="2661"/>
      <c r="I84" s="2661"/>
      <c r="J84" s="2701"/>
      <c r="K84" s="355"/>
      <c r="L84" s="355"/>
      <c r="M84" s="355"/>
      <c r="N84" s="355"/>
      <c r="O84" s="355"/>
      <c r="P84" s="355"/>
      <c r="Q84" s="355"/>
      <c r="R84" s="355"/>
      <c r="S84" s="355"/>
      <c r="T84" s="355"/>
      <c r="U84" s="355"/>
      <c r="V84" s="355"/>
      <c r="W84" s="355"/>
      <c r="X84" s="355"/>
      <c r="Y84" s="355"/>
      <c r="Z84" s="355"/>
      <c r="AA84" s="355"/>
      <c r="AB84" s="2703"/>
      <c r="AC84" s="2703"/>
      <c r="AD84" s="2703"/>
      <c r="AE84" s="2703"/>
      <c r="AF84" s="2703"/>
      <c r="AG84" s="2703"/>
      <c r="AH84" s="2703"/>
      <c r="AI84" s="2703"/>
      <c r="AJ84" s="2703"/>
    </row>
    <row r="85" spans="1:36" s="2461" customFormat="1" ht="14.25">
      <c r="A85" s="3527" t="s">
        <v>771</v>
      </c>
      <c r="B85" s="3528"/>
      <c r="C85" s="3528"/>
      <c r="D85" s="3528"/>
      <c r="E85" s="3528"/>
      <c r="F85" s="3528"/>
      <c r="G85" s="3528"/>
      <c r="H85" s="3528"/>
      <c r="I85" s="520"/>
      <c r="J85" s="2700"/>
      <c r="K85" s="355"/>
      <c r="L85" s="355"/>
      <c r="M85" s="355"/>
      <c r="N85" s="355"/>
      <c r="O85" s="355"/>
      <c r="P85" s="355"/>
      <c r="Q85" s="355"/>
      <c r="R85" s="355"/>
      <c r="S85" s="355"/>
      <c r="T85" s="355"/>
      <c r="U85" s="355"/>
      <c r="V85" s="355"/>
      <c r="W85" s="355"/>
      <c r="X85" s="355"/>
      <c r="Y85" s="355"/>
      <c r="Z85" s="355"/>
      <c r="AA85" s="355"/>
      <c r="AB85" s="2703"/>
      <c r="AC85" s="2703"/>
      <c r="AD85" s="2703"/>
      <c r="AE85" s="2703"/>
      <c r="AF85" s="2703"/>
      <c r="AG85" s="2703"/>
      <c r="AH85" s="2703"/>
      <c r="AI85" s="2703"/>
      <c r="AJ85" s="2703"/>
    </row>
    <row r="86" spans="1:36" s="2461" customFormat="1" ht="14.25">
      <c r="A86" s="3488" t="s">
        <v>723</v>
      </c>
      <c r="B86" s="3489"/>
      <c r="C86" s="409"/>
      <c r="D86" s="409" t="s">
        <v>724</v>
      </c>
      <c r="E86" s="2639" t="s">
        <v>675</v>
      </c>
      <c r="F86" s="2640"/>
      <c r="G86" s="2640"/>
      <c r="H86" s="2662"/>
      <c r="I86" s="520"/>
      <c r="J86" s="2700"/>
      <c r="K86" s="355"/>
      <c r="L86" s="355"/>
      <c r="M86" s="355"/>
      <c r="N86" s="355"/>
      <c r="O86" s="355"/>
      <c r="P86" s="355"/>
      <c r="Q86" s="355"/>
      <c r="R86" s="355"/>
      <c r="S86" s="355"/>
      <c r="T86" s="355"/>
      <c r="U86" s="355"/>
      <c r="V86" s="355"/>
      <c r="W86" s="355"/>
      <c r="X86" s="355"/>
      <c r="Y86" s="355"/>
      <c r="Z86" s="355"/>
      <c r="AA86" s="355"/>
      <c r="AB86" s="2703"/>
      <c r="AC86" s="2703"/>
      <c r="AD86" s="2703"/>
      <c r="AE86" s="2703"/>
      <c r="AF86" s="2703"/>
      <c r="AG86" s="2703"/>
      <c r="AH86" s="2703"/>
      <c r="AI86" s="2703"/>
      <c r="AJ86" s="2703"/>
    </row>
    <row r="87" spans="1:36" s="2461" customFormat="1" ht="14.25">
      <c r="A87" s="2642">
        <v>1</v>
      </c>
      <c r="B87" s="495" t="s">
        <v>747</v>
      </c>
      <c r="C87" s="2633">
        <f>ROUND(D47/(1+'数据-取费表'!F30),0)</f>
        <v>0</v>
      </c>
      <c r="D87" s="398" t="s">
        <v>121</v>
      </c>
      <c r="E87" s="2180"/>
      <c r="F87" s="2181"/>
      <c r="G87" s="2181"/>
      <c r="H87" s="2663"/>
      <c r="I87" s="520"/>
      <c r="J87" s="2700"/>
      <c r="K87" s="355"/>
      <c r="L87" s="355"/>
      <c r="M87" s="355"/>
      <c r="N87" s="355"/>
      <c r="O87" s="355"/>
      <c r="P87" s="355"/>
      <c r="Q87" s="355"/>
      <c r="R87" s="355"/>
      <c r="S87" s="355"/>
      <c r="T87" s="355"/>
      <c r="U87" s="355"/>
      <c r="V87" s="355"/>
      <c r="W87" s="355"/>
      <c r="X87" s="355"/>
      <c r="Y87" s="355"/>
      <c r="Z87" s="355"/>
      <c r="AA87" s="355"/>
      <c r="AB87" s="2703"/>
      <c r="AC87" s="2703"/>
      <c r="AD87" s="2703"/>
      <c r="AE87" s="2703"/>
      <c r="AF87" s="2703"/>
      <c r="AG87" s="2703"/>
      <c r="AH87" s="2703"/>
      <c r="AI87" s="2703"/>
      <c r="AJ87" s="2703"/>
    </row>
    <row r="88" spans="1:36" s="2461" customFormat="1" ht="14.25">
      <c r="A88" s="2644">
        <v>2</v>
      </c>
      <c r="B88" s="2357" t="s">
        <v>749</v>
      </c>
      <c r="C88" s="2633">
        <f>IF(H90="仅含出让金",C89+C92+C93+C94+C95+C96,C89+C93+C94+C95+C96)</f>
        <v>0</v>
      </c>
      <c r="D88" s="2664"/>
      <c r="E88" s="2180"/>
      <c r="F88" s="2181"/>
      <c r="G88" s="2181"/>
      <c r="H88" s="2663"/>
      <c r="I88" s="520"/>
      <c r="J88" s="2700"/>
      <c r="K88" s="355"/>
      <c r="L88" s="355"/>
      <c r="M88" s="355"/>
      <c r="N88" s="355"/>
      <c r="O88" s="355"/>
      <c r="P88" s="355"/>
      <c r="Q88" s="355"/>
      <c r="R88" s="355"/>
      <c r="S88" s="355"/>
      <c r="T88" s="355"/>
      <c r="U88" s="355"/>
      <c r="V88" s="355"/>
      <c r="W88" s="355"/>
      <c r="X88" s="355"/>
      <c r="Y88" s="355"/>
      <c r="Z88" s="355"/>
      <c r="AA88" s="355"/>
      <c r="AB88" s="2703"/>
      <c r="AC88" s="2703"/>
      <c r="AD88" s="2703"/>
      <c r="AE88" s="2703"/>
      <c r="AF88" s="2703"/>
      <c r="AG88" s="2703"/>
      <c r="AH88" s="2703"/>
      <c r="AI88" s="2703"/>
      <c r="AJ88" s="2703"/>
    </row>
    <row r="89" spans="1:36" s="2461" customFormat="1" ht="14.25">
      <c r="A89" s="2626" t="s">
        <v>750</v>
      </c>
      <c r="B89" s="398" t="s">
        <v>772</v>
      </c>
      <c r="C89" s="2652">
        <f>C90+C91</f>
        <v>0</v>
      </c>
      <c r="D89" s="2653"/>
      <c r="E89" s="2654"/>
      <c r="F89" s="2655"/>
      <c r="G89" s="2655"/>
      <c r="H89" s="2656"/>
      <c r="I89" s="520"/>
      <c r="J89" s="2700"/>
      <c r="K89" s="355"/>
      <c r="L89" s="355"/>
      <c r="M89" s="355"/>
      <c r="N89" s="355"/>
      <c r="O89" s="355"/>
      <c r="P89" s="355"/>
      <c r="Q89" s="355"/>
      <c r="R89" s="355"/>
      <c r="S89" s="355"/>
      <c r="T89" s="355"/>
      <c r="U89" s="355"/>
      <c r="V89" s="355"/>
      <c r="W89" s="355"/>
      <c r="X89" s="355"/>
      <c r="Y89" s="355"/>
      <c r="Z89" s="355"/>
      <c r="AA89" s="355"/>
      <c r="AB89" s="2703"/>
      <c r="AC89" s="2703"/>
      <c r="AD89" s="2703"/>
      <c r="AE89" s="2703"/>
      <c r="AF89" s="2703"/>
      <c r="AG89" s="2703"/>
      <c r="AH89" s="2703"/>
      <c r="AI89" s="2703"/>
      <c r="AJ89" s="2703"/>
    </row>
    <row r="90" spans="1:36" s="2461" customFormat="1" ht="14.25">
      <c r="A90" s="2626" t="s">
        <v>752</v>
      </c>
      <c r="B90" s="398" t="s">
        <v>773</v>
      </c>
      <c r="C90" s="2665"/>
      <c r="D90" s="2653"/>
      <c r="E90" s="2602" t="s">
        <v>774</v>
      </c>
      <c r="F90" s="2655"/>
      <c r="G90" s="2666" t="s">
        <v>775</v>
      </c>
      <c r="H90" s="2667"/>
      <c r="I90" s="520"/>
      <c r="J90" s="2700"/>
      <c r="K90" s="2702" t="s">
        <v>776</v>
      </c>
      <c r="L90" s="2703"/>
      <c r="M90" s="2703"/>
      <c r="N90" s="2703"/>
      <c r="O90" s="2703"/>
      <c r="P90" s="2703"/>
      <c r="Q90" s="2703"/>
      <c r="R90" s="2703"/>
      <c r="S90" s="2703"/>
      <c r="T90" s="355"/>
      <c r="U90" s="355"/>
      <c r="V90" s="355"/>
      <c r="W90" s="355"/>
      <c r="X90" s="355"/>
      <c r="Y90" s="355"/>
      <c r="Z90" s="355"/>
      <c r="AA90" s="355"/>
      <c r="AB90" s="2703"/>
      <c r="AC90" s="2703"/>
      <c r="AD90" s="2703"/>
      <c r="AE90" s="2703"/>
      <c r="AF90" s="2703"/>
      <c r="AG90" s="2703"/>
      <c r="AH90" s="2703"/>
      <c r="AI90" s="2703"/>
      <c r="AJ90" s="2703"/>
    </row>
    <row r="91" spans="1:36" s="2461" customFormat="1" ht="14.25">
      <c r="A91" s="2626" t="s">
        <v>757</v>
      </c>
      <c r="B91" s="398" t="s">
        <v>761</v>
      </c>
      <c r="C91" s="2652">
        <f>ROUND(C90*D91,0)</f>
        <v>0</v>
      </c>
      <c r="D91" s="2653">
        <f>'数据-取费表'!E36+'数据-取费表'!E37</f>
        <v>3.0499999999999999E-2</v>
      </c>
      <c r="E91" s="2602" t="s">
        <v>777</v>
      </c>
      <c r="F91" s="2655"/>
      <c r="G91" s="2655"/>
      <c r="H91" s="2656"/>
      <c r="I91" s="520"/>
      <c r="J91" s="2700"/>
      <c r="K91" s="355"/>
      <c r="L91" s="355"/>
      <c r="M91" s="355"/>
      <c r="N91" s="355"/>
      <c r="O91" s="355"/>
      <c r="P91" s="355"/>
      <c r="Q91" s="355"/>
      <c r="R91" s="355"/>
      <c r="S91" s="355"/>
      <c r="T91" s="355"/>
      <c r="U91" s="355"/>
      <c r="V91" s="355"/>
      <c r="W91" s="355"/>
      <c r="X91" s="355"/>
      <c r="Y91" s="355"/>
      <c r="Z91" s="355"/>
      <c r="AA91" s="355"/>
      <c r="AB91" s="2703"/>
      <c r="AC91" s="2703"/>
      <c r="AD91" s="2703"/>
      <c r="AE91" s="2703"/>
      <c r="AF91" s="2703"/>
      <c r="AG91" s="2703"/>
      <c r="AH91" s="2703"/>
      <c r="AI91" s="2703"/>
      <c r="AJ91" s="2703"/>
    </row>
    <row r="92" spans="1:36" s="2461" customFormat="1" ht="14.25">
      <c r="A92" s="2626" t="s">
        <v>764</v>
      </c>
      <c r="B92" s="398" t="s">
        <v>778</v>
      </c>
      <c r="C92" s="2665"/>
      <c r="D92" s="2653"/>
      <c r="E92" s="2602" t="str">
        <f>IF(H90="-","土地取得成本中已包含该笔费用"," ")</f>
        <v/>
      </c>
      <c r="F92" s="2655"/>
      <c r="G92" s="3491" t="s">
        <v>779</v>
      </c>
      <c r="H92" s="3529"/>
      <c r="I92" s="520"/>
      <c r="J92" s="2700"/>
      <c r="K92" s="2702" t="s">
        <v>780</v>
      </c>
      <c r="L92" s="2703"/>
      <c r="M92" s="2703"/>
      <c r="N92" s="2703"/>
      <c r="O92" s="2703"/>
      <c r="P92" s="2703"/>
      <c r="Q92" s="2703"/>
      <c r="R92" s="2703"/>
      <c r="S92" s="2703"/>
      <c r="T92" s="355"/>
      <c r="U92" s="355"/>
      <c r="V92" s="355"/>
      <c r="W92" s="355"/>
      <c r="X92" s="355"/>
      <c r="Y92" s="355"/>
      <c r="Z92" s="355"/>
      <c r="AA92" s="355"/>
      <c r="AB92" s="2703"/>
      <c r="AC92" s="2703"/>
      <c r="AD92" s="2703"/>
      <c r="AE92" s="2703"/>
      <c r="AF92" s="2703"/>
      <c r="AG92" s="2703"/>
      <c r="AH92" s="2703"/>
      <c r="AI92" s="2703"/>
      <c r="AJ92" s="2703"/>
    </row>
    <row r="93" spans="1:36" s="2461" customFormat="1" ht="30.75" customHeight="1">
      <c r="A93" s="2626" t="s">
        <v>781</v>
      </c>
      <c r="B93" s="398" t="s">
        <v>782</v>
      </c>
      <c r="C93" s="2652">
        <f>IF(H93="——",成本法!C33,I93)</f>
        <v>0</v>
      </c>
      <c r="D93" s="2653"/>
      <c r="E93" s="3478" t="s">
        <v>783</v>
      </c>
      <c r="F93" s="3479"/>
      <c r="G93" s="3479"/>
      <c r="H93" s="2668" t="s">
        <v>784</v>
      </c>
      <c r="I93" s="2704"/>
      <c r="J93" s="2705"/>
      <c r="K93" s="355"/>
      <c r="L93" s="355"/>
      <c r="M93" s="355"/>
      <c r="N93" s="355"/>
      <c r="O93" s="355"/>
      <c r="P93" s="355"/>
      <c r="Q93" s="355"/>
      <c r="R93" s="355"/>
      <c r="S93" s="355"/>
      <c r="T93" s="355"/>
      <c r="U93" s="355"/>
      <c r="V93" s="355"/>
      <c r="W93" s="355"/>
      <c r="X93" s="355"/>
      <c r="Y93" s="355"/>
      <c r="Z93" s="355"/>
      <c r="AA93" s="355"/>
      <c r="AB93" s="2703"/>
      <c r="AC93" s="2703"/>
      <c r="AD93" s="2703"/>
      <c r="AE93" s="2703"/>
      <c r="AF93" s="2703"/>
      <c r="AG93" s="2703"/>
      <c r="AH93" s="2703"/>
      <c r="AI93" s="2703"/>
      <c r="AJ93" s="2703"/>
    </row>
    <row r="94" spans="1:36" s="2461" customFormat="1" ht="25.5" customHeight="1">
      <c r="A94" s="2626" t="s">
        <v>785</v>
      </c>
      <c r="B94" s="398" t="s">
        <v>786</v>
      </c>
      <c r="C94" s="2652">
        <f>ROUND((C89+C92+C93)*D94,0)</f>
        <v>0</v>
      </c>
      <c r="D94" s="2653">
        <v>0.1</v>
      </c>
      <c r="E94" s="3478" t="s">
        <v>787</v>
      </c>
      <c r="F94" s="3479"/>
      <c r="G94" s="3479"/>
      <c r="H94" s="3480"/>
      <c r="I94" s="520"/>
      <c r="J94" s="2700"/>
      <c r="K94" s="2706" t="s">
        <v>788</v>
      </c>
      <c r="L94" s="2703"/>
      <c r="M94" s="2703"/>
      <c r="N94" s="2703"/>
      <c r="O94" s="2703"/>
      <c r="P94" s="2703"/>
      <c r="Q94" s="355"/>
      <c r="R94" s="355"/>
      <c r="S94" s="355"/>
      <c r="T94" s="355"/>
      <c r="U94" s="355"/>
      <c r="V94" s="355"/>
      <c r="W94" s="355"/>
      <c r="X94" s="355"/>
      <c r="Y94" s="355"/>
      <c r="Z94" s="355"/>
      <c r="AA94" s="355"/>
      <c r="AB94" s="2703"/>
      <c r="AC94" s="2703"/>
      <c r="AD94" s="2703"/>
      <c r="AE94" s="2703"/>
      <c r="AF94" s="2703"/>
      <c r="AG94" s="2703"/>
      <c r="AH94" s="2703"/>
      <c r="AI94" s="2703"/>
      <c r="AJ94" s="2703"/>
    </row>
    <row r="95" spans="1:36" s="2461" customFormat="1" ht="25.5" customHeight="1">
      <c r="A95" s="2626" t="s">
        <v>789</v>
      </c>
      <c r="B95" s="398" t="s">
        <v>765</v>
      </c>
      <c r="C95" s="2652">
        <f>ROUND(D47*D95/(1+'数据-取费表'!F30),0)</f>
        <v>0</v>
      </c>
      <c r="D95" s="2653">
        <f>'数据-取费表'!E31</f>
        <v>6.0000000000000001E-3</v>
      </c>
      <c r="E95" s="3478" t="s">
        <v>766</v>
      </c>
      <c r="F95" s="3479"/>
      <c r="G95" s="3479"/>
      <c r="H95" s="3480"/>
      <c r="I95" s="520"/>
      <c r="J95" s="2700"/>
      <c r="K95" s="355"/>
      <c r="L95" s="355"/>
      <c r="M95" s="355"/>
      <c r="N95" s="355"/>
      <c r="O95" s="355"/>
      <c r="P95" s="355"/>
      <c r="Q95" s="355"/>
      <c r="R95" s="355"/>
      <c r="S95" s="355"/>
      <c r="T95" s="355"/>
      <c r="U95" s="355"/>
      <c r="V95" s="355"/>
      <c r="W95" s="355"/>
      <c r="X95" s="355"/>
      <c r="Y95" s="355"/>
      <c r="Z95" s="355"/>
      <c r="AA95" s="355"/>
      <c r="AB95" s="2703"/>
      <c r="AC95" s="2703"/>
      <c r="AD95" s="2703"/>
      <c r="AE95" s="2703"/>
      <c r="AF95" s="2703"/>
      <c r="AG95" s="2703"/>
      <c r="AH95" s="2703"/>
      <c r="AI95" s="2703"/>
      <c r="AJ95" s="2703"/>
    </row>
    <row r="96" spans="1:36" s="2461" customFormat="1" ht="25.5" customHeight="1">
      <c r="A96" s="2626" t="s">
        <v>790</v>
      </c>
      <c r="B96" s="398" t="s">
        <v>791</v>
      </c>
      <c r="C96" s="2652">
        <f>ROUND((C89+C92+C93)*D96,0)</f>
        <v>0</v>
      </c>
      <c r="D96" s="2653">
        <v>0.2</v>
      </c>
      <c r="E96" s="3478" t="s">
        <v>792</v>
      </c>
      <c r="F96" s="3479"/>
      <c r="G96" s="3479"/>
      <c r="H96" s="3480"/>
      <c r="I96" s="520"/>
      <c r="J96" s="2700"/>
      <c r="K96" s="355"/>
      <c r="L96" s="355"/>
      <c r="M96" s="355"/>
      <c r="N96" s="355"/>
      <c r="O96" s="355"/>
      <c r="P96" s="355"/>
      <c r="Q96" s="355"/>
      <c r="R96" s="355"/>
      <c r="S96" s="355"/>
      <c r="T96" s="355"/>
      <c r="U96" s="355"/>
      <c r="V96" s="355"/>
      <c r="W96" s="355"/>
      <c r="X96" s="355"/>
      <c r="Y96" s="355"/>
      <c r="Z96" s="355"/>
      <c r="AA96" s="355"/>
      <c r="AB96" s="2703"/>
      <c r="AC96" s="2703"/>
      <c r="AD96" s="2703"/>
      <c r="AE96" s="2703"/>
      <c r="AF96" s="2703"/>
      <c r="AG96" s="2703"/>
      <c r="AH96" s="2703"/>
      <c r="AI96" s="2703"/>
      <c r="AJ96" s="2703"/>
    </row>
    <row r="97" spans="1:36" s="2461" customFormat="1" ht="14.25">
      <c r="A97" s="2630" t="s">
        <v>740</v>
      </c>
      <c r="B97" s="495" t="s">
        <v>767</v>
      </c>
      <c r="C97" s="2633">
        <f>ROUND(C87-C88,0)</f>
        <v>0</v>
      </c>
      <c r="D97" s="398" t="s">
        <v>121</v>
      </c>
      <c r="E97" s="2180"/>
      <c r="F97" s="2181"/>
      <c r="G97" s="2181"/>
      <c r="H97" s="2663"/>
      <c r="I97" s="520"/>
      <c r="J97" s="2700"/>
      <c r="K97" s="355"/>
      <c r="L97" s="355"/>
      <c r="M97" s="355"/>
      <c r="N97" s="355"/>
      <c r="O97" s="355"/>
      <c r="P97" s="355"/>
      <c r="Q97" s="355"/>
      <c r="R97" s="355"/>
      <c r="S97" s="355"/>
      <c r="T97" s="355"/>
      <c r="U97" s="355"/>
      <c r="V97" s="355"/>
      <c r="W97" s="355"/>
      <c r="X97" s="355"/>
      <c r="Y97" s="355"/>
      <c r="Z97" s="355"/>
      <c r="AA97" s="355"/>
      <c r="AB97" s="2703"/>
      <c r="AC97" s="2703"/>
      <c r="AD97" s="2703"/>
      <c r="AE97" s="2703"/>
      <c r="AF97" s="2703"/>
      <c r="AG97" s="2703"/>
      <c r="AH97" s="2703"/>
      <c r="AI97" s="2703"/>
      <c r="AJ97" s="2703"/>
    </row>
    <row r="98" spans="1:36" s="2461" customFormat="1" ht="14.25">
      <c r="A98" s="2630" t="s">
        <v>743</v>
      </c>
      <c r="B98" s="495" t="s">
        <v>768</v>
      </c>
      <c r="C98" s="2657">
        <f>IF(C97&lt;=0,0,C97/C88)</f>
        <v>0</v>
      </c>
      <c r="D98" s="398" t="s">
        <v>121</v>
      </c>
      <c r="E98" s="2259" t="str">
        <f>IF(C98&gt;=200%,"增值额超过扣除项目金额200%",IF(C98&gt;=100%,"增值额超过扣除项目金额100%，未超过200%",IF(C98&gt;=50%,"增值额超过扣除项目金额50%，未超过100%",IF(C98&lt;50%,"增值额未超过扣除项目金额50%"))))</f>
        <v>增值额未超过扣除项目金额50%</v>
      </c>
      <c r="F98" s="2181"/>
      <c r="G98" s="2181"/>
      <c r="H98" s="2663"/>
      <c r="I98" s="520"/>
      <c r="J98" s="2700"/>
      <c r="K98" s="355"/>
      <c r="L98" s="355"/>
      <c r="M98" s="355"/>
      <c r="N98" s="355"/>
      <c r="O98" s="355"/>
      <c r="P98" s="355"/>
      <c r="Q98" s="355"/>
      <c r="R98" s="355"/>
      <c r="S98" s="355"/>
      <c r="T98" s="355"/>
      <c r="U98" s="355"/>
      <c r="V98" s="355"/>
      <c r="W98" s="355"/>
      <c r="X98" s="355"/>
      <c r="Y98" s="355"/>
      <c r="Z98" s="355"/>
      <c r="AA98" s="355"/>
      <c r="AB98" s="2703"/>
      <c r="AC98" s="2703"/>
      <c r="AD98" s="2703"/>
      <c r="AE98" s="2703"/>
      <c r="AF98" s="2703"/>
      <c r="AG98" s="2703"/>
      <c r="AH98" s="2703"/>
      <c r="AI98" s="2703"/>
      <c r="AJ98" s="2703"/>
    </row>
    <row r="99" spans="1:36" s="2461" customFormat="1" ht="14.25">
      <c r="A99" s="2669" t="s">
        <v>769</v>
      </c>
      <c r="B99" s="513" t="s">
        <v>770</v>
      </c>
      <c r="C99" s="2670">
        <f>ROUND(IF(C97&lt;=0,0,IF(C98&gt;=200%,C97*60%-C88*35%,IF(C98&gt;=100%,C97*50%-C88*15%,IF(C98&gt;=50%,C97*40%-C88*5%,IF(C98&lt;50%,C97*30%,0))))),0)</f>
        <v>0</v>
      </c>
      <c r="D99" s="2671" t="s">
        <v>121</v>
      </c>
      <c r="E99" s="257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9"/>
      <c r="G99" s="2659"/>
      <c r="H99" s="2672"/>
      <c r="I99" s="2707"/>
      <c r="J99" s="2708"/>
      <c r="K99" s="355"/>
      <c r="L99" s="355"/>
      <c r="M99" s="355"/>
      <c r="N99" s="355"/>
      <c r="O99" s="355"/>
      <c r="P99" s="355"/>
      <c r="Q99" s="355"/>
      <c r="R99" s="355"/>
      <c r="S99" s="355"/>
      <c r="T99" s="355"/>
      <c r="U99" s="355"/>
      <c r="V99" s="355"/>
      <c r="W99" s="355"/>
      <c r="X99" s="355"/>
      <c r="Y99" s="355"/>
      <c r="Z99" s="355"/>
      <c r="AA99" s="355"/>
      <c r="AB99" s="2703"/>
      <c r="AC99" s="2703"/>
      <c r="AD99" s="2703"/>
      <c r="AE99" s="2703"/>
      <c r="AF99" s="2703"/>
      <c r="AG99" s="2703"/>
      <c r="AH99" s="2703"/>
      <c r="AI99" s="2703"/>
      <c r="AJ99" s="2703"/>
    </row>
    <row r="100" spans="1:36" ht="21.75" customHeight="1">
      <c r="A100" s="2540" t="s">
        <v>793</v>
      </c>
      <c r="B100" s="2466"/>
      <c r="C100" s="2466"/>
      <c r="D100" s="2466"/>
      <c r="E100" s="2673"/>
      <c r="F100" s="2673"/>
      <c r="G100" s="2673"/>
      <c r="H100" s="2674"/>
      <c r="I100" s="2466"/>
    </row>
    <row r="101" spans="1:36" ht="15">
      <c r="A101" s="3469" t="s">
        <v>794</v>
      </c>
      <c r="B101" s="3470"/>
      <c r="C101" s="3470"/>
      <c r="D101" s="3471"/>
      <c r="E101" s="2466"/>
      <c r="F101" s="3522" t="s">
        <v>861</v>
      </c>
      <c r="G101" s="3523"/>
      <c r="H101" s="3523"/>
      <c r="I101" s="3524"/>
      <c r="J101" s="2709"/>
    </row>
    <row r="102" spans="1:36" ht="15">
      <c r="A102" s="3484" t="s">
        <v>796</v>
      </c>
      <c r="B102" s="3485"/>
      <c r="C102" s="2675">
        <f>C4</f>
        <v>0</v>
      </c>
      <c r="D102" s="2676">
        <f>D4</f>
        <v>0</v>
      </c>
      <c r="E102" s="2466"/>
      <c r="F102" s="3448" t="s">
        <v>797</v>
      </c>
      <c r="G102" s="3450"/>
      <c r="H102" s="3449" t="s">
        <v>798</v>
      </c>
      <c r="I102" s="3451"/>
      <c r="J102" s="2710"/>
    </row>
    <row r="103" spans="1:36" ht="12.75">
      <c r="A103" s="3516" t="s">
        <v>862</v>
      </c>
      <c r="B103" s="497" t="str">
        <f>IF(H19="元","总价（元）","总价（万元）")</f>
        <v>总价（元）</v>
      </c>
      <c r="C103" s="2677" t="e">
        <f ca="1">C19</f>
        <v>#REF!</v>
      </c>
      <c r="D103" s="2678" t="e">
        <f ca="1">D19</f>
        <v>#REF!</v>
      </c>
      <c r="E103" s="2466"/>
      <c r="F103" s="3525"/>
      <c r="G103" s="3526"/>
      <c r="H103" s="3438">
        <f>典型户型修正!B25</f>
        <v>0</v>
      </c>
      <c r="I103" s="3451"/>
      <c r="J103" s="2710"/>
    </row>
    <row r="104" spans="1:36" ht="12.75">
      <c r="A104" s="3516"/>
      <c r="B104" s="497" t="s">
        <v>800</v>
      </c>
      <c r="C104" s="2679" t="e">
        <f ca="1">C20</f>
        <v>#REF!</v>
      </c>
      <c r="D104" s="2680" t="e">
        <f ca="1">D20</f>
        <v>#REF!</v>
      </c>
      <c r="E104" s="2466"/>
      <c r="F104" s="3410" t="s">
        <v>801</v>
      </c>
      <c r="G104" s="3411"/>
      <c r="H104" s="2681" t="str">
        <f>C110</f>
        <v>总价（元）</v>
      </c>
      <c r="I104" s="2690">
        <f>H125</f>
        <v>0</v>
      </c>
      <c r="J104" s="2710"/>
    </row>
    <row r="105" spans="1:36" ht="12.75">
      <c r="A105" s="3516" t="s">
        <v>863</v>
      </c>
      <c r="B105" s="498" t="str">
        <f>B103</f>
        <v>总价（元）</v>
      </c>
      <c r="C105" s="2259" t="e">
        <f ca="1">ROUND(IF('数据-取费表'!B4="总价",G19,IF(H19="元",G20*'数据-取费表'!E5,G20*'数据-取费表'!E5/10000)),0)</f>
        <v>#REF!</v>
      </c>
      <c r="D105" s="2682"/>
      <c r="E105" s="2466"/>
      <c r="F105" s="3410"/>
      <c r="G105" s="3411"/>
      <c r="H105" s="2681" t="s">
        <v>800</v>
      </c>
      <c r="I105" s="2628" t="e">
        <f>I125</f>
        <v>#DIV/0!</v>
      </c>
      <c r="J105" s="2580"/>
    </row>
    <row r="106" spans="1:36" ht="12.75">
      <c r="A106" s="3516"/>
      <c r="B106" s="497" t="s">
        <v>800</v>
      </c>
      <c r="C106" s="2538" t="e">
        <f ca="1">ROUND(IF('数据-取费表'!B4="楼面单价",G20,IF(H19="元",G19/'数据-取费表'!E5,G19*10000/'数据-取费表'!E5)),0)</f>
        <v>#REF!</v>
      </c>
      <c r="D106" s="2682"/>
      <c r="E106" s="2466"/>
      <c r="F106" s="3410"/>
      <c r="G106" s="3411"/>
      <c r="H106" s="3467"/>
      <c r="I106" s="3468"/>
      <c r="J106" s="2711"/>
    </row>
    <row r="107" spans="1:36" ht="12.75">
      <c r="A107" s="3517" t="s">
        <v>864</v>
      </c>
      <c r="B107" s="2683" t="str">
        <f>B103</f>
        <v>总价（元）</v>
      </c>
      <c r="C107" s="2684">
        <f>H125</f>
        <v>0</v>
      </c>
      <c r="D107" s="2685"/>
      <c r="E107" s="2466"/>
      <c r="F107" s="3472" t="s">
        <v>804</v>
      </c>
      <c r="G107" s="3473"/>
      <c r="H107" s="2686" t="str">
        <f>C112</f>
        <v>总额（元）</v>
      </c>
      <c r="I107" s="2690">
        <f>SUMIF(I108:I110,"&lt;9E307")</f>
        <v>0</v>
      </c>
      <c r="J107" s="2710"/>
    </row>
    <row r="108" spans="1:36" ht="14.25">
      <c r="A108" s="3421"/>
      <c r="B108" s="2687" t="s">
        <v>800</v>
      </c>
      <c r="C108" s="2688" t="e">
        <f>I125</f>
        <v>#DIV/0!</v>
      </c>
      <c r="D108" s="2689"/>
      <c r="E108" s="2466"/>
      <c r="F108" s="3455" t="s">
        <v>805</v>
      </c>
      <c r="G108" s="3456"/>
      <c r="H108" s="2686" t="str">
        <f>C113</f>
        <v>总额（元）</v>
      </c>
      <c r="I108" s="2712">
        <f>IF(D38="同一抵押权人同一抵押物续贷",C38&amp;"（续贷，未扣减，详见特别提示）",C38)</f>
        <v>0</v>
      </c>
      <c r="J108" s="2580"/>
      <c r="L108" s="2713" t="str">
        <f>IF(D125=0,"本次评估不存在"&amp;A125&amp;"。","本次评估"&amp;A125&amp;"为"&amp;D125&amp;"元人民币。")</f>
        <v>本次评估不存在北京市房地产。</v>
      </c>
      <c r="M108" s="2466"/>
      <c r="N108" s="2466"/>
      <c r="O108" s="2466"/>
      <c r="P108" s="2466"/>
      <c r="Q108" s="2466"/>
    </row>
    <row r="109" spans="1:36" ht="15">
      <c r="A109" s="3519" t="s">
        <v>803</v>
      </c>
      <c r="B109" s="3520"/>
      <c r="C109" s="3520"/>
      <c r="D109" s="3521"/>
      <c r="E109" s="2466"/>
      <c r="F109" s="3455" t="s">
        <v>806</v>
      </c>
      <c r="G109" s="3456"/>
      <c r="H109" s="2686" t="str">
        <f>C114</f>
        <v>总额（元）</v>
      </c>
      <c r="I109" s="2628">
        <f>C39</f>
        <v>0</v>
      </c>
      <c r="J109" s="2580"/>
    </row>
    <row r="110" spans="1:36" ht="12.75">
      <c r="A110" s="3410" t="s">
        <v>865</v>
      </c>
      <c r="B110" s="3411"/>
      <c r="C110" s="2681" t="str">
        <f>B103</f>
        <v>总价（元）</v>
      </c>
      <c r="D110" s="2690">
        <f>H125</f>
        <v>0</v>
      </c>
      <c r="E110" s="2466"/>
      <c r="F110" s="3455" t="s">
        <v>807</v>
      </c>
      <c r="G110" s="3456"/>
      <c r="H110" s="2686" t="str">
        <f>C115</f>
        <v>总额（元）</v>
      </c>
      <c r="I110" s="2628">
        <f>C40</f>
        <v>0</v>
      </c>
      <c r="J110" s="2580"/>
    </row>
    <row r="111" spans="1:36" ht="12.75">
      <c r="A111" s="3410"/>
      <c r="B111" s="3411"/>
      <c r="C111" s="2681" t="s">
        <v>800</v>
      </c>
      <c r="D111" s="2628" t="e">
        <f>I125</f>
        <v>#DIV/0!</v>
      </c>
      <c r="E111" s="2466"/>
      <c r="F111" s="3410"/>
      <c r="G111" s="3411"/>
      <c r="H111" s="3476"/>
      <c r="I111" s="3477"/>
      <c r="J111" s="2714"/>
    </row>
    <row r="112" spans="1:36" ht="28.5" customHeight="1">
      <c r="A112" s="3474" t="s">
        <v>804</v>
      </c>
      <c r="B112" s="3475"/>
      <c r="C112" s="2686" t="str">
        <f>IF(H19="元","总额（元）","总额（万元）")</f>
        <v>总额（元）</v>
      </c>
      <c r="D112" s="2690">
        <f>IF(D38="正常操作",I108+I109+I110,I109+I110)</f>
        <v>0</v>
      </c>
      <c r="E112" s="2466"/>
      <c r="F112" s="3406" t="str">
        <f>IF(项目基本情况!F5="已注销","——","3.房地产抵押价值")</f>
        <v>3.房地产抵押价值</v>
      </c>
      <c r="G112" s="3407"/>
      <c r="H112" s="2538" t="str">
        <f>C116</f>
        <v>总价（元）</v>
      </c>
      <c r="I112" s="2690">
        <f>IF(F112="——","——",I104-I107)</f>
        <v>0</v>
      </c>
      <c r="J112" s="2710"/>
    </row>
    <row r="113" spans="1:27" ht="12.75">
      <c r="A113" s="3455" t="s">
        <v>805</v>
      </c>
      <c r="B113" s="3456"/>
      <c r="C113" s="2686" t="str">
        <f>C112</f>
        <v>总额（元）</v>
      </c>
      <c r="D113" s="2628">
        <f>IF(D38="同一抵押权人同一抵押物续贷",C38&amp;"（未扣减，详见特别提示）",C38)</f>
        <v>0</v>
      </c>
      <c r="E113" s="2466"/>
      <c r="F113" s="3408"/>
      <c r="G113" s="3409"/>
      <c r="H113" s="2681" t="s">
        <v>800</v>
      </c>
      <c r="I113" s="2715" t="e">
        <f>D117</f>
        <v>#DIV/0!</v>
      </c>
      <c r="J113" s="2716"/>
    </row>
    <row r="114" spans="1:27" ht="12.75">
      <c r="A114" s="3455" t="s">
        <v>806</v>
      </c>
      <c r="B114" s="3456"/>
      <c r="C114" s="2686" t="str">
        <f>C112</f>
        <v>总额（元）</v>
      </c>
      <c r="D114" s="2628">
        <f>C39</f>
        <v>0</v>
      </c>
      <c r="E114" s="2466"/>
      <c r="F114" s="3406" t="str">
        <f>IF(项目基本情况!F5="已注销及未注销","4.抵押担保权已注销时的房地产抵押价值",IF(项目基本情况!F5="已注销","3.抵押担保权已注销时的房地产抵押价值","——"))</f>
        <v>——</v>
      </c>
      <c r="G114" s="3407"/>
      <c r="H114" s="2538" t="str">
        <f>C118</f>
        <v>总价（元）</v>
      </c>
      <c r="I114" s="2690" t="str">
        <f>IF(F114="——","——",I104-I109-I110)</f>
        <v>——</v>
      </c>
      <c r="J114" s="2710"/>
    </row>
    <row r="115" spans="1:27" ht="12.75">
      <c r="A115" s="3455" t="s">
        <v>807</v>
      </c>
      <c r="B115" s="3456"/>
      <c r="C115" s="2686" t="str">
        <f>C112</f>
        <v>总额（元）</v>
      </c>
      <c r="D115" s="2628">
        <f>C40</f>
        <v>0</v>
      </c>
      <c r="E115" s="2466"/>
      <c r="F115" s="3408"/>
      <c r="G115" s="3409"/>
      <c r="H115" s="2681" t="s">
        <v>800</v>
      </c>
      <c r="I115" s="2628" t="str">
        <f>D119</f>
        <v>——</v>
      </c>
      <c r="J115" s="2580"/>
    </row>
    <row r="116" spans="1:27" ht="12.75">
      <c r="A116" s="3410" t="str">
        <f>IF(项目基本情况!F5="已注销","——","3.房地产抵押价值")</f>
        <v>3.房地产抵押价值</v>
      </c>
      <c r="B116" s="3411"/>
      <c r="C116" s="2681" t="str">
        <f>B103</f>
        <v>总价（元）</v>
      </c>
      <c r="D116" s="2690">
        <f>IF(A116="——","——",D110-D112)</f>
        <v>0</v>
      </c>
      <c r="E116" s="2466"/>
      <c r="F116" s="3406" t="str">
        <f>IF(项目基本情况!G5="抵押净值",IF(OR(项目基本情况!F5="已注销",项目基本情况!F5="房地产抵押价值"),"4.抵押净值","5.抵押净值"),"——")</f>
        <v>——</v>
      </c>
      <c r="G116" s="3407"/>
      <c r="H116" s="2681" t="str">
        <f>C120</f>
        <v>总价（元）</v>
      </c>
      <c r="I116" s="2690" t="str">
        <f>IF(F116="——","——",O61)</f>
        <v>——</v>
      </c>
      <c r="J116" s="2710"/>
    </row>
    <row r="117" spans="1:27" ht="12.75">
      <c r="A117" s="3410"/>
      <c r="B117" s="3411"/>
      <c r="C117" s="2681" t="s">
        <v>800</v>
      </c>
      <c r="D117" s="2628" t="e">
        <f>ROUND(IF(D116=D110,D111,IF(H19="元",D116/B125,D116*10000/B125)),0)</f>
        <v>#DIV/0!</v>
      </c>
      <c r="E117" s="2466"/>
      <c r="F117" s="3412"/>
      <c r="G117" s="3413"/>
      <c r="H117" s="2691" t="s">
        <v>800</v>
      </c>
      <c r="I117" s="2692" t="str">
        <f>D121</f>
        <v>——</v>
      </c>
      <c r="J117" s="2580"/>
    </row>
    <row r="118" spans="1:27" ht="15.75">
      <c r="A118" s="3410" t="str">
        <f>IF(项目基本情况!F5="已注销及未注销","4.抵押担保权已注销时的房地产抵押价值",IF(项目基本情况!F5="已注销","3.抵押担保权已注销时的房地产抵押价值","——"))</f>
        <v>——</v>
      </c>
      <c r="B118" s="3411"/>
      <c r="C118" s="2681" t="str">
        <f>B103</f>
        <v>总价（元）</v>
      </c>
      <c r="D118" s="2690" t="str">
        <f>IF(A118="——","——",D110-D114-D115)</f>
        <v>——</v>
      </c>
      <c r="E118" s="2466"/>
      <c r="F118" s="3457"/>
      <c r="G118" s="3457"/>
      <c r="H118" s="3458"/>
      <c r="I118" s="3458"/>
      <c r="J118" s="2717"/>
      <c r="O118" s="1605"/>
      <c r="P118" s="1605"/>
    </row>
    <row r="119" spans="1:27" s="2462" customFormat="1" ht="12.75">
      <c r="A119" s="3410"/>
      <c r="B119" s="3411"/>
      <c r="C119" s="2681" t="s">
        <v>800</v>
      </c>
      <c r="D119" s="2628" t="str">
        <f>IF(A118="——","——",IF(H19="元",ROUND(D118/B125,0),ROUND(D118*10000/B125,0)))</f>
        <v>——</v>
      </c>
      <c r="E119" s="2466"/>
      <c r="F119" s="3518" t="str">
        <f>IF(B33="总价","（以上估价结果中楼面单价为总价除以建筑面积得出）","（以上估价结果中总价为楼面单价乘以建筑面积得出）")</f>
        <v>（以上估价结果中总价为楼面单价乘以建筑面积得出）</v>
      </c>
      <c r="G119" s="3518"/>
      <c r="H119" s="3518"/>
      <c r="I119" s="3518"/>
      <c r="J119" s="2718"/>
      <c r="K119" s="1608"/>
      <c r="L119" s="1608"/>
      <c r="M119" s="1608"/>
      <c r="N119" s="1608"/>
      <c r="O119" s="1605"/>
      <c r="P119" s="1605"/>
      <c r="Q119" s="1608"/>
      <c r="R119" s="1608"/>
      <c r="S119" s="1608"/>
      <c r="T119" s="1608"/>
      <c r="U119" s="1608"/>
      <c r="V119" s="1608"/>
      <c r="W119" s="1608"/>
      <c r="X119" s="1608"/>
      <c r="Y119" s="1608"/>
      <c r="Z119" s="1608"/>
      <c r="AA119" s="1608"/>
    </row>
    <row r="120" spans="1:27" s="2462" customFormat="1" ht="12.75">
      <c r="A120" s="3410" t="str">
        <f>IF(项目基本情况!G5="抵押净值",IF(OR(项目基本情况!F5="已注销",项目基本情况!F5="房地产抵押价值"),"4.抵押净值","5.抵押净值"),"——")</f>
        <v>——</v>
      </c>
      <c r="B120" s="3411"/>
      <c r="C120" s="2681" t="str">
        <f>B103</f>
        <v>总价（元）</v>
      </c>
      <c r="D120" s="2690" t="str">
        <f>IF(A120="——","——",O61)</f>
        <v>——</v>
      </c>
      <c r="E120" s="2466"/>
      <c r="F120" s="670"/>
      <c r="G120" s="670"/>
      <c r="H120" s="670"/>
      <c r="I120" s="670"/>
      <c r="J120" s="2718"/>
      <c r="K120" s="1608"/>
      <c r="L120" s="1608"/>
      <c r="M120" s="1608"/>
      <c r="N120" s="1608"/>
      <c r="O120" s="1605"/>
      <c r="P120" s="1605"/>
      <c r="Q120" s="1608"/>
      <c r="R120" s="1608"/>
      <c r="S120" s="1608"/>
      <c r="T120" s="1608"/>
      <c r="U120" s="1608"/>
      <c r="V120" s="1608"/>
      <c r="W120" s="1608"/>
      <c r="X120" s="1608"/>
      <c r="Y120" s="1608"/>
      <c r="Z120" s="1608"/>
      <c r="AA120" s="1608"/>
    </row>
    <row r="121" spans="1:27" s="2462" customFormat="1" ht="12.75">
      <c r="A121" s="3465"/>
      <c r="B121" s="3466"/>
      <c r="C121" s="2691" t="s">
        <v>800</v>
      </c>
      <c r="D121" s="2692" t="str">
        <f>IF(D120=D110,D111,IF(A120="——","——",O63))</f>
        <v>——</v>
      </c>
      <c r="E121" s="2466"/>
      <c r="F121" s="670"/>
      <c r="G121" s="670"/>
      <c r="H121" s="670"/>
      <c r="I121" s="670"/>
      <c r="J121" s="2718"/>
      <c r="K121" s="1608"/>
      <c r="L121" s="1608"/>
      <c r="M121" s="1608"/>
      <c r="N121" s="1608"/>
      <c r="O121" s="1605"/>
      <c r="P121" s="1605"/>
      <c r="Q121" s="1608"/>
      <c r="R121" s="1608"/>
      <c r="S121" s="1608"/>
      <c r="T121" s="1608"/>
      <c r="U121" s="1608"/>
      <c r="V121" s="1608"/>
      <c r="W121" s="1608"/>
      <c r="X121" s="1608"/>
      <c r="Y121" s="1608"/>
      <c r="Z121" s="1608"/>
      <c r="AA121" s="1608"/>
    </row>
    <row r="122" spans="1:27" s="2462" customFormat="1" ht="15">
      <c r="A122" s="3460" t="s">
        <v>808</v>
      </c>
      <c r="B122" s="3461"/>
      <c r="C122" s="3461"/>
      <c r="D122" s="3461"/>
      <c r="E122" s="3461"/>
      <c r="F122" s="3461"/>
      <c r="G122" s="3461"/>
      <c r="H122" s="3461"/>
      <c r="I122" s="3461"/>
      <c r="J122" s="2719"/>
      <c r="K122" s="1608"/>
      <c r="L122" s="1608"/>
      <c r="M122" s="1608"/>
      <c r="N122" s="1608"/>
      <c r="O122" s="1608"/>
      <c r="P122" s="1608"/>
      <c r="Q122" s="1608"/>
      <c r="R122" s="1608"/>
      <c r="S122" s="1608"/>
      <c r="T122" s="1608"/>
      <c r="U122" s="1608"/>
      <c r="V122" s="1608"/>
      <c r="W122" s="1608"/>
      <c r="X122" s="1608"/>
      <c r="Y122" s="1608"/>
      <c r="Z122" s="1608"/>
      <c r="AA122" s="1608"/>
    </row>
    <row r="123" spans="1:27" s="2462" customFormat="1" ht="12.75">
      <c r="A123" s="3422" t="s">
        <v>809</v>
      </c>
      <c r="B123" s="3423" t="s">
        <v>357</v>
      </c>
      <c r="C123" s="3423" t="s">
        <v>810</v>
      </c>
      <c r="D123" s="3462" t="s">
        <v>811</v>
      </c>
      <c r="E123" s="3463"/>
      <c r="F123" s="3429" t="s">
        <v>653</v>
      </c>
      <c r="G123" s="3429"/>
      <c r="H123" s="3429" t="s">
        <v>812</v>
      </c>
      <c r="I123" s="3464"/>
      <c r="J123" s="2580"/>
      <c r="K123" s="1608"/>
      <c r="L123" s="1608"/>
      <c r="M123" s="1608"/>
      <c r="N123" s="1608"/>
      <c r="O123" s="1608"/>
      <c r="P123" s="1608"/>
      <c r="Q123" s="1608"/>
      <c r="R123" s="1608"/>
      <c r="S123" s="1608"/>
      <c r="T123" s="1608"/>
      <c r="U123" s="1608"/>
      <c r="V123" s="1608"/>
      <c r="W123" s="1608"/>
      <c r="X123" s="1608"/>
      <c r="Y123" s="1608"/>
      <c r="Z123" s="1608"/>
      <c r="AA123" s="1608"/>
    </row>
    <row r="124" spans="1:27" s="2462" customFormat="1" ht="12.75">
      <c r="A124" s="3422"/>
      <c r="B124" s="3424"/>
      <c r="C124" s="3424"/>
      <c r="D124" s="2202" t="s">
        <v>813</v>
      </c>
      <c r="E124" s="2202" t="s">
        <v>814</v>
      </c>
      <c r="F124" s="2202" t="s">
        <v>813</v>
      </c>
      <c r="G124" s="2202" t="s">
        <v>814</v>
      </c>
      <c r="H124" s="2202" t="s">
        <v>813</v>
      </c>
      <c r="I124" s="2628" t="s">
        <v>814</v>
      </c>
      <c r="J124" s="2580"/>
      <c r="K124" s="1608"/>
      <c r="L124" s="1608"/>
      <c r="M124" s="1608"/>
      <c r="N124" s="1608"/>
      <c r="O124" s="1608"/>
      <c r="P124" s="1608"/>
      <c r="Q124" s="1608"/>
      <c r="R124" s="1608"/>
      <c r="S124" s="1608"/>
      <c r="T124" s="1608"/>
      <c r="U124" s="1608"/>
      <c r="V124" s="1608"/>
      <c r="W124" s="1608"/>
      <c r="X124" s="1608"/>
      <c r="Y124" s="1608"/>
      <c r="Z124" s="1608"/>
      <c r="AA124" s="1608"/>
    </row>
    <row r="125" spans="1:27" s="2462" customFormat="1" ht="12.75">
      <c r="A125" s="2561" t="str">
        <f>项目基本情况!I1</f>
        <v>北京市房地产</v>
      </c>
      <c r="B125" s="2202">
        <f>典型户型修正!B25</f>
        <v>0</v>
      </c>
      <c r="C125" s="2693"/>
      <c r="D125" s="2202">
        <f>C36</f>
        <v>0</v>
      </c>
      <c r="E125" s="2202" t="e">
        <f>ROUND(IF(H19="元",D125/B125,D125*10000/B125),0)</f>
        <v>#DIV/0!</v>
      </c>
      <c r="F125" s="2202">
        <f>C37</f>
        <v>0</v>
      </c>
      <c r="G125" s="2202" t="e">
        <f>ROUND(IF(H19="元",F125/B125,F125*10000/B125),0)</f>
        <v>#DIV/0!</v>
      </c>
      <c r="H125" s="2202">
        <f>C34</f>
        <v>0</v>
      </c>
      <c r="I125" s="2628" t="e">
        <f>C35</f>
        <v>#DIV/0!</v>
      </c>
      <c r="J125" s="2580"/>
      <c r="K125" s="1608"/>
      <c r="L125" s="1608"/>
      <c r="M125" s="1608"/>
      <c r="N125" s="1608"/>
      <c r="O125" s="1608"/>
      <c r="P125" s="1608"/>
      <c r="Q125" s="1608"/>
      <c r="R125" s="1608"/>
      <c r="S125" s="1608"/>
      <c r="T125" s="1608"/>
      <c r="U125" s="1608"/>
      <c r="V125" s="1608"/>
      <c r="W125" s="1608"/>
      <c r="X125" s="1608"/>
      <c r="Y125" s="1608"/>
      <c r="Z125" s="1608"/>
      <c r="AA125" s="1608"/>
    </row>
    <row r="126" spans="1:27" s="2462" customFormat="1" ht="12.75">
      <c r="A126" s="3422" t="s">
        <v>815</v>
      </c>
      <c r="B126" s="3429"/>
      <c r="C126" s="3429"/>
      <c r="D126" s="3445" t="str">
        <f>IF(H19="元",NUMBERSTRING(INT(D125),2)&amp;"元整",NUMBERSTRING(INT(D125*10000),2)&amp;"元整")</f>
        <v>零元整</v>
      </c>
      <c r="E126" s="3446"/>
      <c r="F126" s="3445" t="str">
        <f>IF(H19="元",NUMBERSTRING(INT(F125),2)&amp;"元整",NUMBERSTRING(INT(F125*10000),2)&amp;"元整")</f>
        <v>零元整</v>
      </c>
      <c r="G126" s="3446"/>
      <c r="H126" s="3445" t="str">
        <f>IF(H19="元",NUMBERSTRING(INT(H125),2)&amp;"元整",NUMBERSTRING(INT(H125*10000),2)&amp;"元整")</f>
        <v>零元整</v>
      </c>
      <c r="I126" s="3447"/>
      <c r="J126" s="2720"/>
      <c r="K126" s="1608"/>
      <c r="L126" s="1608"/>
      <c r="M126" s="1608"/>
      <c r="N126" s="1608"/>
      <c r="O126" s="1608"/>
      <c r="P126" s="1608"/>
      <c r="Q126" s="1608"/>
      <c r="R126" s="1608"/>
      <c r="S126" s="1608"/>
      <c r="T126" s="1608"/>
      <c r="U126" s="1608"/>
      <c r="V126" s="1608"/>
      <c r="W126" s="1608"/>
      <c r="X126" s="1608"/>
      <c r="Y126" s="1608"/>
      <c r="Z126" s="1608"/>
      <c r="AA126" s="1608"/>
    </row>
    <row r="127" spans="1:27" s="2462" customFormat="1" ht="12.75">
      <c r="A127" s="3448" t="str">
        <f>IF(项目基本情况!D5="房地产市场价值","——",MID(A112,3,LEN(A112)-2))</f>
        <v>估价师所知悉的法定优先受偿款</v>
      </c>
      <c r="B127" s="3449"/>
      <c r="C127" s="3450"/>
      <c r="D127" s="3438">
        <f>I107</f>
        <v>0</v>
      </c>
      <c r="E127" s="3449"/>
      <c r="F127" s="3449"/>
      <c r="G127" s="3449"/>
      <c r="H127" s="3449"/>
      <c r="I127" s="3451"/>
      <c r="J127" s="2710"/>
      <c r="K127" s="1608"/>
      <c r="L127" s="1608"/>
      <c r="M127" s="1608"/>
      <c r="N127" s="1608"/>
      <c r="O127" s="1608"/>
      <c r="P127" s="1608"/>
      <c r="Q127" s="1608"/>
      <c r="R127" s="1608"/>
      <c r="S127" s="1608"/>
      <c r="T127" s="1608"/>
      <c r="U127" s="1608"/>
      <c r="V127" s="1608"/>
      <c r="W127" s="1608"/>
      <c r="X127" s="1608"/>
      <c r="Y127" s="1608"/>
      <c r="Z127" s="1608"/>
      <c r="AA127" s="1608"/>
    </row>
    <row r="128" spans="1:27" s="2462" customFormat="1" ht="12.75">
      <c r="A128" s="3452" t="s">
        <v>815</v>
      </c>
      <c r="B128" s="3453"/>
      <c r="C128" s="3454"/>
      <c r="D128" s="3430">
        <f>H111</f>
        <v>0</v>
      </c>
      <c r="E128" s="3431"/>
      <c r="F128" s="3431"/>
      <c r="G128" s="3431"/>
      <c r="H128" s="3431"/>
      <c r="I128" s="3432"/>
      <c r="J128" s="2721"/>
      <c r="K128" s="1608"/>
      <c r="L128" s="1608"/>
      <c r="M128" s="1608"/>
      <c r="N128" s="1608"/>
      <c r="O128" s="1608"/>
      <c r="P128" s="1608"/>
      <c r="Q128" s="1608"/>
      <c r="R128" s="1608"/>
      <c r="S128" s="1608"/>
      <c r="T128" s="1608"/>
      <c r="U128" s="1608"/>
      <c r="V128" s="1608"/>
      <c r="W128" s="1608"/>
      <c r="X128" s="1608"/>
      <c r="Y128" s="1608"/>
      <c r="Z128" s="1608"/>
      <c r="AA128" s="1608"/>
    </row>
    <row r="129" spans="1:27" s="2462" customFormat="1" ht="12.75">
      <c r="A129" s="3410" t="str">
        <f>IF(项目基本情况!D5="房地产市场价值","——",MID(A116,3,LEN(A116)-2))</f>
        <v>房地产抵押价值</v>
      </c>
      <c r="B129" s="3411"/>
      <c r="C129" s="3411"/>
      <c r="D129" s="3438">
        <f>I112</f>
        <v>0</v>
      </c>
      <c r="E129" s="3449"/>
      <c r="F129" s="3449"/>
      <c r="G129" s="3449"/>
      <c r="H129" s="3449"/>
      <c r="I129" s="3451"/>
      <c r="J129" s="2710"/>
      <c r="K129" s="1608"/>
      <c r="L129" s="1608"/>
      <c r="M129" s="1608"/>
      <c r="N129" s="1608"/>
      <c r="O129" s="1608"/>
      <c r="P129" s="1608"/>
      <c r="Q129" s="1608"/>
      <c r="R129" s="1608"/>
      <c r="S129" s="1608"/>
      <c r="T129" s="1608"/>
      <c r="U129" s="1608"/>
      <c r="V129" s="1608"/>
      <c r="W129" s="1608"/>
      <c r="X129" s="1608"/>
      <c r="Y129" s="1608"/>
      <c r="Z129" s="1608"/>
      <c r="AA129" s="1608"/>
    </row>
    <row r="130" spans="1:27" s="2462" customFormat="1" ht="12.75">
      <c r="A130" s="3422" t="s">
        <v>815</v>
      </c>
      <c r="B130" s="3429"/>
      <c r="C130" s="3429"/>
      <c r="D130" s="3430" t="e">
        <f>I113</f>
        <v>#DIV/0!</v>
      </c>
      <c r="E130" s="3431"/>
      <c r="F130" s="3431"/>
      <c r="G130" s="3431"/>
      <c r="H130" s="3431"/>
      <c r="I130" s="3432"/>
      <c r="J130" s="2721"/>
      <c r="K130" s="1608"/>
      <c r="L130" s="1608"/>
      <c r="M130" s="1608"/>
      <c r="N130" s="1608"/>
      <c r="O130" s="1608"/>
      <c r="P130" s="1608"/>
      <c r="Q130" s="1608"/>
      <c r="R130" s="1608"/>
      <c r="S130" s="1608"/>
      <c r="T130" s="1608"/>
      <c r="U130" s="1608"/>
      <c r="V130" s="1608"/>
      <c r="W130" s="1608"/>
      <c r="X130" s="1608"/>
      <c r="Y130" s="1608"/>
      <c r="Z130" s="1608"/>
      <c r="AA130" s="1608"/>
    </row>
    <row r="131" spans="1:27" s="2462" customFormat="1" ht="12.75">
      <c r="A131" s="3410" t="str">
        <f>IF(项目基本情况!D5="房地产市场价值","——",MID(A118,3,LEN(A118)-2))</f>
        <v/>
      </c>
      <c r="B131" s="3411"/>
      <c r="C131" s="3411"/>
      <c r="D131" s="3433" t="str">
        <f>I114</f>
        <v>——</v>
      </c>
      <c r="E131" s="3434"/>
      <c r="F131" s="3434"/>
      <c r="G131" s="3434"/>
      <c r="H131" s="3434"/>
      <c r="I131" s="3435"/>
      <c r="J131" s="2710"/>
      <c r="K131" s="1608"/>
      <c r="L131" s="1608"/>
      <c r="M131" s="1608"/>
      <c r="N131" s="1608"/>
      <c r="O131" s="1608"/>
      <c r="P131" s="1608"/>
      <c r="Q131" s="1608"/>
      <c r="R131" s="1608"/>
      <c r="S131" s="1608"/>
      <c r="T131" s="1608"/>
      <c r="U131" s="1608"/>
      <c r="V131" s="1608"/>
      <c r="W131" s="1608"/>
      <c r="X131" s="1608"/>
      <c r="Y131" s="1608"/>
      <c r="Z131" s="1608"/>
      <c r="AA131" s="1608"/>
    </row>
    <row r="132" spans="1:27" s="2462" customFormat="1" ht="12.75">
      <c r="A132" s="3422" t="s">
        <v>815</v>
      </c>
      <c r="B132" s="3429"/>
      <c r="C132" s="3436"/>
      <c r="D132" s="3437" t="str">
        <f>I115</f>
        <v>——</v>
      </c>
      <c r="E132" s="3437"/>
      <c r="F132" s="3437"/>
      <c r="G132" s="3437"/>
      <c r="H132" s="3437"/>
      <c r="I132" s="3437"/>
      <c r="J132" s="2721"/>
      <c r="K132" s="1608"/>
      <c r="L132" s="1608"/>
      <c r="M132" s="1608"/>
      <c r="N132" s="1608"/>
      <c r="O132" s="1608"/>
      <c r="P132" s="1608"/>
      <c r="Q132" s="1608"/>
      <c r="R132" s="1608"/>
      <c r="S132" s="1608"/>
      <c r="T132" s="1608"/>
      <c r="U132" s="1608"/>
      <c r="V132" s="1608"/>
      <c r="W132" s="1608"/>
      <c r="X132" s="1608"/>
      <c r="Y132" s="1608"/>
      <c r="Z132" s="1608"/>
      <c r="AA132" s="1608"/>
    </row>
    <row r="133" spans="1:27" s="2462" customFormat="1" ht="12.75">
      <c r="A133" s="3410" t="str">
        <f>IF(项目基本情况!D5="房地产市场价值","——",MID(F116,3,LEN(F116)-2))</f>
        <v/>
      </c>
      <c r="B133" s="3411"/>
      <c r="C133" s="3438"/>
      <c r="D133" s="3439" t="str">
        <f>I116</f>
        <v>——</v>
      </c>
      <c r="E133" s="3439"/>
      <c r="F133" s="3439"/>
      <c r="G133" s="3439"/>
      <c r="H133" s="3439"/>
      <c r="I133" s="3439"/>
      <c r="J133" s="2710"/>
      <c r="K133" s="1608"/>
      <c r="L133" s="1608"/>
      <c r="M133" s="1608"/>
      <c r="N133" s="1608"/>
      <c r="O133" s="1608"/>
      <c r="P133" s="1608"/>
      <c r="Q133" s="1608"/>
      <c r="R133" s="1608"/>
      <c r="S133" s="1608"/>
      <c r="T133" s="1608"/>
      <c r="U133" s="1608"/>
      <c r="V133" s="1608"/>
      <c r="W133" s="1608"/>
      <c r="X133" s="1608"/>
      <c r="Y133" s="1608"/>
      <c r="Z133" s="1608"/>
      <c r="AA133" s="1608"/>
    </row>
    <row r="134" spans="1:27" s="2462" customFormat="1" ht="12.75">
      <c r="A134" s="3440" t="s">
        <v>815</v>
      </c>
      <c r="B134" s="3441"/>
      <c r="C134" s="3441"/>
      <c r="D134" s="3442">
        <f>H118</f>
        <v>0</v>
      </c>
      <c r="E134" s="3443"/>
      <c r="F134" s="3443"/>
      <c r="G134" s="3443"/>
      <c r="H134" s="3443"/>
      <c r="I134" s="3444"/>
      <c r="J134" s="2721"/>
      <c r="K134" s="1608"/>
      <c r="L134" s="1608"/>
      <c r="M134" s="1608"/>
      <c r="N134" s="1608"/>
      <c r="O134" s="1608"/>
      <c r="P134" s="1608"/>
      <c r="Q134" s="1608"/>
      <c r="R134" s="1608"/>
      <c r="S134" s="1608"/>
      <c r="T134" s="1608"/>
      <c r="U134" s="1608"/>
      <c r="V134" s="1608"/>
      <c r="W134" s="1608"/>
      <c r="X134" s="1608"/>
      <c r="Y134" s="1608"/>
      <c r="Z134" s="1608"/>
      <c r="AA134" s="1608"/>
    </row>
    <row r="135" spans="1:27" s="2462" customFormat="1" ht="12.75">
      <c r="A135" s="2538" t="str">
        <f>IF(H19="元","单位：平方米、元、元/平方米（币种：人民币）","单位：平方米、万元、元/平方米（币种：人民币）")</f>
        <v>单位：平方米、元、元/平方米（币种：人民币）</v>
      </c>
      <c r="B135" s="2538"/>
      <c r="C135" s="2538"/>
      <c r="D135" s="2538"/>
      <c r="E135" s="2538"/>
      <c r="F135" s="2538"/>
      <c r="G135" s="2538"/>
      <c r="H135" s="2538"/>
      <c r="I135" s="2538"/>
      <c r="J135" s="2739"/>
      <c r="K135" s="1608"/>
      <c r="L135" s="1608"/>
      <c r="M135" s="1608"/>
      <c r="N135" s="1608"/>
      <c r="O135" s="1608"/>
      <c r="P135" s="1608"/>
      <c r="Q135" s="1608"/>
      <c r="R135" s="1608"/>
      <c r="S135" s="1608"/>
      <c r="T135" s="1608"/>
      <c r="U135" s="1608"/>
      <c r="V135" s="1608"/>
      <c r="W135" s="1608"/>
      <c r="X135" s="1608"/>
      <c r="Y135" s="1608"/>
      <c r="Z135" s="1608"/>
      <c r="AA135" s="1608"/>
    </row>
    <row r="136" spans="1:27" s="2462" customFormat="1" ht="12.75">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14"/>
      <c r="K136" s="1608"/>
      <c r="L136" s="1608"/>
      <c r="M136" s="1608"/>
      <c r="N136" s="1608"/>
      <c r="O136" s="1608"/>
      <c r="P136" s="1608"/>
      <c r="Q136" s="1608"/>
      <c r="R136" s="1608"/>
      <c r="S136" s="1608"/>
      <c r="T136" s="1608"/>
      <c r="U136" s="1608"/>
      <c r="V136" s="1608"/>
      <c r="W136" s="1608"/>
      <c r="X136" s="1608"/>
      <c r="Y136" s="1608"/>
      <c r="Z136" s="1608"/>
      <c r="AA136" s="1608"/>
    </row>
    <row r="137" spans="1:27" s="2462" customFormat="1" ht="21.75" customHeight="1">
      <c r="A137" s="2722" t="s">
        <v>816</v>
      </c>
      <c r="B137" s="2723"/>
      <c r="C137" s="2724" t="s">
        <v>817</v>
      </c>
      <c r="D137" s="2725"/>
      <c r="E137" s="2725"/>
      <c r="F137" s="2725"/>
      <c r="G137" s="2725"/>
      <c r="H137" s="2726"/>
      <c r="I137" s="2740"/>
      <c r="J137" s="2741"/>
      <c r="K137" s="1608"/>
      <c r="L137" s="1608"/>
      <c r="M137" s="1608"/>
      <c r="N137" s="1608"/>
      <c r="O137" s="1608"/>
      <c r="P137" s="1608"/>
      <c r="Q137" s="1608"/>
      <c r="R137" s="1608"/>
      <c r="S137" s="1608"/>
      <c r="T137" s="1608"/>
      <c r="U137" s="1608"/>
      <c r="V137" s="1608"/>
      <c r="W137" s="1608"/>
      <c r="X137" s="1608"/>
      <c r="Y137" s="1608"/>
      <c r="Z137" s="1608"/>
      <c r="AA137" s="1608"/>
    </row>
    <row r="138" spans="1:27" s="2462" customFormat="1" ht="21.75" customHeight="1">
      <c r="A138" s="2727">
        <v>1</v>
      </c>
      <c r="B138" s="2728"/>
      <c r="C138" s="2728"/>
      <c r="D138" s="2725"/>
      <c r="E138" s="2725"/>
      <c r="F138" s="2725"/>
      <c r="G138" s="2725"/>
      <c r="H138" s="2726"/>
      <c r="I138" s="2740"/>
      <c r="J138" s="2741"/>
      <c r="K138" s="1608"/>
      <c r="L138" s="1608"/>
      <c r="M138" s="1608"/>
      <c r="N138" s="1608"/>
      <c r="O138" s="1608"/>
      <c r="P138" s="1608"/>
      <c r="Q138" s="1608"/>
      <c r="R138" s="1608"/>
      <c r="S138" s="1608"/>
      <c r="T138" s="1608"/>
      <c r="U138" s="1608"/>
      <c r="V138" s="1608"/>
      <c r="W138" s="1608"/>
      <c r="X138" s="1608"/>
      <c r="Y138" s="1608"/>
      <c r="Z138" s="1608"/>
      <c r="AA138" s="1608"/>
    </row>
    <row r="139" spans="1:27" s="2462" customFormat="1" ht="21.75" customHeight="1">
      <c r="A139" s="2727">
        <v>2</v>
      </c>
      <c r="B139" s="2728"/>
      <c r="C139" s="2728"/>
      <c r="D139" s="2725"/>
      <c r="E139" s="2725"/>
      <c r="F139" s="2725"/>
      <c r="G139" s="2725"/>
      <c r="H139" s="2726"/>
      <c r="I139" s="2740"/>
      <c r="J139" s="2741"/>
      <c r="K139" s="1608"/>
      <c r="L139" s="1608"/>
      <c r="M139" s="1608"/>
      <c r="N139" s="1608"/>
      <c r="O139" s="1608"/>
      <c r="P139" s="1608"/>
      <c r="Q139" s="1608"/>
      <c r="R139" s="1608"/>
      <c r="S139" s="1608"/>
      <c r="T139" s="1608"/>
      <c r="U139" s="1608"/>
      <c r="V139" s="1608"/>
      <c r="W139" s="1608"/>
      <c r="X139" s="1608"/>
      <c r="Y139" s="1608"/>
      <c r="Z139" s="1608"/>
      <c r="AA139" s="1608"/>
    </row>
    <row r="140" spans="1:27" s="2462" customFormat="1" ht="21.75" customHeight="1">
      <c r="A140" s="2727">
        <v>3</v>
      </c>
      <c r="B140" s="2728"/>
      <c r="C140" s="2728"/>
      <c r="D140" s="2725"/>
      <c r="E140" s="2725"/>
      <c r="F140" s="1605"/>
      <c r="G140" s="1605"/>
      <c r="H140" s="1605"/>
      <c r="I140" s="1605"/>
      <c r="J140" s="2742"/>
      <c r="K140" s="1608"/>
      <c r="L140" s="1608"/>
      <c r="M140" s="1608"/>
      <c r="N140" s="1608"/>
      <c r="O140" s="1608"/>
      <c r="P140" s="1608"/>
      <c r="Q140" s="1608"/>
      <c r="R140" s="1608"/>
      <c r="S140" s="1608"/>
      <c r="T140" s="1608"/>
      <c r="U140" s="1608"/>
      <c r="V140" s="1608"/>
      <c r="W140" s="1608"/>
      <c r="X140" s="1608"/>
      <c r="Y140" s="1608"/>
      <c r="Z140" s="1608"/>
      <c r="AA140" s="1608"/>
    </row>
    <row r="141" spans="1:27" s="2462" customFormat="1" ht="21.75" customHeight="1">
      <c r="A141" s="2729"/>
      <c r="B141" s="2730"/>
      <c r="C141" s="2730"/>
      <c r="D141" s="2731"/>
      <c r="E141" s="2731"/>
      <c r="F141" s="2731"/>
      <c r="G141" s="2731"/>
      <c r="H141" s="2732"/>
      <c r="I141" s="2743"/>
      <c r="J141" s="2741"/>
      <c r="K141" s="1608"/>
      <c r="L141" s="1608"/>
      <c r="M141" s="1608"/>
      <c r="N141" s="1608"/>
      <c r="O141" s="1608"/>
      <c r="P141" s="1608"/>
      <c r="Q141" s="1608"/>
      <c r="R141" s="1608"/>
      <c r="S141" s="1608"/>
      <c r="T141" s="1608"/>
      <c r="U141" s="1608"/>
      <c r="V141" s="1608"/>
      <c r="W141" s="1608"/>
      <c r="X141" s="1608"/>
      <c r="Y141" s="1608"/>
      <c r="Z141" s="1608"/>
      <c r="AA141" s="1608"/>
    </row>
    <row r="142" spans="1:27" s="2462" customFormat="1" ht="21.75" customHeight="1">
      <c r="A142" s="2728"/>
      <c r="B142" s="2728"/>
      <c r="C142" s="2728"/>
      <c r="D142" s="2725"/>
      <c r="E142" s="2725"/>
      <c r="F142" s="2725"/>
      <c r="G142" s="2725"/>
      <c r="H142" s="2726"/>
      <c r="I142" s="1608"/>
      <c r="J142" s="2742"/>
      <c r="K142" s="1608"/>
      <c r="L142" s="1608"/>
      <c r="M142" s="1608"/>
      <c r="N142" s="1608"/>
      <c r="O142" s="1608"/>
      <c r="P142" s="1608"/>
      <c r="Q142" s="1608"/>
      <c r="R142" s="1608"/>
      <c r="S142" s="1608"/>
      <c r="T142" s="1608"/>
      <c r="U142" s="1608"/>
      <c r="V142" s="1608"/>
      <c r="W142" s="1608"/>
      <c r="X142" s="1608"/>
      <c r="Y142" s="1608"/>
      <c r="Z142" s="1608"/>
      <c r="AA142" s="1608"/>
    </row>
    <row r="143" spans="1:27" s="2462" customFormat="1" ht="21.75" customHeight="1">
      <c r="A143" s="1608"/>
      <c r="B143" s="1608"/>
      <c r="C143" s="1608"/>
      <c r="D143" s="1608"/>
      <c r="E143" s="1608"/>
      <c r="F143" s="2733" t="s">
        <v>818</v>
      </c>
      <c r="G143" s="2734"/>
      <c r="H143" s="2734"/>
      <c r="I143" s="2744" t="s">
        <v>819</v>
      </c>
      <c r="J143" s="2745"/>
      <c r="K143" s="1608"/>
      <c r="L143" s="1608"/>
      <c r="M143" s="1608"/>
      <c r="N143" s="1608"/>
      <c r="O143" s="1608"/>
      <c r="P143" s="1608"/>
      <c r="Q143" s="1608"/>
      <c r="R143" s="1608"/>
      <c r="S143" s="1608"/>
      <c r="T143" s="1608"/>
      <c r="U143" s="1608"/>
      <c r="V143" s="1608"/>
      <c r="W143" s="1608"/>
      <c r="X143" s="1608"/>
      <c r="Y143" s="1608"/>
      <c r="Z143" s="1608"/>
      <c r="AA143" s="1608"/>
    </row>
    <row r="144" spans="1:27" s="2462" customFormat="1" ht="21.75" customHeight="1">
      <c r="A144" s="1608"/>
      <c r="B144" s="2735" t="s">
        <v>820</v>
      </c>
      <c r="C144" s="1608"/>
      <c r="D144" s="1608"/>
      <c r="E144" s="1608"/>
      <c r="F144" s="1608"/>
      <c r="G144" s="1608"/>
      <c r="H144" s="1608"/>
      <c r="I144" s="1608"/>
      <c r="J144" s="2742"/>
      <c r="K144" s="1608"/>
      <c r="L144" s="1608"/>
      <c r="M144" s="1608"/>
      <c r="N144" s="1608"/>
      <c r="O144" s="1608"/>
      <c r="P144" s="1608"/>
      <c r="Q144" s="1608"/>
      <c r="R144" s="1608"/>
      <c r="S144" s="1608"/>
      <c r="T144" s="1608"/>
      <c r="U144" s="1608"/>
      <c r="V144" s="1608"/>
      <c r="W144" s="1608"/>
      <c r="X144" s="1608"/>
      <c r="Y144" s="1608"/>
      <c r="Z144" s="1608"/>
      <c r="AA144" s="1608"/>
    </row>
    <row r="145" spans="1:27" s="2462" customFormat="1" ht="21.75" customHeight="1">
      <c r="A145" s="1608"/>
      <c r="B145" s="1608"/>
      <c r="C145" s="1608"/>
      <c r="D145" s="1608"/>
      <c r="E145" s="1608"/>
      <c r="F145" s="1608"/>
      <c r="G145" s="1608"/>
      <c r="H145" s="1608"/>
      <c r="I145" s="1608"/>
      <c r="J145" s="2742"/>
      <c r="K145" s="1608"/>
      <c r="L145" s="1608"/>
      <c r="M145" s="1608"/>
      <c r="N145" s="1608"/>
      <c r="O145" s="1608"/>
      <c r="P145" s="1608"/>
      <c r="Q145" s="1608"/>
      <c r="R145" s="1608"/>
      <c r="S145" s="1608"/>
      <c r="T145" s="1608"/>
      <c r="U145" s="1608"/>
      <c r="V145" s="1608"/>
      <c r="W145" s="1608"/>
      <c r="X145" s="1608"/>
      <c r="Y145" s="1608"/>
      <c r="Z145" s="1608"/>
      <c r="AA145" s="1608"/>
    </row>
    <row r="146" spans="1:27" s="2462" customFormat="1" ht="21.75" customHeight="1">
      <c r="A146" s="1608"/>
      <c r="B146" s="2734"/>
      <c r="C146" s="2734"/>
      <c r="D146" s="2734"/>
      <c r="E146" s="2734"/>
      <c r="F146" s="2734"/>
      <c r="G146" s="2734"/>
      <c r="H146" s="2734"/>
      <c r="I146" s="2744" t="s">
        <v>821</v>
      </c>
      <c r="J146" s="2745"/>
      <c r="K146" s="1608"/>
      <c r="L146" s="1608"/>
      <c r="M146" s="1608"/>
      <c r="N146" s="1608"/>
      <c r="O146" s="1608"/>
      <c r="P146" s="1608"/>
      <c r="Q146" s="1608"/>
      <c r="R146" s="1608"/>
      <c r="S146" s="1608"/>
      <c r="T146" s="1608"/>
      <c r="U146" s="1608"/>
      <c r="V146" s="1608"/>
      <c r="W146" s="1608"/>
      <c r="X146" s="1608"/>
      <c r="Y146" s="1608"/>
      <c r="Z146" s="1608"/>
      <c r="AA146" s="1608"/>
    </row>
    <row r="147" spans="1:27" s="2462" customFormat="1" ht="21.75" customHeight="1">
      <c r="A147" s="1608"/>
      <c r="B147" s="2735" t="s">
        <v>822</v>
      </c>
      <c r="C147" s="1608"/>
      <c r="D147" s="1608"/>
      <c r="E147" s="1608"/>
      <c r="F147" s="1608"/>
      <c r="G147" s="1608"/>
      <c r="H147" s="1608"/>
      <c r="I147" s="1608"/>
      <c r="J147" s="2742"/>
      <c r="K147" s="1608"/>
      <c r="L147" s="1608"/>
      <c r="M147" s="1608"/>
      <c r="N147" s="1608"/>
      <c r="O147" s="1608"/>
      <c r="P147" s="1608"/>
      <c r="Q147" s="1608"/>
      <c r="R147" s="1608"/>
      <c r="S147" s="1608"/>
      <c r="T147" s="1608"/>
      <c r="U147" s="1608"/>
      <c r="V147" s="1608"/>
      <c r="W147" s="1608"/>
      <c r="X147" s="1608"/>
      <c r="Y147" s="1608"/>
      <c r="Z147" s="1608"/>
      <c r="AA147" s="1608"/>
    </row>
    <row r="148" spans="1:27" s="2462" customFormat="1" ht="21.75" customHeight="1">
      <c r="A148" s="1608"/>
      <c r="B148" s="2735"/>
      <c r="C148" s="1608"/>
      <c r="D148" s="1608"/>
      <c r="E148" s="1608"/>
      <c r="F148" s="1608"/>
      <c r="G148" s="1608"/>
      <c r="H148" s="1608"/>
      <c r="I148" s="1608"/>
      <c r="J148" s="2742"/>
      <c r="K148" s="1608"/>
      <c r="L148" s="1608"/>
      <c r="M148" s="1608"/>
      <c r="N148" s="1608"/>
      <c r="O148" s="1608"/>
      <c r="P148" s="1608"/>
      <c r="Q148" s="1608"/>
      <c r="R148" s="1608"/>
      <c r="S148" s="1608"/>
      <c r="T148" s="1608"/>
      <c r="U148" s="1608"/>
      <c r="V148" s="1608"/>
      <c r="W148" s="1608"/>
      <c r="X148" s="1608"/>
      <c r="Y148" s="1608"/>
      <c r="Z148" s="1608"/>
      <c r="AA148" s="1608"/>
    </row>
    <row r="149" spans="1:27" s="2462" customFormat="1" ht="21.75" customHeight="1">
      <c r="A149" s="1608"/>
      <c r="B149" s="2734"/>
      <c r="C149" s="2734"/>
      <c r="D149" s="2734"/>
      <c r="E149" s="2734"/>
      <c r="F149" s="2734"/>
      <c r="G149" s="2734"/>
      <c r="H149" s="2734"/>
      <c r="I149" s="2744" t="s">
        <v>821</v>
      </c>
      <c r="J149" s="2745"/>
      <c r="K149" s="1608"/>
      <c r="L149" s="1608"/>
      <c r="M149" s="1608"/>
      <c r="N149" s="1608"/>
      <c r="O149" s="1608"/>
      <c r="P149" s="1608"/>
      <c r="Q149" s="1608"/>
      <c r="R149" s="1608"/>
      <c r="S149" s="1608"/>
      <c r="T149" s="1608"/>
      <c r="U149" s="1608"/>
      <c r="V149" s="1608"/>
      <c r="W149" s="1608"/>
      <c r="X149" s="1608"/>
      <c r="Y149" s="1608"/>
      <c r="Z149" s="1608"/>
      <c r="AA149" s="1608"/>
    </row>
    <row r="150" spans="1:27" s="2462" customFormat="1" ht="21.75" customHeight="1">
      <c r="A150" s="1608"/>
      <c r="B150" s="2735"/>
      <c r="C150" s="2736"/>
      <c r="D150" s="2737"/>
      <c r="E150" s="2737"/>
      <c r="F150" s="2738"/>
      <c r="G150" s="1608"/>
      <c r="H150" s="1608"/>
      <c r="I150" s="1608"/>
      <c r="J150" s="2742"/>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35"/>
      <c r="C151" s="2736"/>
      <c r="D151" s="2737"/>
      <c r="E151" s="2737"/>
      <c r="J151" s="2742"/>
    </row>
    <row r="152" spans="1:27" s="1608" customFormat="1" ht="21.75" customHeight="1">
      <c r="J152" s="2742"/>
    </row>
    <row r="153" spans="1:27" s="1608" customFormat="1" ht="21.75" customHeight="1">
      <c r="J153" s="2742"/>
    </row>
    <row r="154" spans="1:27" s="1608" customFormat="1" ht="21.75" customHeight="1">
      <c r="J154" s="2742"/>
    </row>
    <row r="155" spans="1:27" s="1608" customFormat="1" ht="21.75" customHeight="1">
      <c r="J155" s="2742"/>
    </row>
    <row r="156" spans="1:27" s="1608" customFormat="1" ht="21.75" customHeight="1">
      <c r="J156" s="2742"/>
    </row>
    <row r="157" spans="1:27" s="1608" customFormat="1" ht="21.75" customHeight="1">
      <c r="J157" s="2742"/>
    </row>
    <row r="158" spans="1:27" s="1608" customFormat="1" ht="21.75" customHeight="1">
      <c r="J158" s="2742"/>
    </row>
    <row r="159" spans="1:27" s="1608" customFormat="1" ht="21.75" customHeight="1">
      <c r="J159" s="2742"/>
    </row>
    <row r="160" spans="1:27" s="1608" customFormat="1" ht="21.75" customHeight="1">
      <c r="J160" s="2742"/>
    </row>
    <row r="161" spans="10:10" s="1608" customFormat="1" ht="21.75" customHeight="1">
      <c r="J161" s="2742"/>
    </row>
    <row r="162" spans="10:10" s="1608" customFormat="1" ht="21.75" customHeight="1">
      <c r="J162" s="2742"/>
    </row>
    <row r="163" spans="10:10" s="1608" customFormat="1" ht="21.75" customHeight="1">
      <c r="J163" s="2742"/>
    </row>
    <row r="164" spans="10:10" s="1608" customFormat="1" ht="21.75" customHeight="1">
      <c r="J164" s="2742"/>
    </row>
    <row r="165" spans="10:10" s="1608" customFormat="1" ht="21.75" customHeight="1">
      <c r="J165" s="2742"/>
    </row>
    <row r="166" spans="10:10" s="1608" customFormat="1" ht="21.75" customHeight="1">
      <c r="J166" s="2742"/>
    </row>
    <row r="167" spans="10:10" s="1608" customFormat="1" ht="21.75" customHeight="1">
      <c r="J167" s="2742"/>
    </row>
    <row r="168" spans="10:10" s="1608" customFormat="1" ht="21.75" customHeight="1">
      <c r="J168" s="2742"/>
    </row>
    <row r="169" spans="10:10" s="1608" customFormat="1" ht="21.75" customHeight="1">
      <c r="J169" s="2742"/>
    </row>
    <row r="170" spans="10:10" s="1608" customFormat="1" ht="21.75" customHeight="1">
      <c r="J170" s="2742"/>
    </row>
    <row r="171" spans="10:10" s="1608" customFormat="1" ht="21.75" customHeight="1">
      <c r="J171" s="2742"/>
    </row>
    <row r="172" spans="10:10" s="1608" customFormat="1" ht="21.75" customHeight="1">
      <c r="J172" s="2742"/>
    </row>
    <row r="173" spans="10:10" s="1608" customFormat="1" ht="21.75" customHeight="1">
      <c r="J173" s="2742"/>
    </row>
    <row r="174" spans="10:10" s="1608" customFormat="1" ht="21.75" customHeight="1">
      <c r="J174" s="2742"/>
    </row>
    <row r="175" spans="10:10" s="1608" customFormat="1" ht="21.75" customHeight="1">
      <c r="J175" s="2742"/>
    </row>
    <row r="176" spans="10:10" s="1608" customFormat="1" ht="21.75" customHeight="1">
      <c r="J176" s="2742"/>
    </row>
    <row r="177" spans="10:10" s="1608" customFormat="1" ht="21.75" customHeight="1">
      <c r="J177" s="2742"/>
    </row>
    <row r="178" spans="10:10" s="1608" customFormat="1" ht="21.75" customHeight="1">
      <c r="J178" s="2742"/>
    </row>
    <row r="179" spans="10:10" s="1608" customFormat="1" ht="21.75" customHeight="1">
      <c r="J179" s="2742"/>
    </row>
    <row r="180" spans="10:10" s="1608" customFormat="1" ht="21.75" customHeight="1">
      <c r="J180" s="2742"/>
    </row>
    <row r="181" spans="10:10" s="1608" customFormat="1" ht="21.75" customHeight="1">
      <c r="J181" s="2742"/>
    </row>
    <row r="182" spans="10:10" s="1608" customFormat="1" ht="21.75" customHeight="1">
      <c r="J182" s="2742"/>
    </row>
    <row r="183" spans="10:10" s="1608" customFormat="1" ht="21.75" customHeight="1">
      <c r="J183" s="2742"/>
    </row>
    <row r="184" spans="10:10" s="1608" customFormat="1" ht="21.75" customHeight="1">
      <c r="J184" s="2742"/>
    </row>
    <row r="185" spans="10:10" s="1608" customFormat="1" ht="21.75" customHeight="1">
      <c r="J185" s="2742"/>
    </row>
    <row r="186" spans="10:10" s="1608" customFormat="1" ht="21.75" customHeight="1">
      <c r="J186" s="2742"/>
    </row>
    <row r="187" spans="10:10" s="1608" customFormat="1" ht="21.75" customHeight="1">
      <c r="J187" s="2742"/>
    </row>
    <row r="188" spans="10:10" s="1608" customFormat="1" ht="21.75" customHeight="1">
      <c r="J188" s="2742"/>
    </row>
    <row r="189" spans="10:10" s="1608" customFormat="1" ht="21.75" customHeight="1">
      <c r="J189" s="2742"/>
    </row>
    <row r="190" spans="10:10" s="1608" customFormat="1" ht="21.75" customHeight="1">
      <c r="J190" s="2742"/>
    </row>
    <row r="191" spans="10:10" s="1608" customFormat="1" ht="21.75" customHeight="1">
      <c r="J191" s="2742"/>
    </row>
    <row r="192" spans="10:10" s="1608" customFormat="1" ht="21.75" customHeight="1">
      <c r="J192" s="2742"/>
    </row>
    <row r="193" spans="10:10" s="1608" customFormat="1" ht="21.75" customHeight="1">
      <c r="J193" s="2742"/>
    </row>
    <row r="194" spans="10:10" s="1608" customFormat="1" ht="21.75" customHeight="1">
      <c r="J194" s="2742"/>
    </row>
    <row r="195" spans="10:10" s="1608" customFormat="1" ht="21.75" customHeight="1">
      <c r="J195" s="2742"/>
    </row>
    <row r="196" spans="10:10" s="1608" customFormat="1" ht="21.75" customHeight="1">
      <c r="J196" s="2742"/>
    </row>
    <row r="197" spans="10:10" s="1608" customFormat="1" ht="21.75" customHeight="1">
      <c r="J197" s="2742"/>
    </row>
    <row r="198" spans="10:10" s="1608" customFormat="1" ht="21.75" customHeight="1">
      <c r="J198" s="2742"/>
    </row>
    <row r="199" spans="10:10" s="1608" customFormat="1" ht="21.75" customHeight="1">
      <c r="J199" s="2742"/>
    </row>
    <row r="200" spans="10:10" s="1608" customFormat="1" ht="21.75" customHeight="1">
      <c r="J200" s="2742"/>
    </row>
    <row r="201" spans="10:10" s="1608" customFormat="1" ht="21.75" customHeight="1">
      <c r="J201" s="2742"/>
    </row>
    <row r="202" spans="10:10" s="1608" customFormat="1" ht="21.75" customHeight="1">
      <c r="J202" s="2742"/>
    </row>
    <row r="203" spans="10:10" s="1608" customFormat="1" ht="21.75" customHeight="1">
      <c r="J203" s="2742"/>
    </row>
    <row r="204" spans="10:10" s="1608" customFormat="1" ht="21.75" customHeight="1">
      <c r="J204" s="2742"/>
    </row>
    <row r="205" spans="10:10" s="1608" customFormat="1" ht="21.75" customHeight="1">
      <c r="J205" s="2742"/>
    </row>
    <row r="206" spans="10:10" s="1608" customFormat="1" ht="21.75" customHeight="1">
      <c r="J206" s="2742"/>
    </row>
    <row r="207" spans="10:10" s="1608" customFormat="1" ht="21.75" customHeight="1">
      <c r="J207" s="2742"/>
    </row>
    <row r="208" spans="10:10" s="1608" customFormat="1" ht="21.75" customHeight="1">
      <c r="J208" s="2742"/>
    </row>
    <row r="209" spans="10:10" s="1608" customFormat="1" ht="21.75" customHeight="1">
      <c r="J209" s="2742"/>
    </row>
    <row r="210" spans="10:10" s="1608" customFormat="1" ht="21.75" customHeight="1">
      <c r="J210" s="2742"/>
    </row>
    <row r="211" spans="10:10" s="1608" customFormat="1" ht="21.75" customHeight="1">
      <c r="J211" s="2742"/>
    </row>
    <row r="212" spans="10:10" s="1608" customFormat="1" ht="21.75" customHeight="1">
      <c r="J212" s="2742"/>
    </row>
    <row r="213" spans="10:10" s="1608" customFormat="1" ht="21.75" customHeight="1">
      <c r="J213" s="2742"/>
    </row>
    <row r="214" spans="10:10" s="1608" customFormat="1" ht="21.75" customHeight="1">
      <c r="J214" s="2742"/>
    </row>
    <row r="215" spans="10:10" s="1608" customFormat="1" ht="21.75" customHeight="1">
      <c r="J215" s="2742"/>
    </row>
    <row r="216" spans="10:10" s="1608" customFormat="1" ht="21.75" customHeight="1">
      <c r="J216" s="2742"/>
    </row>
    <row r="217" spans="10:10" s="1608" customFormat="1" ht="21.75" customHeight="1">
      <c r="J217" s="2742"/>
    </row>
    <row r="218" spans="10:10" s="1608" customFormat="1" ht="21.75" customHeight="1">
      <c r="J218" s="2742"/>
    </row>
    <row r="219" spans="10:10" s="1608" customFormat="1" ht="21.75" customHeight="1">
      <c r="J219" s="2742"/>
    </row>
    <row r="220" spans="10:10" s="1608" customFormat="1" ht="21.75" customHeight="1">
      <c r="J220" s="2742"/>
    </row>
    <row r="221" spans="10:10" s="1608" customFormat="1" ht="21.75" customHeight="1">
      <c r="J221" s="2742"/>
    </row>
    <row r="222" spans="10:10" s="1608" customFormat="1" ht="21.75" customHeight="1">
      <c r="J222" s="2742"/>
    </row>
    <row r="223" spans="10:10" s="1608" customFormat="1" ht="21.75" customHeight="1">
      <c r="J223" s="2742"/>
    </row>
    <row r="224" spans="10:10" s="1608" customFormat="1" ht="21.75" customHeight="1">
      <c r="J224" s="2742"/>
    </row>
    <row r="225" spans="10:10" s="1608" customFormat="1" ht="21.75" customHeight="1">
      <c r="J225" s="2742"/>
    </row>
    <row r="226" spans="10:10" s="1608" customFormat="1" ht="21.75" customHeight="1">
      <c r="J226" s="2742"/>
    </row>
    <row r="227" spans="10:10" s="1608" customFormat="1" ht="21.75" customHeight="1">
      <c r="J227" s="2742"/>
    </row>
    <row r="228" spans="10:10" s="1608" customFormat="1" ht="21.75" customHeight="1">
      <c r="J228" s="2742"/>
    </row>
    <row r="229" spans="10:10" s="1608" customFormat="1" ht="21.75" customHeight="1">
      <c r="J229" s="2742"/>
    </row>
    <row r="230" spans="10:10" s="1608" customFormat="1" ht="21.75" customHeight="1">
      <c r="J230" s="2742"/>
    </row>
    <row r="231" spans="10:10" s="1608" customFormat="1" ht="21.75" customHeight="1">
      <c r="J231" s="2742"/>
    </row>
    <row r="232" spans="10:10" s="1608" customFormat="1" ht="21.75" customHeight="1">
      <c r="J232" s="2742"/>
    </row>
    <row r="233" spans="10:10" s="1608" customFormat="1" ht="21.75" customHeight="1">
      <c r="J233" s="2742"/>
    </row>
    <row r="234" spans="10:10" s="1608" customFormat="1" ht="21.75" customHeight="1">
      <c r="J234" s="2742"/>
    </row>
    <row r="235" spans="10:10" s="1608" customFormat="1" ht="21.75" customHeight="1">
      <c r="J235" s="2742"/>
    </row>
    <row r="236" spans="10:10" s="1608" customFormat="1" ht="21.75" customHeight="1">
      <c r="J236" s="2742"/>
    </row>
    <row r="237" spans="10:10" s="1608" customFormat="1" ht="21.75" customHeight="1">
      <c r="J237" s="2742"/>
    </row>
    <row r="238" spans="10:10" s="1608" customFormat="1" ht="21.75" customHeight="1">
      <c r="J238" s="2742"/>
    </row>
    <row r="239" spans="10:10" s="1608" customFormat="1" ht="21.75" customHeight="1">
      <c r="J239" s="2742"/>
    </row>
    <row r="240" spans="10:10" s="1608" customFormat="1" ht="21.75" customHeight="1">
      <c r="J240" s="2742"/>
    </row>
    <row r="241" spans="10:10" s="1608" customFormat="1" ht="21.75" customHeight="1">
      <c r="J241" s="2742"/>
    </row>
    <row r="242" spans="10:10" s="1608" customFormat="1" ht="21.75" customHeight="1">
      <c r="J242" s="2742"/>
    </row>
    <row r="243" spans="10:10" s="1608" customFormat="1" ht="21.75" customHeight="1">
      <c r="J243" s="2742"/>
    </row>
    <row r="244" spans="10:10" s="1608" customFormat="1" ht="21.75" customHeight="1">
      <c r="J244" s="2742"/>
    </row>
    <row r="245" spans="10:10" s="1608" customFormat="1" ht="21.75" customHeight="1">
      <c r="J245" s="2742"/>
    </row>
    <row r="246" spans="10:10" s="1608" customFormat="1" ht="21.75" customHeight="1">
      <c r="J246" s="2742"/>
    </row>
    <row r="247" spans="10:10" s="1608" customFormat="1" ht="21.75" customHeight="1">
      <c r="J247" s="2742"/>
    </row>
    <row r="248" spans="10:10" s="1608" customFormat="1" ht="21.75" customHeight="1">
      <c r="J248" s="2742"/>
    </row>
    <row r="249" spans="10:10" s="1608" customFormat="1" ht="21.75" customHeight="1">
      <c r="J249" s="2742"/>
    </row>
    <row r="250" spans="10:10" s="1608" customFormat="1" ht="21.75" customHeight="1">
      <c r="J250" s="2742"/>
    </row>
    <row r="251" spans="10:10" s="1608" customFormat="1" ht="21.75" customHeight="1">
      <c r="J251" s="2742"/>
    </row>
    <row r="252" spans="10:10" s="1608" customFormat="1" ht="21.75" customHeight="1">
      <c r="J252" s="2742"/>
    </row>
    <row r="253" spans="10:10" s="1608" customFormat="1" ht="21.75" customHeight="1">
      <c r="J253" s="2742"/>
    </row>
    <row r="254" spans="10:10" s="1608" customFormat="1" ht="21.75" customHeight="1">
      <c r="J254" s="2742"/>
    </row>
    <row r="255" spans="10:10" s="1608" customFormat="1" ht="21.75" customHeight="1">
      <c r="J255" s="2742"/>
    </row>
    <row r="256" spans="10:10" s="1608" customFormat="1" ht="21.75" customHeight="1">
      <c r="J256" s="2742"/>
    </row>
    <row r="257" spans="10:10" s="1608" customFormat="1" ht="21.75" customHeight="1">
      <c r="J257" s="2742"/>
    </row>
    <row r="258" spans="10:10" s="1608" customFormat="1" ht="21.75" customHeight="1">
      <c r="J258" s="2742"/>
    </row>
    <row r="259" spans="10:10" s="1608" customFormat="1" ht="21.75" customHeight="1">
      <c r="J259" s="2742"/>
    </row>
    <row r="260" spans="10:10" s="1608" customFormat="1" ht="21.75" customHeight="1">
      <c r="J260" s="2742"/>
    </row>
    <row r="261" spans="10:10" s="1608" customFormat="1" ht="21.75" customHeight="1">
      <c r="J261" s="2742"/>
    </row>
    <row r="262" spans="10:10" s="1608" customFormat="1" ht="21.75" customHeight="1">
      <c r="J262" s="2742"/>
    </row>
    <row r="263" spans="10:10" s="1608" customFormat="1" ht="21.75" customHeight="1">
      <c r="J263" s="2742"/>
    </row>
    <row r="264" spans="10:10" s="1608" customFormat="1" ht="21.75" customHeight="1">
      <c r="J264" s="2742"/>
    </row>
    <row r="265" spans="10:10" s="1608" customFormat="1" ht="21.75" customHeight="1">
      <c r="J265" s="2742"/>
    </row>
    <row r="266" spans="10:10" s="1608" customFormat="1" ht="21.75" customHeight="1">
      <c r="J266" s="2742"/>
    </row>
    <row r="267" spans="10:10" s="1608" customFormat="1" ht="21.75" customHeight="1">
      <c r="J267" s="2742"/>
    </row>
    <row r="268" spans="10:10" s="1608" customFormat="1" ht="21.75" customHeight="1">
      <c r="J268" s="2742"/>
    </row>
    <row r="269" spans="10:10" s="1608" customFormat="1" ht="21.75" customHeight="1">
      <c r="J269" s="2742"/>
    </row>
    <row r="270" spans="10:10" s="1608" customFormat="1" ht="21.75" customHeight="1">
      <c r="J270" s="2742"/>
    </row>
    <row r="271" spans="10:10" s="1608" customFormat="1" ht="21.75" customHeight="1">
      <c r="J271" s="2742"/>
    </row>
    <row r="272" spans="10:10" s="1608" customFormat="1" ht="21.75" customHeight="1">
      <c r="J272" s="2742"/>
    </row>
    <row r="273" spans="10:10" s="1608" customFormat="1" ht="21.75" customHeight="1">
      <c r="J273" s="2742"/>
    </row>
    <row r="274" spans="10:10" s="1608" customFormat="1" ht="21.75" customHeight="1">
      <c r="J274" s="2742"/>
    </row>
    <row r="275" spans="10:10" s="1608" customFormat="1" ht="21.75" customHeight="1">
      <c r="J275" s="2742"/>
    </row>
    <row r="276" spans="10:10" s="1608" customFormat="1" ht="21.75" customHeight="1">
      <c r="J276" s="2742"/>
    </row>
    <row r="277" spans="10:10" s="1608" customFormat="1" ht="21.75" customHeight="1">
      <c r="J277" s="2742"/>
    </row>
    <row r="278" spans="10:10" s="1608" customFormat="1" ht="21.75" customHeight="1">
      <c r="J278" s="2742"/>
    </row>
    <row r="279" spans="10:10" s="1608" customFormat="1" ht="21.75" customHeight="1">
      <c r="J279" s="2742"/>
    </row>
    <row r="280" spans="10:10" s="1608" customFormat="1" ht="21.75" customHeight="1">
      <c r="J280" s="2742"/>
    </row>
    <row r="281" spans="10:10" s="1608" customFormat="1" ht="21.75" customHeight="1">
      <c r="J281" s="2742"/>
    </row>
    <row r="282" spans="10:10" s="1608" customFormat="1" ht="21.75" customHeight="1">
      <c r="J282" s="2742"/>
    </row>
    <row r="283" spans="10:10" s="1608" customFormat="1" ht="21.75" customHeight="1">
      <c r="J283" s="2742"/>
    </row>
    <row r="284" spans="10:10" s="1608" customFormat="1" ht="21.75" customHeight="1">
      <c r="J284" s="2742"/>
    </row>
    <row r="285" spans="10:10" s="1608" customFormat="1" ht="21.75" customHeight="1">
      <c r="J285" s="2742"/>
    </row>
    <row r="286" spans="10:10" s="1608" customFormat="1" ht="21.75" customHeight="1">
      <c r="J286" s="2742"/>
    </row>
    <row r="287" spans="10:10" s="1608" customFormat="1" ht="21.75" customHeight="1">
      <c r="J287" s="2742"/>
    </row>
    <row r="288" spans="10:10" s="1608" customFormat="1" ht="21.75" customHeight="1">
      <c r="J288" s="2742"/>
    </row>
    <row r="289" spans="10:10" s="1608" customFormat="1" ht="21.75" customHeight="1">
      <c r="J289" s="2742"/>
    </row>
    <row r="290" spans="10:10" s="1608" customFormat="1" ht="21.75" customHeight="1">
      <c r="J290" s="2742"/>
    </row>
    <row r="291" spans="10:10" s="1608" customFormat="1" ht="21.75" customHeight="1">
      <c r="J291" s="2742"/>
    </row>
    <row r="292" spans="10:10" s="1608" customFormat="1" ht="21.75" customHeight="1">
      <c r="J292" s="2742"/>
    </row>
    <row r="293" spans="10:10" s="1608" customFormat="1" ht="21.75" customHeight="1">
      <c r="J293" s="2742"/>
    </row>
    <row r="294" spans="10:10" s="1608" customFormat="1" ht="21.75" customHeight="1">
      <c r="J294" s="2742"/>
    </row>
    <row r="295" spans="10:10" s="1608" customFormat="1" ht="21.75" customHeight="1">
      <c r="J295" s="2742"/>
    </row>
    <row r="296" spans="10:10" s="1608" customFormat="1" ht="21.75" customHeight="1">
      <c r="J296" s="2742"/>
    </row>
    <row r="297" spans="10:10" s="1608" customFormat="1" ht="21.75" customHeight="1">
      <c r="J297" s="2742"/>
    </row>
    <row r="298" spans="10:10" s="1608" customFormat="1" ht="21.75" customHeight="1">
      <c r="J298" s="2742"/>
    </row>
    <row r="299" spans="10:10" s="1608" customFormat="1" ht="21.75" customHeight="1">
      <c r="J299" s="2742"/>
    </row>
    <row r="300" spans="10:10" s="1608" customFormat="1" ht="21.75" customHeight="1">
      <c r="J300" s="2742"/>
    </row>
    <row r="301" spans="10:10" s="1608" customFormat="1" ht="21.75" customHeight="1">
      <c r="J301" s="2742"/>
    </row>
    <row r="302" spans="10:10" s="1608" customFormat="1" ht="21.75" customHeight="1">
      <c r="J302" s="2742"/>
    </row>
    <row r="303" spans="10:10" s="1608" customFormat="1" ht="21.75" customHeight="1">
      <c r="J303" s="2742"/>
    </row>
    <row r="304" spans="10:10" s="1608" customFormat="1" ht="21.75" customHeight="1">
      <c r="J304" s="2742"/>
    </row>
    <row r="305" spans="10:10" s="1608" customFormat="1" ht="21.75" customHeight="1">
      <c r="J305" s="2742"/>
    </row>
    <row r="306" spans="10:10" s="1608" customFormat="1" ht="21.75" customHeight="1">
      <c r="J306" s="2742"/>
    </row>
    <row r="307" spans="10:10" s="1608" customFormat="1" ht="21.75" customHeight="1">
      <c r="J307" s="2742"/>
    </row>
    <row r="308" spans="10:10" s="1608" customFormat="1" ht="21.75" customHeight="1">
      <c r="J308" s="2742"/>
    </row>
    <row r="309" spans="10:10" s="1608" customFormat="1" ht="21.75" customHeight="1">
      <c r="J309" s="2742"/>
    </row>
    <row r="310" spans="10:10" s="1608" customFormat="1" ht="21.75" customHeight="1">
      <c r="J310" s="2742"/>
    </row>
    <row r="311" spans="10:10" s="1608" customFormat="1" ht="21.75" customHeight="1">
      <c r="J311" s="2742"/>
    </row>
    <row r="312" spans="10:10" s="1608" customFormat="1" ht="21.75" customHeight="1">
      <c r="J312" s="2742"/>
    </row>
    <row r="313" spans="10:10" s="1608" customFormat="1" ht="21.75" customHeight="1">
      <c r="J313" s="2742"/>
    </row>
    <row r="314" spans="10:10" s="1608" customFormat="1" ht="21.75" customHeight="1">
      <c r="J314" s="2742"/>
    </row>
    <row r="315" spans="10:10" s="1608" customFormat="1" ht="21.75" customHeight="1">
      <c r="J315" s="2742"/>
    </row>
    <row r="316" spans="10:10" s="1608" customFormat="1" ht="21.75" customHeight="1">
      <c r="J316" s="2742"/>
    </row>
    <row r="317" spans="10:10" s="1608" customFormat="1" ht="21.75" customHeight="1">
      <c r="J317" s="2742"/>
    </row>
    <row r="318" spans="10:10" s="1608" customFormat="1" ht="21.75" customHeight="1">
      <c r="J318" s="2742"/>
    </row>
    <row r="319" spans="10:10" s="1608" customFormat="1" ht="21.75" customHeight="1">
      <c r="J319" s="2742"/>
    </row>
    <row r="320" spans="10:10" s="1608" customFormat="1" ht="21.75" customHeight="1">
      <c r="J320" s="2742"/>
    </row>
    <row r="321" spans="10:10" s="1608" customFormat="1" ht="21.75" customHeight="1">
      <c r="J321" s="2742"/>
    </row>
    <row r="322" spans="10:10" s="1608" customFormat="1" ht="21.75" customHeight="1">
      <c r="J322" s="2742"/>
    </row>
    <row r="323" spans="10:10" s="1608" customFormat="1" ht="21.75" customHeight="1">
      <c r="J323" s="2742"/>
    </row>
    <row r="324" spans="10:10" s="1608" customFormat="1" ht="21.75" customHeight="1">
      <c r="J324" s="2742"/>
    </row>
    <row r="325" spans="10:10" s="1608" customFormat="1" ht="21.75" customHeight="1">
      <c r="J325" s="2742"/>
    </row>
    <row r="326" spans="10:10" s="1608" customFormat="1" ht="21.75" customHeight="1">
      <c r="J326" s="2742"/>
    </row>
    <row r="327" spans="10:10" s="1608" customFormat="1" ht="21.75" customHeight="1">
      <c r="J327" s="2742"/>
    </row>
    <row r="328" spans="10:10" s="1608" customFormat="1" ht="21.75" customHeight="1">
      <c r="J328" s="2742"/>
    </row>
    <row r="329" spans="10:10" s="1608" customFormat="1" ht="21.75" customHeight="1">
      <c r="J329" s="2742"/>
    </row>
    <row r="330" spans="10:10" s="1608" customFormat="1" ht="21.75" customHeight="1">
      <c r="J330" s="2742"/>
    </row>
    <row r="331" spans="10:10" s="1608" customFormat="1" ht="21.75" customHeight="1">
      <c r="J331" s="2742"/>
    </row>
    <row r="332" spans="10:10" s="1608" customFormat="1" ht="21.75" customHeight="1">
      <c r="J332" s="2742"/>
    </row>
    <row r="333" spans="10:10" s="1608" customFormat="1" ht="21.75" customHeight="1">
      <c r="J333" s="2742"/>
    </row>
    <row r="334" spans="10:10" s="1608" customFormat="1" ht="21.75" customHeight="1">
      <c r="J334" s="2742"/>
    </row>
    <row r="335" spans="10:10" s="1608" customFormat="1" ht="21.75" customHeight="1">
      <c r="J335" s="2742"/>
    </row>
    <row r="336" spans="10:10" s="1608" customFormat="1" ht="21.75" customHeight="1">
      <c r="J336" s="2742"/>
    </row>
    <row r="337" spans="10:10" s="1608" customFormat="1" ht="21.75" customHeight="1">
      <c r="J337" s="2742"/>
    </row>
    <row r="338" spans="10:10" s="1608" customFormat="1" ht="21.75" customHeight="1">
      <c r="J338" s="2742"/>
    </row>
    <row r="339" spans="10:10" s="1608" customFormat="1" ht="21.75" customHeight="1">
      <c r="J339" s="2742"/>
    </row>
    <row r="340" spans="10:10" s="1608" customFormat="1" ht="21.75" customHeight="1">
      <c r="J340" s="2742"/>
    </row>
    <row r="341" spans="10:10" s="1608" customFormat="1" ht="21.75" customHeight="1">
      <c r="J341" s="2742"/>
    </row>
    <row r="342" spans="10:10" s="1608" customFormat="1" ht="21.75" customHeight="1">
      <c r="J342" s="2742"/>
    </row>
    <row r="343" spans="10:10" s="1608" customFormat="1" ht="21.75" customHeight="1">
      <c r="J343" s="2742"/>
    </row>
    <row r="344" spans="10:10" s="1608" customFormat="1" ht="21.75" customHeight="1">
      <c r="J344" s="2742"/>
    </row>
    <row r="345" spans="10:10" s="1608" customFormat="1" ht="21.75" customHeight="1">
      <c r="J345" s="2742"/>
    </row>
    <row r="346" spans="10:10" s="1608" customFormat="1" ht="21.75" customHeight="1">
      <c r="J346" s="2742"/>
    </row>
    <row r="347" spans="10:10" s="1608" customFormat="1" ht="21.75" customHeight="1">
      <c r="J347" s="2742"/>
    </row>
    <row r="348" spans="10:10" s="1608" customFormat="1" ht="21.75" customHeight="1">
      <c r="J348" s="2742"/>
    </row>
    <row r="349" spans="10:10" s="1608" customFormat="1" ht="21.75" customHeight="1">
      <c r="J349" s="2742"/>
    </row>
    <row r="350" spans="10:10" s="1608" customFormat="1" ht="21.75" customHeight="1">
      <c r="J350" s="2742"/>
    </row>
    <row r="351" spans="10:10" s="1608" customFormat="1" ht="21.75" customHeight="1">
      <c r="J351" s="2742"/>
    </row>
    <row r="352" spans="10:10" s="1608" customFormat="1" ht="21.75" customHeight="1">
      <c r="J352" s="2742"/>
    </row>
    <row r="353" spans="10:10" s="1608" customFormat="1" ht="21.75" customHeight="1">
      <c r="J353" s="2742"/>
    </row>
    <row r="354" spans="10:10" s="1608" customFormat="1" ht="21.75" customHeight="1">
      <c r="J354" s="2742"/>
    </row>
    <row r="355" spans="10:10" s="1608" customFormat="1" ht="21.75" customHeight="1">
      <c r="J355" s="2742"/>
    </row>
    <row r="356" spans="10:10" s="1608" customFormat="1" ht="21.75" customHeight="1">
      <c r="J356" s="2742"/>
    </row>
    <row r="357" spans="10:10" s="1608" customFormat="1" ht="21.75" customHeight="1">
      <c r="J357" s="2742"/>
    </row>
    <row r="358" spans="10:10" s="1608" customFormat="1" ht="21.75" customHeight="1">
      <c r="J358" s="2742"/>
    </row>
    <row r="359" spans="10:10" s="1608" customFormat="1" ht="21.75" customHeight="1">
      <c r="J359" s="2742"/>
    </row>
    <row r="360" spans="10:10" s="1608" customFormat="1" ht="21.75" customHeight="1">
      <c r="J360" s="2742"/>
    </row>
    <row r="361" spans="10:10" s="1608" customFormat="1" ht="21.75" customHeight="1">
      <c r="J361" s="2742"/>
    </row>
    <row r="362" spans="10:10" s="1608" customFormat="1" ht="21.75" customHeight="1">
      <c r="J362" s="2742"/>
    </row>
    <row r="363" spans="10:10" s="1608" customFormat="1" ht="21.75" customHeight="1">
      <c r="J363" s="2742"/>
    </row>
    <row r="364" spans="10:10" s="1608" customFormat="1" ht="21.75" customHeight="1">
      <c r="J364" s="2742"/>
    </row>
    <row r="365" spans="10:10" s="1608" customFormat="1" ht="21.75" customHeight="1">
      <c r="J365" s="2742"/>
    </row>
    <row r="366" spans="10:10" s="1608" customFormat="1" ht="21.75" customHeight="1">
      <c r="J366" s="2742"/>
    </row>
    <row r="367" spans="10:10" s="1608" customFormat="1" ht="21.75" customHeight="1">
      <c r="J367" s="2742"/>
    </row>
    <row r="368" spans="10:10" s="1608" customFormat="1" ht="21.75" customHeight="1">
      <c r="J368" s="2742"/>
    </row>
    <row r="369" spans="10:27" s="1608" customFormat="1" ht="21.75" customHeight="1">
      <c r="J369" s="2742"/>
    </row>
    <row r="370" spans="10:27" s="1608" customFormat="1" ht="21.75" customHeight="1">
      <c r="J370" s="2742"/>
    </row>
    <row r="371" spans="10:27" s="1608" customFormat="1" ht="21.75" customHeight="1">
      <c r="J371" s="2742"/>
    </row>
    <row r="372" spans="10:27" s="1608" customFormat="1" ht="21.75" customHeight="1">
      <c r="J372" s="2742"/>
    </row>
    <row r="373" spans="10:27" s="1608" customFormat="1" ht="21.75" customHeight="1">
      <c r="J373" s="2742"/>
    </row>
    <row r="374" spans="10:27" s="1608" customFormat="1" ht="21.75" customHeight="1">
      <c r="J374" s="2742"/>
    </row>
    <row r="375" spans="10:27" s="1608" customFormat="1" ht="21.75" customHeight="1">
      <c r="J375" s="2742"/>
    </row>
    <row r="376" spans="10:27" s="1608" customFormat="1" ht="21.75" customHeight="1">
      <c r="J376" s="2742"/>
    </row>
    <row r="377" spans="10:27" s="1608" customFormat="1" ht="21.75" customHeight="1">
      <c r="J377" s="2742"/>
    </row>
    <row r="378" spans="10:27" s="1608" customFormat="1" ht="21.75" customHeight="1">
      <c r="J378" s="2742"/>
    </row>
    <row r="379" spans="10:27" s="1608" customFormat="1" ht="21.75" customHeight="1">
      <c r="J379" s="2742"/>
    </row>
    <row r="380" spans="10:27" s="1608" customFormat="1" ht="21.75" customHeight="1">
      <c r="J380" s="2742"/>
    </row>
    <row r="381" spans="10:27" s="1608" customFormat="1" ht="21.75" customHeight="1">
      <c r="J381" s="2742"/>
    </row>
    <row r="382" spans="10:27" s="1608" customFormat="1" ht="21.75" customHeight="1">
      <c r="J382" s="2742"/>
    </row>
    <row r="383" spans="10:27" s="2462" customFormat="1" ht="21.75" customHeight="1">
      <c r="J383" s="2464"/>
      <c r="K383" s="1608"/>
      <c r="L383" s="1608"/>
      <c r="M383" s="1608"/>
      <c r="N383" s="1608"/>
      <c r="O383" s="1608"/>
      <c r="P383" s="1608"/>
      <c r="Q383" s="1608"/>
      <c r="R383" s="1608"/>
      <c r="S383" s="1608"/>
      <c r="T383" s="1608"/>
      <c r="U383" s="1608"/>
      <c r="V383" s="1608"/>
      <c r="W383" s="1608"/>
      <c r="X383" s="1608"/>
      <c r="Y383" s="1608"/>
      <c r="Z383" s="1608"/>
      <c r="AA383" s="1608"/>
    </row>
    <row r="384" spans="10:27" s="2462" customFormat="1" ht="21.75" customHeight="1">
      <c r="J384" s="2464"/>
      <c r="K384" s="1608"/>
      <c r="L384" s="1608"/>
      <c r="M384" s="1608"/>
      <c r="N384" s="1608"/>
      <c r="O384" s="1608"/>
      <c r="P384" s="1608"/>
      <c r="Q384" s="1608"/>
      <c r="R384" s="1608"/>
      <c r="S384" s="1608"/>
      <c r="T384" s="1608"/>
      <c r="U384" s="1608"/>
      <c r="V384" s="1608"/>
      <c r="W384" s="1608"/>
      <c r="X384" s="1608"/>
      <c r="Y384" s="1608"/>
      <c r="Z384" s="1608"/>
      <c r="AA384" s="1608"/>
    </row>
    <row r="385" spans="10:27" s="2462" customFormat="1" ht="21.75" customHeight="1">
      <c r="J385" s="2464"/>
      <c r="K385" s="1608"/>
      <c r="L385" s="1608"/>
      <c r="M385" s="1608"/>
      <c r="N385" s="1608"/>
      <c r="O385" s="1608"/>
      <c r="P385" s="1608"/>
      <c r="Q385" s="1608"/>
      <c r="R385" s="1608"/>
      <c r="S385" s="1608"/>
      <c r="T385" s="1608"/>
      <c r="U385" s="1608"/>
      <c r="V385" s="1608"/>
      <c r="W385" s="1608"/>
      <c r="X385" s="1608"/>
      <c r="Y385" s="1608"/>
      <c r="Z385" s="1608"/>
      <c r="AA385" s="1608"/>
    </row>
    <row r="386" spans="10:27" s="2462" customFormat="1" ht="21.75" customHeight="1">
      <c r="J386" s="2464"/>
      <c r="K386" s="1608"/>
      <c r="L386" s="1608"/>
      <c r="M386" s="1608"/>
      <c r="N386" s="1608"/>
      <c r="O386" s="1608"/>
      <c r="P386" s="1608"/>
      <c r="Q386" s="1608"/>
      <c r="R386" s="1608"/>
      <c r="S386" s="1608"/>
      <c r="T386" s="1608"/>
      <c r="U386" s="1608"/>
      <c r="V386" s="1608"/>
      <c r="W386" s="1608"/>
      <c r="X386" s="1608"/>
      <c r="Y386" s="1608"/>
      <c r="Z386" s="1608"/>
      <c r="AA386" s="1608"/>
    </row>
    <row r="387" spans="10:27" s="2462" customFormat="1" ht="21.75" customHeight="1">
      <c r="J387" s="2464"/>
      <c r="K387" s="1608"/>
      <c r="L387" s="1608"/>
      <c r="M387" s="1608"/>
      <c r="N387" s="1608"/>
      <c r="O387" s="1608"/>
      <c r="P387" s="1608"/>
      <c r="Q387" s="1608"/>
      <c r="R387" s="1608"/>
      <c r="S387" s="1608"/>
      <c r="T387" s="1608"/>
      <c r="U387" s="1608"/>
      <c r="V387" s="1608"/>
      <c r="W387" s="1608"/>
      <c r="X387" s="1608"/>
      <c r="Y387" s="1608"/>
      <c r="Z387" s="1608"/>
      <c r="AA387" s="1608"/>
    </row>
    <row r="388" spans="10:27" s="2462" customFormat="1" ht="21.75" customHeight="1">
      <c r="J388" s="2464"/>
      <c r="K388" s="1608"/>
      <c r="L388" s="1608"/>
      <c r="M388" s="1608"/>
      <c r="N388" s="1608"/>
      <c r="O388" s="1608"/>
      <c r="P388" s="1608"/>
      <c r="Q388" s="1608"/>
      <c r="R388" s="1608"/>
      <c r="S388" s="1608"/>
      <c r="T388" s="1608"/>
      <c r="U388" s="1608"/>
      <c r="V388" s="1608"/>
      <c r="W388" s="1608"/>
      <c r="X388" s="1608"/>
      <c r="Y388" s="1608"/>
      <c r="Z388" s="1608"/>
      <c r="AA388" s="1608"/>
    </row>
    <row r="389" spans="10:27" s="2462" customFormat="1" ht="21.75" customHeight="1">
      <c r="J389" s="2464"/>
      <c r="K389" s="1608"/>
      <c r="L389" s="1608"/>
      <c r="M389" s="1608"/>
      <c r="N389" s="1608"/>
      <c r="O389" s="1608"/>
      <c r="P389" s="1608"/>
      <c r="Q389" s="1608"/>
      <c r="R389" s="1608"/>
      <c r="S389" s="1608"/>
      <c r="T389" s="1608"/>
      <c r="U389" s="1608"/>
      <c r="V389" s="1608"/>
      <c r="W389" s="1608"/>
      <c r="X389" s="1608"/>
      <c r="Y389" s="1608"/>
      <c r="Z389" s="1608"/>
      <c r="AA389" s="1608"/>
    </row>
    <row r="390" spans="10:27" s="2462" customFormat="1" ht="21.75" customHeight="1">
      <c r="J390" s="2464"/>
      <c r="K390" s="1608"/>
      <c r="L390" s="1608"/>
      <c r="M390" s="1608"/>
      <c r="N390" s="1608"/>
      <c r="O390" s="1608"/>
      <c r="P390" s="1608"/>
      <c r="Q390" s="1608"/>
      <c r="R390" s="1608"/>
      <c r="S390" s="1608"/>
      <c r="T390" s="1608"/>
      <c r="U390" s="1608"/>
      <c r="V390" s="1608"/>
      <c r="W390" s="1608"/>
      <c r="X390" s="1608"/>
      <c r="Y390" s="1608"/>
      <c r="Z390" s="1608"/>
      <c r="AA390" s="1608"/>
    </row>
    <row r="391" spans="10:27" s="2462" customFormat="1" ht="21.75" customHeight="1">
      <c r="J391" s="2464"/>
      <c r="K391" s="1608"/>
      <c r="L391" s="1608"/>
      <c r="M391" s="1608"/>
      <c r="N391" s="1608"/>
      <c r="O391" s="1608"/>
      <c r="P391" s="1608"/>
      <c r="Q391" s="1608"/>
      <c r="R391" s="1608"/>
      <c r="S391" s="1608"/>
      <c r="T391" s="1608"/>
      <c r="U391" s="1608"/>
      <c r="V391" s="1608"/>
      <c r="W391" s="1608"/>
      <c r="X391" s="1608"/>
      <c r="Y391" s="1608"/>
      <c r="Z391" s="1608"/>
      <c r="AA391" s="1608"/>
    </row>
    <row r="392" spans="10:27" s="2462" customFormat="1" ht="21.75" customHeight="1">
      <c r="J392" s="2464"/>
      <c r="K392" s="1608"/>
      <c r="L392" s="1608"/>
      <c r="M392" s="1608"/>
      <c r="N392" s="1608"/>
      <c r="O392" s="1608"/>
      <c r="P392" s="1608"/>
      <c r="Q392" s="1608"/>
      <c r="R392" s="1608"/>
      <c r="S392" s="1608"/>
      <c r="T392" s="1608"/>
      <c r="U392" s="1608"/>
      <c r="V392" s="1608"/>
      <c r="W392" s="1608"/>
      <c r="X392" s="1608"/>
      <c r="Y392" s="1608"/>
      <c r="Z392" s="1608"/>
      <c r="AA392" s="1608"/>
    </row>
    <row r="393" spans="10:27" s="2462" customFormat="1" ht="21.75" customHeight="1">
      <c r="J393" s="2464"/>
      <c r="K393" s="1608"/>
      <c r="L393" s="1608"/>
      <c r="M393" s="1608"/>
      <c r="N393" s="1608"/>
      <c r="O393" s="1608"/>
      <c r="P393" s="1608"/>
      <c r="Q393" s="1608"/>
      <c r="R393" s="1608"/>
      <c r="S393" s="1608"/>
      <c r="T393" s="1608"/>
      <c r="U393" s="1608"/>
      <c r="V393" s="1608"/>
      <c r="W393" s="1608"/>
      <c r="X393" s="1608"/>
      <c r="Y393" s="1608"/>
      <c r="Z393" s="1608"/>
      <c r="AA393" s="1608"/>
    </row>
    <row r="394" spans="10:27" s="2462" customFormat="1" ht="21.75" customHeight="1">
      <c r="J394" s="2464"/>
      <c r="K394" s="1608"/>
      <c r="L394" s="1608"/>
      <c r="M394" s="1608"/>
      <c r="N394" s="1608"/>
      <c r="O394" s="1608"/>
      <c r="P394" s="1608"/>
      <c r="Q394" s="1608"/>
      <c r="R394" s="1608"/>
      <c r="S394" s="1608"/>
      <c r="T394" s="1608"/>
      <c r="U394" s="1608"/>
      <c r="V394" s="1608"/>
      <c r="W394" s="1608"/>
      <c r="X394" s="1608"/>
      <c r="Y394" s="1608"/>
      <c r="Z394" s="1608"/>
      <c r="AA394" s="1608"/>
    </row>
    <row r="395" spans="10:27" s="2462" customFormat="1" ht="21.75" customHeight="1">
      <c r="J395" s="2464"/>
      <c r="K395" s="1608"/>
      <c r="L395" s="1608"/>
      <c r="M395" s="1608"/>
      <c r="N395" s="1608"/>
      <c r="O395" s="1608"/>
      <c r="P395" s="1608"/>
      <c r="Q395" s="1608"/>
      <c r="R395" s="1608"/>
      <c r="S395" s="1608"/>
      <c r="T395" s="1608"/>
      <c r="U395" s="1608"/>
      <c r="V395" s="1608"/>
      <c r="W395" s="1608"/>
      <c r="X395" s="1608"/>
      <c r="Y395" s="1608"/>
      <c r="Z395" s="1608"/>
      <c r="AA395" s="1608"/>
    </row>
    <row r="396" spans="10:27" s="2462" customFormat="1" ht="21.75" customHeight="1">
      <c r="J396" s="2464"/>
      <c r="K396" s="1608"/>
      <c r="L396" s="1608"/>
      <c r="M396" s="1608"/>
      <c r="N396" s="1608"/>
      <c r="O396" s="1608"/>
      <c r="P396" s="1608"/>
      <c r="Q396" s="1608"/>
      <c r="R396" s="1608"/>
      <c r="S396" s="1608"/>
      <c r="T396" s="1608"/>
      <c r="U396" s="1608"/>
      <c r="V396" s="1608"/>
      <c r="W396" s="1608"/>
      <c r="X396" s="1608"/>
      <c r="Y396" s="1608"/>
      <c r="Z396" s="1608"/>
      <c r="AA396" s="1608"/>
    </row>
    <row r="397" spans="10:27" s="2462" customFormat="1" ht="21.75" customHeight="1">
      <c r="J397" s="2464"/>
      <c r="K397" s="1608"/>
      <c r="L397" s="1608"/>
      <c r="M397" s="1608"/>
      <c r="N397" s="1608"/>
      <c r="O397" s="1608"/>
      <c r="P397" s="1608"/>
      <c r="Q397" s="1608"/>
      <c r="R397" s="1608"/>
      <c r="S397" s="1608"/>
      <c r="T397" s="1608"/>
      <c r="U397" s="1608"/>
      <c r="V397" s="1608"/>
      <c r="W397" s="1608"/>
      <c r="X397" s="1608"/>
      <c r="Y397" s="1608"/>
      <c r="Z397" s="1608"/>
      <c r="AA397" s="1608"/>
    </row>
    <row r="398" spans="10:27" s="2462" customFormat="1" ht="21.75" customHeight="1">
      <c r="J398" s="2464"/>
      <c r="K398" s="1608"/>
      <c r="L398" s="1608"/>
      <c r="M398" s="1608"/>
      <c r="N398" s="1608"/>
      <c r="O398" s="1608"/>
      <c r="P398" s="1608"/>
      <c r="Q398" s="1608"/>
      <c r="R398" s="1608"/>
      <c r="S398" s="1608"/>
      <c r="T398" s="1608"/>
      <c r="U398" s="1608"/>
      <c r="V398" s="1608"/>
      <c r="W398" s="1608"/>
      <c r="X398" s="1608"/>
      <c r="Y398" s="1608"/>
      <c r="Z398" s="1608"/>
      <c r="AA398" s="1608"/>
    </row>
    <row r="399" spans="10:27" s="2462" customFormat="1" ht="21.75" customHeight="1">
      <c r="J399" s="2464"/>
      <c r="K399" s="1608"/>
      <c r="L399" s="1608"/>
      <c r="M399" s="1608"/>
      <c r="N399" s="1608"/>
      <c r="O399" s="1608"/>
      <c r="P399" s="1608"/>
      <c r="Q399" s="1608"/>
      <c r="R399" s="1608"/>
      <c r="S399" s="1608"/>
      <c r="T399" s="1608"/>
      <c r="U399" s="1608"/>
      <c r="V399" s="1608"/>
      <c r="W399" s="1608"/>
      <c r="X399" s="1608"/>
      <c r="Y399" s="1608"/>
      <c r="Z399" s="1608"/>
      <c r="AA399" s="1608"/>
    </row>
    <row r="400" spans="10:27" s="2462" customFormat="1" ht="21.75" customHeight="1">
      <c r="J400" s="2464"/>
      <c r="K400" s="1608"/>
      <c r="L400" s="1608"/>
      <c r="M400" s="1608"/>
      <c r="N400" s="1608"/>
      <c r="O400" s="1608"/>
      <c r="P400" s="1608"/>
      <c r="Q400" s="1608"/>
      <c r="R400" s="1608"/>
      <c r="S400" s="1608"/>
      <c r="T400" s="1608"/>
      <c r="U400" s="1608"/>
      <c r="V400" s="1608"/>
      <c r="W400" s="1608"/>
      <c r="X400" s="1608"/>
      <c r="Y400" s="1608"/>
      <c r="Z400" s="1608"/>
      <c r="AA400" s="1608"/>
    </row>
    <row r="401" spans="10:27" s="2462" customFormat="1" ht="21.75" customHeight="1">
      <c r="J401" s="2464"/>
      <c r="K401" s="1608"/>
      <c r="L401" s="1608"/>
      <c r="M401" s="1608"/>
      <c r="N401" s="1608"/>
      <c r="O401" s="1608"/>
      <c r="P401" s="1608"/>
      <c r="Q401" s="1608"/>
      <c r="R401" s="1608"/>
      <c r="S401" s="1608"/>
      <c r="T401" s="1608"/>
      <c r="U401" s="1608"/>
      <c r="V401" s="1608"/>
      <c r="W401" s="1608"/>
      <c r="X401" s="1608"/>
      <c r="Y401" s="1608"/>
      <c r="Z401" s="1608"/>
      <c r="AA401" s="1608"/>
    </row>
    <row r="402" spans="10:27" s="2462" customFormat="1" ht="21.75" customHeight="1">
      <c r="J402" s="2464"/>
      <c r="K402" s="1608"/>
      <c r="L402" s="1608"/>
      <c r="M402" s="1608"/>
      <c r="N402" s="1608"/>
      <c r="O402" s="1608"/>
      <c r="P402" s="1608"/>
      <c r="Q402" s="1608"/>
      <c r="R402" s="1608"/>
      <c r="S402" s="1608"/>
      <c r="T402" s="1608"/>
      <c r="U402" s="1608"/>
      <c r="V402" s="1608"/>
      <c r="W402" s="1608"/>
      <c r="X402" s="1608"/>
      <c r="Y402" s="1608"/>
      <c r="Z402" s="1608"/>
      <c r="AA402" s="1608"/>
    </row>
    <row r="403" spans="10:27" s="2462" customFormat="1" ht="21.75" customHeight="1">
      <c r="J403" s="2464"/>
      <c r="K403" s="1608"/>
      <c r="L403" s="1608"/>
      <c r="M403" s="1608"/>
      <c r="N403" s="1608"/>
      <c r="O403" s="1608"/>
      <c r="P403" s="1608"/>
      <c r="Q403" s="1608"/>
      <c r="R403" s="1608"/>
      <c r="S403" s="1608"/>
      <c r="T403" s="1608"/>
      <c r="U403" s="1608"/>
      <c r="V403" s="1608"/>
      <c r="W403" s="1608"/>
      <c r="X403" s="1608"/>
      <c r="Y403" s="1608"/>
      <c r="Z403" s="1608"/>
      <c r="AA403" s="1608"/>
    </row>
    <row r="404" spans="10:27" s="2462" customFormat="1" ht="21.75" customHeight="1">
      <c r="J404" s="2464"/>
      <c r="K404" s="1608"/>
      <c r="L404" s="1608"/>
      <c r="M404" s="1608"/>
      <c r="N404" s="1608"/>
      <c r="O404" s="1608"/>
      <c r="P404" s="1608"/>
      <c r="Q404" s="1608"/>
      <c r="R404" s="1608"/>
      <c r="S404" s="1608"/>
      <c r="T404" s="1608"/>
      <c r="U404" s="1608"/>
      <c r="V404" s="1608"/>
      <c r="W404" s="1608"/>
      <c r="X404" s="1608"/>
      <c r="Y404" s="1608"/>
      <c r="Z404" s="1608"/>
      <c r="AA404" s="1608"/>
    </row>
    <row r="405" spans="10:27" s="2462" customFormat="1" ht="21.75" customHeight="1">
      <c r="J405" s="2464"/>
      <c r="K405" s="1608"/>
      <c r="L405" s="1608"/>
      <c r="M405" s="1608"/>
      <c r="N405" s="1608"/>
      <c r="O405" s="1608"/>
      <c r="P405" s="1608"/>
      <c r="Q405" s="1608"/>
      <c r="R405" s="1608"/>
      <c r="S405" s="1608"/>
      <c r="T405" s="1608"/>
      <c r="U405" s="1608"/>
      <c r="V405" s="1608"/>
      <c r="W405" s="1608"/>
      <c r="X405" s="1608"/>
      <c r="Y405" s="1608"/>
      <c r="Z405" s="1608"/>
      <c r="AA405" s="1608"/>
    </row>
    <row r="406" spans="10:27" s="2462" customFormat="1" ht="21.75" customHeight="1">
      <c r="J406" s="2464"/>
      <c r="K406" s="1608"/>
      <c r="L406" s="1608"/>
      <c r="M406" s="1608"/>
      <c r="N406" s="1608"/>
      <c r="O406" s="1608"/>
      <c r="P406" s="1608"/>
      <c r="Q406" s="1608"/>
      <c r="R406" s="1608"/>
      <c r="S406" s="1608"/>
      <c r="T406" s="1608"/>
      <c r="U406" s="1608"/>
      <c r="V406" s="1608"/>
      <c r="W406" s="1608"/>
      <c r="X406" s="1608"/>
      <c r="Y406" s="1608"/>
      <c r="Z406" s="1608"/>
      <c r="AA406" s="1608"/>
    </row>
    <row r="407" spans="10:27" s="2462" customFormat="1" ht="21.75" customHeight="1">
      <c r="J407" s="2464"/>
      <c r="K407" s="1608"/>
      <c r="L407" s="1608"/>
      <c r="M407" s="1608"/>
      <c r="N407" s="1608"/>
      <c r="O407" s="1608"/>
      <c r="P407" s="1608"/>
      <c r="Q407" s="1608"/>
      <c r="R407" s="1608"/>
      <c r="S407" s="1608"/>
      <c r="T407" s="1608"/>
      <c r="U407" s="1608"/>
      <c r="V407" s="1608"/>
      <c r="W407" s="1608"/>
      <c r="X407" s="1608"/>
      <c r="Y407" s="1608"/>
      <c r="Z407" s="1608"/>
      <c r="AA407" s="1608"/>
    </row>
    <row r="408" spans="10:27" s="2462" customFormat="1" ht="21.75" customHeight="1">
      <c r="J408" s="2464"/>
      <c r="K408" s="1608"/>
      <c r="L408" s="1608"/>
      <c r="M408" s="1608"/>
      <c r="N408" s="1608"/>
      <c r="O408" s="1608"/>
      <c r="P408" s="1608"/>
      <c r="Q408" s="1608"/>
      <c r="R408" s="1608"/>
      <c r="S408" s="1608"/>
      <c r="T408" s="1608"/>
      <c r="U408" s="1608"/>
      <c r="V408" s="1608"/>
      <c r="W408" s="1608"/>
      <c r="X408" s="1608"/>
      <c r="Y408" s="1608"/>
      <c r="Z408" s="1608"/>
      <c r="AA408" s="1608"/>
    </row>
    <row r="409" spans="10:27" s="2462" customFormat="1" ht="21.75" customHeight="1">
      <c r="J409" s="2464"/>
      <c r="K409" s="1608"/>
      <c r="L409" s="1608"/>
      <c r="M409" s="1608"/>
      <c r="N409" s="1608"/>
      <c r="O409" s="1608"/>
      <c r="P409" s="1608"/>
      <c r="Q409" s="1608"/>
      <c r="R409" s="1608"/>
      <c r="S409" s="1608"/>
      <c r="T409" s="1608"/>
      <c r="U409" s="1608"/>
      <c r="V409" s="1608"/>
      <c r="W409" s="1608"/>
      <c r="X409" s="1608"/>
      <c r="Y409" s="1608"/>
      <c r="Z409" s="1608"/>
      <c r="AA409" s="1608"/>
    </row>
    <row r="410" spans="10:27" s="2462" customFormat="1" ht="21.75" customHeight="1">
      <c r="J410" s="2464"/>
      <c r="K410" s="1608"/>
      <c r="L410" s="1608"/>
      <c r="M410" s="1608"/>
      <c r="N410" s="1608"/>
      <c r="O410" s="1608"/>
      <c r="P410" s="1608"/>
      <c r="Q410" s="1608"/>
      <c r="R410" s="1608"/>
      <c r="S410" s="1608"/>
      <c r="T410" s="1608"/>
      <c r="U410" s="1608"/>
      <c r="V410" s="1608"/>
      <c r="W410" s="1608"/>
      <c r="X410" s="1608"/>
      <c r="Y410" s="1608"/>
      <c r="Z410" s="1608"/>
      <c r="AA410" s="1608"/>
    </row>
    <row r="411" spans="10:27" s="2462" customFormat="1" ht="21.75" customHeight="1">
      <c r="J411" s="2464"/>
      <c r="K411" s="1608"/>
      <c r="L411" s="1608"/>
      <c r="M411" s="1608"/>
      <c r="N411" s="1608"/>
      <c r="O411" s="1608"/>
      <c r="P411" s="1608"/>
      <c r="Q411" s="1608"/>
      <c r="R411" s="1608"/>
      <c r="S411" s="1608"/>
      <c r="T411" s="1608"/>
      <c r="U411" s="1608"/>
      <c r="V411" s="1608"/>
      <c r="W411" s="1608"/>
      <c r="X411" s="1608"/>
      <c r="Y411" s="1608"/>
      <c r="Z411" s="1608"/>
      <c r="AA411" s="1608"/>
    </row>
    <row r="412" spans="10:27" s="2462" customFormat="1" ht="21.75" customHeight="1">
      <c r="J412" s="2464"/>
      <c r="K412" s="1608"/>
      <c r="L412" s="1608"/>
      <c r="M412" s="1608"/>
      <c r="N412" s="1608"/>
      <c r="O412" s="1608"/>
      <c r="P412" s="1608"/>
      <c r="Q412" s="1608"/>
      <c r="R412" s="1608"/>
      <c r="S412" s="1608"/>
      <c r="T412" s="1608"/>
      <c r="U412" s="1608"/>
      <c r="V412" s="1608"/>
      <c r="W412" s="1608"/>
      <c r="X412" s="1608"/>
      <c r="Y412" s="1608"/>
      <c r="Z412" s="1608"/>
      <c r="AA412" s="1608"/>
    </row>
    <row r="413" spans="10:27" s="2462" customFormat="1" ht="21.75" customHeight="1">
      <c r="J413" s="2464"/>
      <c r="K413" s="1608"/>
      <c r="L413" s="1608"/>
      <c r="M413" s="1608"/>
      <c r="N413" s="1608"/>
      <c r="O413" s="1608"/>
      <c r="P413" s="1608"/>
      <c r="Q413" s="1608"/>
      <c r="R413" s="1608"/>
      <c r="S413" s="1608"/>
      <c r="T413" s="1608"/>
      <c r="U413" s="1608"/>
      <c r="V413" s="1608"/>
      <c r="W413" s="1608"/>
      <c r="X413" s="1608"/>
      <c r="Y413" s="1608"/>
      <c r="Z413" s="1608"/>
      <c r="AA413" s="1608"/>
    </row>
    <row r="414" spans="10:27" s="2462" customFormat="1" ht="21.75" customHeight="1">
      <c r="J414" s="2464"/>
      <c r="K414" s="1608"/>
      <c r="L414" s="1608"/>
      <c r="M414" s="1608"/>
      <c r="N414" s="1608"/>
      <c r="O414" s="1608"/>
      <c r="P414" s="1608"/>
      <c r="Q414" s="1608"/>
      <c r="R414" s="1608"/>
      <c r="S414" s="1608"/>
      <c r="T414" s="1608"/>
      <c r="U414" s="1608"/>
      <c r="V414" s="1608"/>
      <c r="W414" s="1608"/>
      <c r="X414" s="1608"/>
      <c r="Y414" s="1608"/>
      <c r="Z414" s="1608"/>
      <c r="AA414" s="1608"/>
    </row>
    <row r="415" spans="10:27" s="2462" customFormat="1" ht="21.75" customHeight="1">
      <c r="J415" s="2464"/>
      <c r="K415" s="1608"/>
      <c r="L415" s="1608"/>
      <c r="M415" s="1608"/>
      <c r="N415" s="1608"/>
      <c r="O415" s="1608"/>
      <c r="P415" s="1608"/>
      <c r="Q415" s="1608"/>
      <c r="R415" s="1608"/>
      <c r="S415" s="1608"/>
      <c r="T415" s="1608"/>
      <c r="U415" s="1608"/>
      <c r="V415" s="1608"/>
      <c r="W415" s="1608"/>
      <c r="X415" s="1608"/>
      <c r="Y415" s="1608"/>
      <c r="Z415" s="1608"/>
      <c r="AA415" s="1608"/>
    </row>
    <row r="416" spans="10:27" s="2462" customFormat="1" ht="21.75" customHeight="1">
      <c r="J416" s="2464"/>
      <c r="K416" s="1608"/>
      <c r="L416" s="1608"/>
      <c r="M416" s="1608"/>
      <c r="N416" s="1608"/>
      <c r="O416" s="1608"/>
      <c r="P416" s="1608"/>
      <c r="Q416" s="1608"/>
      <c r="R416" s="1608"/>
      <c r="S416" s="1608"/>
      <c r="T416" s="1608"/>
      <c r="U416" s="1608"/>
      <c r="V416" s="1608"/>
      <c r="W416" s="1608"/>
      <c r="X416" s="1608"/>
      <c r="Y416" s="1608"/>
      <c r="Z416" s="1608"/>
      <c r="AA416" s="1608"/>
    </row>
    <row r="417" spans="10:27" s="2462" customFormat="1" ht="21.75" customHeight="1">
      <c r="J417" s="2464"/>
      <c r="K417" s="1608"/>
      <c r="L417" s="1608"/>
      <c r="M417" s="1608"/>
      <c r="N417" s="1608"/>
      <c r="O417" s="1608"/>
      <c r="P417" s="1608"/>
      <c r="Q417" s="1608"/>
      <c r="R417" s="1608"/>
      <c r="S417" s="1608"/>
      <c r="T417" s="1608"/>
      <c r="U417" s="1608"/>
      <c r="V417" s="1608"/>
      <c r="W417" s="1608"/>
      <c r="X417" s="1608"/>
      <c r="Y417" s="1608"/>
      <c r="Z417" s="1608"/>
      <c r="AA417" s="1608"/>
    </row>
    <row r="418" spans="10:27" s="2462" customFormat="1" ht="21.75" customHeight="1">
      <c r="J418" s="2464"/>
      <c r="K418" s="1608"/>
      <c r="L418" s="1608"/>
      <c r="M418" s="1608"/>
      <c r="N418" s="1608"/>
      <c r="O418" s="1608"/>
      <c r="P418" s="1608"/>
      <c r="Q418" s="1608"/>
      <c r="R418" s="1608"/>
      <c r="S418" s="1608"/>
      <c r="T418" s="1608"/>
      <c r="U418" s="1608"/>
      <c r="V418" s="1608"/>
      <c r="W418" s="1608"/>
      <c r="X418" s="1608"/>
      <c r="Y418" s="1608"/>
      <c r="Z418" s="1608"/>
      <c r="AA418" s="1608"/>
    </row>
    <row r="419" spans="10:27" s="2462" customFormat="1" ht="21.75" customHeight="1">
      <c r="J419" s="2464"/>
      <c r="K419" s="1608"/>
      <c r="L419" s="1608"/>
      <c r="M419" s="1608"/>
      <c r="N419" s="1608"/>
      <c r="O419" s="1608"/>
      <c r="P419" s="1608"/>
      <c r="Q419" s="1608"/>
      <c r="R419" s="1608"/>
      <c r="S419" s="1608"/>
      <c r="T419" s="1608"/>
      <c r="U419" s="1608"/>
      <c r="V419" s="1608"/>
      <c r="W419" s="1608"/>
      <c r="X419" s="1608"/>
      <c r="Y419" s="1608"/>
      <c r="Z419" s="1608"/>
      <c r="AA419" s="1608"/>
    </row>
    <row r="420" spans="10:27" s="2462" customFormat="1" ht="21.75" customHeight="1">
      <c r="J420" s="2464"/>
      <c r="K420" s="1608"/>
      <c r="L420" s="1608"/>
      <c r="M420" s="1608"/>
      <c r="N420" s="1608"/>
      <c r="O420" s="1608"/>
      <c r="P420" s="1608"/>
      <c r="Q420" s="1608"/>
      <c r="R420" s="1608"/>
      <c r="S420" s="1608"/>
      <c r="T420" s="1608"/>
      <c r="U420" s="1608"/>
      <c r="V420" s="1608"/>
      <c r="W420" s="1608"/>
      <c r="X420" s="1608"/>
      <c r="Y420" s="1608"/>
      <c r="Z420" s="1608"/>
      <c r="AA420" s="1608"/>
    </row>
    <row r="421" spans="10:27" s="2462" customFormat="1" ht="21.75" customHeight="1">
      <c r="J421" s="2464"/>
      <c r="K421" s="1608"/>
      <c r="L421" s="1608"/>
      <c r="M421" s="1608"/>
      <c r="N421" s="1608"/>
      <c r="O421" s="1608"/>
      <c r="P421" s="1608"/>
      <c r="Q421" s="1608"/>
      <c r="R421" s="1608"/>
      <c r="S421" s="1608"/>
      <c r="T421" s="1608"/>
      <c r="U421" s="1608"/>
      <c r="V421" s="1608"/>
      <c r="W421" s="1608"/>
      <c r="X421" s="1608"/>
      <c r="Y421" s="1608"/>
      <c r="Z421" s="1608"/>
      <c r="AA421" s="1608"/>
    </row>
    <row r="422" spans="10:27" s="2462" customFormat="1" ht="21.75" customHeight="1">
      <c r="J422" s="2464"/>
      <c r="K422" s="1608"/>
      <c r="L422" s="1608"/>
      <c r="M422" s="1608"/>
      <c r="N422" s="1608"/>
      <c r="O422" s="1608"/>
      <c r="P422" s="1608"/>
      <c r="Q422" s="1608"/>
      <c r="R422" s="1608"/>
      <c r="S422" s="1608"/>
      <c r="T422" s="1608"/>
      <c r="U422" s="1608"/>
      <c r="V422" s="1608"/>
      <c r="W422" s="1608"/>
      <c r="X422" s="1608"/>
      <c r="Y422" s="1608"/>
      <c r="Z422" s="1608"/>
      <c r="AA422" s="1608"/>
    </row>
    <row r="423" spans="10:27" s="2462" customFormat="1" ht="21.75" customHeight="1">
      <c r="J423" s="2464"/>
      <c r="K423" s="1608"/>
      <c r="L423" s="1608"/>
      <c r="M423" s="1608"/>
      <c r="N423" s="1608"/>
      <c r="O423" s="1608"/>
      <c r="P423" s="1608"/>
      <c r="Q423" s="1608"/>
      <c r="R423" s="1608"/>
      <c r="S423" s="1608"/>
      <c r="T423" s="1608"/>
      <c r="U423" s="1608"/>
      <c r="V423" s="1608"/>
      <c r="W423" s="1608"/>
      <c r="X423" s="1608"/>
      <c r="Y423" s="1608"/>
      <c r="Z423" s="1608"/>
      <c r="AA423" s="1608"/>
    </row>
    <row r="424" spans="10:27" s="2462" customFormat="1" ht="21.75" customHeight="1">
      <c r="J424" s="2464"/>
      <c r="K424" s="1608"/>
      <c r="L424" s="1608"/>
      <c r="M424" s="1608"/>
      <c r="N424" s="1608"/>
      <c r="O424" s="1608"/>
      <c r="P424" s="1608"/>
      <c r="Q424" s="1608"/>
      <c r="R424" s="1608"/>
      <c r="S424" s="1608"/>
      <c r="T424" s="1608"/>
      <c r="U424" s="1608"/>
      <c r="V424" s="1608"/>
      <c r="W424" s="1608"/>
      <c r="X424" s="1608"/>
      <c r="Y424" s="1608"/>
      <c r="Z424" s="1608"/>
      <c r="AA424" s="1608"/>
    </row>
    <row r="425" spans="10:27" s="2462" customFormat="1" ht="21.75" customHeight="1">
      <c r="J425" s="2464"/>
      <c r="K425" s="1608"/>
      <c r="L425" s="1608"/>
      <c r="M425" s="1608"/>
      <c r="N425" s="1608"/>
      <c r="O425" s="1608"/>
      <c r="P425" s="1608"/>
      <c r="Q425" s="1608"/>
      <c r="R425" s="1608"/>
      <c r="S425" s="1608"/>
      <c r="T425" s="1608"/>
      <c r="U425" s="1608"/>
      <c r="V425" s="1608"/>
      <c r="W425" s="1608"/>
      <c r="X425" s="1608"/>
      <c r="Y425" s="1608"/>
      <c r="Z425" s="1608"/>
      <c r="AA425" s="1608"/>
    </row>
    <row r="426" spans="10:27" s="2462" customFormat="1" ht="21.75" customHeight="1">
      <c r="J426" s="2464"/>
      <c r="K426" s="1608"/>
      <c r="L426" s="1608"/>
      <c r="M426" s="1608"/>
      <c r="N426" s="1608"/>
      <c r="O426" s="1608"/>
      <c r="P426" s="1608"/>
      <c r="Q426" s="1608"/>
      <c r="R426" s="1608"/>
      <c r="S426" s="1608"/>
      <c r="T426" s="1608"/>
      <c r="U426" s="1608"/>
      <c r="V426" s="1608"/>
      <c r="W426" s="1608"/>
      <c r="X426" s="1608"/>
      <c r="Y426" s="1608"/>
      <c r="Z426" s="1608"/>
      <c r="AA426" s="1608"/>
    </row>
    <row r="427" spans="10:27" s="2462" customFormat="1" ht="21.75" customHeight="1">
      <c r="J427" s="2464"/>
      <c r="K427" s="1608"/>
      <c r="L427" s="1608"/>
      <c r="M427" s="1608"/>
      <c r="N427" s="1608"/>
      <c r="O427" s="1608"/>
      <c r="P427" s="1608"/>
      <c r="Q427" s="1608"/>
      <c r="R427" s="1608"/>
      <c r="S427" s="1608"/>
      <c r="T427" s="1608"/>
      <c r="U427" s="1608"/>
      <c r="V427" s="1608"/>
      <c r="W427" s="1608"/>
      <c r="X427" s="1608"/>
      <c r="Y427" s="1608"/>
      <c r="Z427" s="1608"/>
      <c r="AA427" s="1608"/>
    </row>
    <row r="428" spans="10:27" s="2462" customFormat="1" ht="21.75" customHeight="1">
      <c r="J428" s="2464"/>
      <c r="K428" s="1608"/>
      <c r="L428" s="1608"/>
      <c r="M428" s="1608"/>
      <c r="N428" s="1608"/>
      <c r="O428" s="1608"/>
      <c r="P428" s="1608"/>
      <c r="Q428" s="1608"/>
      <c r="R428" s="1608"/>
      <c r="S428" s="1608"/>
      <c r="T428" s="1608"/>
      <c r="U428" s="1608"/>
      <c r="V428" s="1608"/>
      <c r="W428" s="1608"/>
      <c r="X428" s="1608"/>
      <c r="Y428" s="1608"/>
      <c r="Z428" s="1608"/>
      <c r="AA428" s="1608"/>
    </row>
    <row r="429" spans="10:27" s="2462" customFormat="1" ht="21.75" customHeight="1">
      <c r="J429" s="2464"/>
      <c r="K429" s="1608"/>
      <c r="L429" s="1608"/>
      <c r="M429" s="1608"/>
      <c r="N429" s="1608"/>
      <c r="O429" s="1608"/>
      <c r="P429" s="1608"/>
      <c r="Q429" s="1608"/>
      <c r="R429" s="1608"/>
      <c r="S429" s="1608"/>
      <c r="T429" s="1608"/>
      <c r="U429" s="1608"/>
      <c r="V429" s="1608"/>
      <c r="W429" s="1608"/>
      <c r="X429" s="1608"/>
      <c r="Y429" s="1608"/>
      <c r="Z429" s="1608"/>
      <c r="AA429" s="1608"/>
    </row>
    <row r="430" spans="10:27" s="2462" customFormat="1" ht="21.75" customHeight="1">
      <c r="J430" s="2464"/>
      <c r="K430" s="1608"/>
      <c r="L430" s="1608"/>
      <c r="M430" s="1608"/>
      <c r="N430" s="1608"/>
      <c r="O430" s="1608"/>
      <c r="P430" s="1608"/>
      <c r="Q430" s="1608"/>
      <c r="R430" s="1608"/>
      <c r="S430" s="1608"/>
      <c r="T430" s="1608"/>
      <c r="U430" s="1608"/>
      <c r="V430" s="1608"/>
      <c r="W430" s="1608"/>
      <c r="X430" s="1608"/>
      <c r="Y430" s="1608"/>
      <c r="Z430" s="1608"/>
      <c r="AA430" s="1608"/>
    </row>
    <row r="431" spans="10:27" s="2462" customFormat="1" ht="21.75" customHeight="1">
      <c r="J431" s="2464"/>
      <c r="K431" s="1608"/>
      <c r="L431" s="1608"/>
      <c r="M431" s="1608"/>
      <c r="N431" s="1608"/>
      <c r="O431" s="1608"/>
      <c r="P431" s="1608"/>
      <c r="Q431" s="1608"/>
      <c r="R431" s="1608"/>
      <c r="S431" s="1608"/>
      <c r="T431" s="1608"/>
      <c r="U431" s="1608"/>
      <c r="V431" s="1608"/>
      <c r="W431" s="1608"/>
      <c r="X431" s="1608"/>
      <c r="Y431" s="1608"/>
      <c r="Z431" s="1608"/>
      <c r="AA431" s="1608"/>
    </row>
    <row r="432" spans="10:27" s="2462" customFormat="1" ht="21.75" customHeight="1">
      <c r="J432" s="2464"/>
      <c r="K432" s="1608"/>
      <c r="L432" s="1608"/>
      <c r="M432" s="1608"/>
      <c r="N432" s="1608"/>
      <c r="O432" s="1608"/>
      <c r="P432" s="1608"/>
      <c r="Q432" s="1608"/>
      <c r="R432" s="1608"/>
      <c r="S432" s="1608"/>
      <c r="T432" s="1608"/>
      <c r="U432" s="1608"/>
      <c r="V432" s="1608"/>
      <c r="W432" s="1608"/>
      <c r="X432" s="1608"/>
      <c r="Y432" s="1608"/>
      <c r="Z432" s="1608"/>
      <c r="AA432" s="1608"/>
    </row>
    <row r="433" spans="10:27" s="2462" customFormat="1" ht="21.75" customHeight="1">
      <c r="J433" s="2464"/>
      <c r="K433" s="1608"/>
      <c r="L433" s="1608"/>
      <c r="M433" s="1608"/>
      <c r="N433" s="1608"/>
      <c r="O433" s="1608"/>
      <c r="P433" s="1608"/>
      <c r="Q433" s="1608"/>
      <c r="R433" s="1608"/>
      <c r="S433" s="1608"/>
      <c r="T433" s="1608"/>
      <c r="U433" s="1608"/>
      <c r="V433" s="1608"/>
      <c r="W433" s="1608"/>
      <c r="X433" s="1608"/>
      <c r="Y433" s="1608"/>
      <c r="Z433" s="1608"/>
      <c r="AA433" s="1608"/>
    </row>
    <row r="434" spans="10:27" s="2462" customFormat="1" ht="21.75" customHeight="1">
      <c r="J434" s="2464"/>
      <c r="K434" s="1608"/>
      <c r="L434" s="1608"/>
      <c r="M434" s="1608"/>
      <c r="N434" s="1608"/>
      <c r="O434" s="1608"/>
      <c r="P434" s="1608"/>
      <c r="Q434" s="1608"/>
      <c r="R434" s="1608"/>
      <c r="S434" s="1608"/>
      <c r="T434" s="1608"/>
      <c r="U434" s="1608"/>
      <c r="V434" s="1608"/>
      <c r="W434" s="1608"/>
      <c r="X434" s="1608"/>
      <c r="Y434" s="1608"/>
      <c r="Z434" s="1608"/>
      <c r="AA434" s="1608"/>
    </row>
    <row r="435" spans="10:27" s="2462" customFormat="1" ht="21.75" customHeight="1">
      <c r="J435" s="2464"/>
      <c r="K435" s="1608"/>
      <c r="L435" s="1608"/>
      <c r="M435" s="1608"/>
      <c r="N435" s="1608"/>
      <c r="O435" s="1608"/>
      <c r="P435" s="1608"/>
      <c r="Q435" s="1608"/>
      <c r="R435" s="1608"/>
      <c r="S435" s="1608"/>
      <c r="T435" s="1608"/>
      <c r="U435" s="1608"/>
      <c r="V435" s="1608"/>
      <c r="W435" s="1608"/>
      <c r="X435" s="1608"/>
      <c r="Y435" s="1608"/>
      <c r="Z435" s="1608"/>
      <c r="AA435" s="1608"/>
    </row>
    <row r="436" spans="10:27" s="2462" customFormat="1" ht="21.75" customHeight="1">
      <c r="J436" s="2464"/>
      <c r="K436" s="1608"/>
      <c r="L436" s="1608"/>
      <c r="M436" s="1608"/>
      <c r="N436" s="1608"/>
      <c r="O436" s="1608"/>
      <c r="P436" s="1608"/>
      <c r="Q436" s="1608"/>
      <c r="R436" s="1608"/>
      <c r="S436" s="1608"/>
      <c r="T436" s="1608"/>
      <c r="U436" s="1608"/>
      <c r="V436" s="1608"/>
      <c r="W436" s="1608"/>
      <c r="X436" s="1608"/>
      <c r="Y436" s="1608"/>
      <c r="Z436" s="1608"/>
      <c r="AA436" s="1608"/>
    </row>
    <row r="437" spans="10:27" s="2462" customFormat="1" ht="21.75" customHeight="1">
      <c r="J437" s="2464"/>
      <c r="K437" s="1608"/>
      <c r="L437" s="1608"/>
      <c r="M437" s="1608"/>
      <c r="N437" s="1608"/>
      <c r="O437" s="1608"/>
      <c r="P437" s="1608"/>
      <c r="Q437" s="1608"/>
      <c r="R437" s="1608"/>
      <c r="S437" s="1608"/>
      <c r="T437" s="1608"/>
      <c r="U437" s="1608"/>
      <c r="V437" s="1608"/>
      <c r="W437" s="1608"/>
      <c r="X437" s="1608"/>
      <c r="Y437" s="1608"/>
      <c r="Z437" s="1608"/>
      <c r="AA437" s="1608"/>
    </row>
    <row r="438" spans="10:27" s="2462" customFormat="1" ht="21.75" customHeight="1">
      <c r="J438" s="2464"/>
      <c r="K438" s="1608"/>
      <c r="L438" s="1608"/>
      <c r="M438" s="1608"/>
      <c r="N438" s="1608"/>
      <c r="O438" s="1608"/>
      <c r="P438" s="1608"/>
      <c r="Q438" s="1608"/>
      <c r="R438" s="1608"/>
      <c r="S438" s="1608"/>
      <c r="T438" s="1608"/>
      <c r="U438" s="1608"/>
      <c r="V438" s="1608"/>
      <c r="W438" s="1608"/>
      <c r="X438" s="1608"/>
      <c r="Y438" s="1608"/>
      <c r="Z438" s="1608"/>
      <c r="AA438" s="1608"/>
    </row>
    <row r="439" spans="10:27" s="2462" customFormat="1" ht="21.75" customHeight="1">
      <c r="J439" s="2464"/>
      <c r="K439" s="1608"/>
      <c r="L439" s="1608"/>
      <c r="M439" s="1608"/>
      <c r="N439" s="1608"/>
      <c r="O439" s="1608"/>
      <c r="P439" s="1608"/>
      <c r="Q439" s="1608"/>
      <c r="R439" s="1608"/>
      <c r="S439" s="1608"/>
      <c r="T439" s="1608"/>
      <c r="U439" s="1608"/>
      <c r="V439" s="1608"/>
      <c r="W439" s="1608"/>
      <c r="X439" s="1608"/>
      <c r="Y439" s="1608"/>
      <c r="Z439" s="1608"/>
      <c r="AA439" s="1608"/>
    </row>
    <row r="440" spans="10:27" s="2462" customFormat="1" ht="21.75" customHeight="1">
      <c r="J440" s="2464"/>
      <c r="K440" s="1608"/>
      <c r="L440" s="1608"/>
      <c r="M440" s="1608"/>
      <c r="N440" s="1608"/>
      <c r="O440" s="1608"/>
      <c r="P440" s="1608"/>
      <c r="Q440" s="1608"/>
      <c r="R440" s="1608"/>
      <c r="S440" s="1608"/>
      <c r="T440" s="1608"/>
      <c r="U440" s="1608"/>
      <c r="V440" s="1608"/>
      <c r="W440" s="1608"/>
      <c r="X440" s="1608"/>
      <c r="Y440" s="1608"/>
      <c r="Z440" s="1608"/>
      <c r="AA440" s="1608"/>
    </row>
    <row r="441" spans="10:27" s="2462" customFormat="1" ht="21.75" customHeight="1">
      <c r="J441" s="2464"/>
      <c r="K441" s="1608"/>
      <c r="L441" s="1608"/>
      <c r="M441" s="1608"/>
      <c r="N441" s="1608"/>
      <c r="O441" s="1608"/>
      <c r="P441" s="1608"/>
      <c r="Q441" s="1608"/>
      <c r="R441" s="1608"/>
      <c r="S441" s="1608"/>
      <c r="T441" s="1608"/>
      <c r="U441" s="1608"/>
      <c r="V441" s="1608"/>
      <c r="W441" s="1608"/>
      <c r="X441" s="1608"/>
      <c r="Y441" s="1608"/>
      <c r="Z441" s="1608"/>
      <c r="AA441" s="1608"/>
    </row>
    <row r="442" spans="10:27" s="2462" customFormat="1" ht="21.75" customHeight="1">
      <c r="J442" s="2464"/>
      <c r="K442" s="1608"/>
      <c r="L442" s="1608"/>
      <c r="M442" s="1608"/>
      <c r="N442" s="1608"/>
      <c r="O442" s="1608"/>
      <c r="P442" s="1608"/>
      <c r="Q442" s="1608"/>
      <c r="R442" s="1608"/>
      <c r="S442" s="1608"/>
      <c r="T442" s="1608"/>
      <c r="U442" s="1608"/>
      <c r="V442" s="1608"/>
      <c r="W442" s="1608"/>
      <c r="X442" s="1608"/>
      <c r="Y442" s="1608"/>
      <c r="Z442" s="1608"/>
      <c r="AA442" s="1608"/>
    </row>
    <row r="443" spans="10:27" s="2462" customFormat="1" ht="21.75" customHeight="1">
      <c r="J443" s="2464"/>
      <c r="K443" s="1608"/>
      <c r="L443" s="1608"/>
      <c r="M443" s="1608"/>
      <c r="N443" s="1608"/>
      <c r="O443" s="1608"/>
      <c r="P443" s="1608"/>
      <c r="Q443" s="1608"/>
      <c r="R443" s="1608"/>
      <c r="S443" s="1608"/>
      <c r="T443" s="1608"/>
      <c r="U443" s="1608"/>
      <c r="V443" s="1608"/>
      <c r="W443" s="1608"/>
      <c r="X443" s="1608"/>
      <c r="Y443" s="1608"/>
      <c r="Z443" s="1608"/>
      <c r="AA443" s="1608"/>
    </row>
    <row r="444" spans="10:27" s="2462" customFormat="1" ht="21.75" customHeight="1">
      <c r="J444" s="2464"/>
      <c r="K444" s="1608"/>
      <c r="L444" s="1608"/>
      <c r="M444" s="1608"/>
      <c r="N444" s="1608"/>
      <c r="O444" s="1608"/>
      <c r="P444" s="1608"/>
      <c r="Q444" s="1608"/>
      <c r="R444" s="1608"/>
      <c r="S444" s="1608"/>
      <c r="T444" s="1608"/>
      <c r="U444" s="1608"/>
      <c r="V444" s="1608"/>
      <c r="W444" s="1608"/>
      <c r="X444" s="1608"/>
      <c r="Y444" s="1608"/>
      <c r="Z444" s="1608"/>
      <c r="AA444" s="1608"/>
    </row>
    <row r="445" spans="10:27" s="2462" customFormat="1" ht="21.75" customHeight="1">
      <c r="J445" s="2464"/>
      <c r="K445" s="1608"/>
      <c r="L445" s="1608"/>
      <c r="M445" s="1608"/>
      <c r="N445" s="1608"/>
      <c r="O445" s="1608"/>
      <c r="P445" s="1608"/>
      <c r="Q445" s="1608"/>
      <c r="R445" s="1608"/>
      <c r="S445" s="1608"/>
      <c r="T445" s="1608"/>
      <c r="U445" s="1608"/>
      <c r="V445" s="1608"/>
      <c r="W445" s="1608"/>
      <c r="X445" s="1608"/>
      <c r="Y445" s="1608"/>
      <c r="Z445" s="1608"/>
      <c r="AA445" s="1608"/>
    </row>
    <row r="446" spans="10:27" s="2462" customFormat="1" ht="21.75" customHeight="1">
      <c r="J446" s="2464"/>
      <c r="K446" s="1608"/>
      <c r="L446" s="1608"/>
      <c r="M446" s="1608"/>
      <c r="N446" s="1608"/>
      <c r="O446" s="1608"/>
      <c r="P446" s="1608"/>
      <c r="Q446" s="1608"/>
      <c r="R446" s="1608"/>
      <c r="S446" s="1608"/>
      <c r="T446" s="1608"/>
      <c r="U446" s="1608"/>
      <c r="V446" s="1608"/>
      <c r="W446" s="1608"/>
      <c r="X446" s="1608"/>
      <c r="Y446" s="1608"/>
      <c r="Z446" s="1608"/>
      <c r="AA446" s="1608"/>
    </row>
    <row r="447" spans="10:27" s="2462" customFormat="1" ht="21.75" customHeight="1">
      <c r="J447" s="2464"/>
      <c r="K447" s="1608"/>
      <c r="L447" s="1608"/>
      <c r="M447" s="1608"/>
      <c r="N447" s="1608"/>
      <c r="O447" s="1608"/>
      <c r="P447" s="1608"/>
      <c r="Q447" s="1608"/>
      <c r="R447" s="1608"/>
      <c r="S447" s="1608"/>
      <c r="T447" s="1608"/>
      <c r="U447" s="1608"/>
      <c r="V447" s="1608"/>
      <c r="W447" s="1608"/>
      <c r="X447" s="1608"/>
      <c r="Y447" s="1608"/>
      <c r="Z447" s="1608"/>
      <c r="AA447" s="1608"/>
    </row>
    <row r="448" spans="10:27" s="2462" customFormat="1" ht="21.75" customHeight="1">
      <c r="J448" s="2464"/>
      <c r="K448" s="1608"/>
      <c r="L448" s="1608"/>
      <c r="M448" s="1608"/>
      <c r="N448" s="1608"/>
      <c r="O448" s="1608"/>
      <c r="P448" s="1608"/>
      <c r="Q448" s="1608"/>
      <c r="R448" s="1608"/>
      <c r="S448" s="1608"/>
      <c r="T448" s="1608"/>
      <c r="U448" s="1608"/>
      <c r="V448" s="1608"/>
      <c r="W448" s="1608"/>
      <c r="X448" s="1608"/>
      <c r="Y448" s="1608"/>
      <c r="Z448" s="1608"/>
      <c r="AA448" s="1608"/>
    </row>
    <row r="449" spans="10:27" s="2462" customFormat="1" ht="21.75" customHeight="1">
      <c r="J449" s="2464"/>
      <c r="K449" s="1608"/>
      <c r="L449" s="1608"/>
      <c r="M449" s="1608"/>
      <c r="N449" s="1608"/>
      <c r="O449" s="1608"/>
      <c r="P449" s="1608"/>
      <c r="Q449" s="1608"/>
      <c r="R449" s="1608"/>
      <c r="S449" s="1608"/>
      <c r="T449" s="1608"/>
      <c r="U449" s="1608"/>
      <c r="V449" s="1608"/>
      <c r="W449" s="1608"/>
      <c r="X449" s="1608"/>
      <c r="Y449" s="1608"/>
      <c r="Z449" s="1608"/>
      <c r="AA449" s="1608"/>
    </row>
    <row r="450" spans="10:27" s="2462" customFormat="1" ht="21.75" customHeight="1">
      <c r="J450" s="2464"/>
      <c r="K450" s="1608"/>
      <c r="L450" s="1608"/>
      <c r="M450" s="1608"/>
      <c r="N450" s="1608"/>
      <c r="O450" s="1608"/>
      <c r="P450" s="1608"/>
      <c r="Q450" s="1608"/>
      <c r="R450" s="1608"/>
      <c r="S450" s="1608"/>
      <c r="T450" s="1608"/>
      <c r="U450" s="1608"/>
      <c r="V450" s="1608"/>
      <c r="W450" s="1608"/>
      <c r="X450" s="1608"/>
      <c r="Y450" s="1608"/>
      <c r="Z450" s="1608"/>
      <c r="AA450" s="1608"/>
    </row>
    <row r="451" spans="10:27" s="2462" customFormat="1" ht="21.75" customHeight="1">
      <c r="J451" s="2464"/>
      <c r="K451" s="1608"/>
      <c r="L451" s="1608"/>
      <c r="M451" s="1608"/>
      <c r="N451" s="1608"/>
      <c r="O451" s="1608"/>
      <c r="P451" s="1608"/>
      <c r="Q451" s="1608"/>
      <c r="R451" s="1608"/>
      <c r="S451" s="1608"/>
      <c r="T451" s="1608"/>
      <c r="U451" s="1608"/>
      <c r="V451" s="1608"/>
      <c r="W451" s="1608"/>
      <c r="X451" s="1608"/>
      <c r="Y451" s="1608"/>
      <c r="Z451" s="1608"/>
      <c r="AA451" s="1608"/>
    </row>
    <row r="452" spans="10:27" s="2462" customFormat="1" ht="21.75" customHeight="1">
      <c r="J452" s="2464"/>
      <c r="K452" s="1608"/>
      <c r="L452" s="1608"/>
      <c r="M452" s="1608"/>
      <c r="N452" s="1608"/>
      <c r="O452" s="1608"/>
      <c r="P452" s="1608"/>
      <c r="Q452" s="1608"/>
      <c r="R452" s="1608"/>
      <c r="S452" s="1608"/>
      <c r="T452" s="1608"/>
      <c r="U452" s="1608"/>
      <c r="V452" s="1608"/>
      <c r="W452" s="1608"/>
      <c r="X452" s="1608"/>
      <c r="Y452" s="1608"/>
      <c r="Z452" s="1608"/>
      <c r="AA452" s="1608"/>
    </row>
    <row r="453" spans="10:27" s="2462" customFormat="1" ht="21.75" customHeight="1">
      <c r="J453" s="2464"/>
      <c r="K453" s="1608"/>
      <c r="L453" s="1608"/>
      <c r="M453" s="1608"/>
      <c r="N453" s="1608"/>
      <c r="O453" s="1608"/>
      <c r="P453" s="1608"/>
      <c r="Q453" s="1608"/>
      <c r="R453" s="1608"/>
      <c r="S453" s="1608"/>
      <c r="T453" s="1608"/>
      <c r="U453" s="1608"/>
      <c r="V453" s="1608"/>
      <c r="W453" s="1608"/>
      <c r="X453" s="1608"/>
      <c r="Y453" s="1608"/>
      <c r="Z453" s="1608"/>
      <c r="AA453" s="1608"/>
    </row>
    <row r="454" spans="10:27" s="2462" customFormat="1" ht="21.75" customHeight="1">
      <c r="J454" s="2464"/>
      <c r="K454" s="1608"/>
      <c r="L454" s="1608"/>
      <c r="M454" s="1608"/>
      <c r="N454" s="1608"/>
      <c r="O454" s="1608"/>
      <c r="P454" s="1608"/>
      <c r="Q454" s="1608"/>
      <c r="R454" s="1608"/>
      <c r="S454" s="1608"/>
      <c r="T454" s="1608"/>
      <c r="U454" s="1608"/>
      <c r="V454" s="1608"/>
      <c r="W454" s="1608"/>
      <c r="X454" s="1608"/>
      <c r="Y454" s="1608"/>
      <c r="Z454" s="1608"/>
      <c r="AA454" s="1608"/>
    </row>
    <row r="455" spans="10:27" s="2462" customFormat="1" ht="21.75" customHeight="1">
      <c r="J455" s="2464"/>
      <c r="K455" s="1608"/>
      <c r="L455" s="1608"/>
      <c r="M455" s="1608"/>
      <c r="N455" s="1608"/>
      <c r="O455" s="1608"/>
      <c r="P455" s="1608"/>
      <c r="Q455" s="1608"/>
      <c r="R455" s="1608"/>
      <c r="S455" s="1608"/>
      <c r="T455" s="1608"/>
      <c r="U455" s="1608"/>
      <c r="V455" s="1608"/>
      <c r="W455" s="1608"/>
      <c r="X455" s="1608"/>
      <c r="Y455" s="1608"/>
      <c r="Z455" s="1608"/>
      <c r="AA455" s="1608"/>
    </row>
    <row r="456" spans="10:27" s="2462" customFormat="1" ht="21.75" customHeight="1">
      <c r="J456" s="2464"/>
      <c r="K456" s="1608"/>
      <c r="L456" s="1608"/>
      <c r="M456" s="1608"/>
      <c r="N456" s="1608"/>
      <c r="O456" s="1608"/>
      <c r="P456" s="1608"/>
      <c r="Q456" s="1608"/>
      <c r="R456" s="1608"/>
      <c r="S456" s="1608"/>
      <c r="T456" s="1608"/>
      <c r="U456" s="1608"/>
      <c r="V456" s="1608"/>
      <c r="W456" s="1608"/>
      <c r="X456" s="1608"/>
      <c r="Y456" s="1608"/>
      <c r="Z456" s="1608"/>
      <c r="AA456" s="1608"/>
    </row>
    <row r="457" spans="10:27" s="2462" customFormat="1" ht="21.75" customHeight="1">
      <c r="J457" s="2464"/>
      <c r="K457" s="1608"/>
      <c r="L457" s="1608"/>
      <c r="M457" s="1608"/>
      <c r="N457" s="1608"/>
      <c r="O457" s="1608"/>
      <c r="P457" s="1608"/>
      <c r="Q457" s="1608"/>
      <c r="R457" s="1608"/>
      <c r="S457" s="1608"/>
      <c r="T457" s="1608"/>
      <c r="U457" s="1608"/>
      <c r="V457" s="1608"/>
      <c r="W457" s="1608"/>
      <c r="X457" s="1608"/>
      <c r="Y457" s="1608"/>
      <c r="Z457" s="1608"/>
      <c r="AA457" s="1608"/>
    </row>
    <row r="458" spans="10:27" s="2462" customFormat="1" ht="21.75" customHeight="1">
      <c r="J458" s="2464"/>
      <c r="K458" s="1608"/>
      <c r="L458" s="1608"/>
      <c r="M458" s="1608"/>
      <c r="N458" s="1608"/>
      <c r="O458" s="1608"/>
      <c r="P458" s="1608"/>
      <c r="Q458" s="1608"/>
      <c r="R458" s="1608"/>
      <c r="S458" s="1608"/>
      <c r="T458" s="1608"/>
      <c r="U458" s="1608"/>
      <c r="V458" s="1608"/>
      <c r="W458" s="1608"/>
      <c r="X458" s="1608"/>
      <c r="Y458" s="1608"/>
      <c r="Z458" s="1608"/>
      <c r="AA458" s="1608"/>
    </row>
    <row r="459" spans="10:27" s="2462" customFormat="1" ht="21.75" customHeight="1">
      <c r="J459" s="2464"/>
      <c r="K459" s="1608"/>
      <c r="L459" s="1608"/>
      <c r="M459" s="1608"/>
      <c r="N459" s="1608"/>
      <c r="O459" s="1608"/>
      <c r="P459" s="1608"/>
      <c r="Q459" s="1608"/>
      <c r="R459" s="1608"/>
      <c r="S459" s="1608"/>
      <c r="T459" s="1608"/>
      <c r="U459" s="1608"/>
      <c r="V459" s="1608"/>
      <c r="W459" s="1608"/>
      <c r="X459" s="1608"/>
      <c r="Y459" s="1608"/>
      <c r="Z459" s="1608"/>
      <c r="AA459" s="1608"/>
    </row>
    <row r="460" spans="10:27" s="2462" customFormat="1" ht="21.75" customHeight="1">
      <c r="J460" s="2464"/>
      <c r="K460" s="1608"/>
      <c r="L460" s="1608"/>
      <c r="M460" s="1608"/>
      <c r="N460" s="1608"/>
      <c r="O460" s="1608"/>
      <c r="P460" s="1608"/>
      <c r="Q460" s="1608"/>
      <c r="R460" s="1608"/>
      <c r="S460" s="1608"/>
      <c r="T460" s="1608"/>
      <c r="U460" s="1608"/>
      <c r="V460" s="1608"/>
      <c r="W460" s="1608"/>
      <c r="X460" s="1608"/>
      <c r="Y460" s="1608"/>
      <c r="Z460" s="1608"/>
      <c r="AA460" s="1608"/>
    </row>
    <row r="461" spans="10:27" s="2462" customFormat="1" ht="21.75" customHeight="1">
      <c r="J461" s="2464"/>
      <c r="K461" s="1608"/>
      <c r="L461" s="1608"/>
      <c r="M461" s="1608"/>
      <c r="N461" s="1608"/>
      <c r="O461" s="1608"/>
      <c r="P461" s="1608"/>
      <c r="Q461" s="1608"/>
      <c r="R461" s="1608"/>
      <c r="S461" s="1608"/>
      <c r="T461" s="1608"/>
      <c r="U461" s="1608"/>
      <c r="V461" s="1608"/>
      <c r="W461" s="1608"/>
      <c r="X461" s="1608"/>
      <c r="Y461" s="1608"/>
      <c r="Z461" s="1608"/>
      <c r="AA461" s="1608"/>
    </row>
    <row r="462" spans="10:27" s="2462" customFormat="1" ht="21.75" customHeight="1">
      <c r="J462" s="2464"/>
      <c r="K462" s="1608"/>
      <c r="L462" s="1608"/>
      <c r="M462" s="1608"/>
      <c r="N462" s="1608"/>
      <c r="O462" s="1608"/>
      <c r="P462" s="1608"/>
      <c r="Q462" s="1608"/>
      <c r="R462" s="1608"/>
      <c r="S462" s="1608"/>
      <c r="T462" s="1608"/>
      <c r="U462" s="1608"/>
      <c r="V462" s="1608"/>
      <c r="W462" s="1608"/>
      <c r="X462" s="1608"/>
      <c r="Y462" s="1608"/>
      <c r="Z462" s="1608"/>
      <c r="AA462" s="1608"/>
    </row>
    <row r="463" spans="10:27" s="2462" customFormat="1" ht="21.75" customHeight="1">
      <c r="J463" s="2464"/>
      <c r="K463" s="1608"/>
      <c r="L463" s="1608"/>
      <c r="M463" s="1608"/>
      <c r="N463" s="1608"/>
      <c r="O463" s="1608"/>
      <c r="P463" s="1608"/>
      <c r="Q463" s="1608"/>
      <c r="R463" s="1608"/>
      <c r="S463" s="1608"/>
      <c r="T463" s="1608"/>
      <c r="U463" s="1608"/>
      <c r="V463" s="1608"/>
      <c r="W463" s="1608"/>
      <c r="X463" s="1608"/>
      <c r="Y463" s="1608"/>
      <c r="Z463" s="1608"/>
      <c r="AA463" s="1608"/>
    </row>
    <row r="464" spans="10:27" s="2462" customFormat="1" ht="21.75" customHeight="1">
      <c r="J464" s="2464"/>
      <c r="K464" s="1608"/>
      <c r="L464" s="1608"/>
      <c r="M464" s="1608"/>
      <c r="N464" s="1608"/>
      <c r="O464" s="1608"/>
      <c r="P464" s="1608"/>
      <c r="Q464" s="1608"/>
      <c r="R464" s="1608"/>
      <c r="S464" s="1608"/>
      <c r="T464" s="1608"/>
      <c r="U464" s="1608"/>
      <c r="V464" s="1608"/>
      <c r="W464" s="1608"/>
      <c r="X464" s="1608"/>
      <c r="Y464" s="1608"/>
      <c r="Z464" s="1608"/>
      <c r="AA464" s="1608"/>
    </row>
    <row r="465" spans="10:27" s="2462" customFormat="1" ht="21.75" customHeight="1">
      <c r="J465" s="2464"/>
      <c r="K465" s="1608"/>
      <c r="L465" s="1608"/>
      <c r="M465" s="1608"/>
      <c r="N465" s="1608"/>
      <c r="O465" s="1608"/>
      <c r="P465" s="1608"/>
      <c r="Q465" s="1608"/>
      <c r="R465" s="1608"/>
      <c r="S465" s="1608"/>
      <c r="T465" s="1608"/>
      <c r="U465" s="1608"/>
      <c r="V465" s="1608"/>
      <c r="W465" s="1608"/>
      <c r="X465" s="1608"/>
      <c r="Y465" s="1608"/>
      <c r="Z465" s="1608"/>
      <c r="AA465" s="1608"/>
    </row>
    <row r="466" spans="10:27" s="2462" customFormat="1" ht="21.75" customHeight="1">
      <c r="J466" s="2464"/>
      <c r="K466" s="1608"/>
      <c r="L466" s="1608"/>
      <c r="M466" s="1608"/>
      <c r="N466" s="1608"/>
      <c r="O466" s="1608"/>
      <c r="P466" s="1608"/>
      <c r="Q466" s="1608"/>
      <c r="R466" s="1608"/>
      <c r="S466" s="1608"/>
      <c r="T466" s="1608"/>
      <c r="U466" s="1608"/>
      <c r="V466" s="1608"/>
      <c r="W466" s="1608"/>
      <c r="X466" s="1608"/>
      <c r="Y466" s="1608"/>
      <c r="Z466" s="1608"/>
      <c r="AA466" s="1608"/>
    </row>
    <row r="467" spans="10:27" s="2462" customFormat="1" ht="21.75" customHeight="1">
      <c r="J467" s="2464"/>
      <c r="K467" s="1608"/>
      <c r="L467" s="1608"/>
      <c r="M467" s="1608"/>
      <c r="N467" s="1608"/>
      <c r="O467" s="1608"/>
      <c r="P467" s="1608"/>
      <c r="Q467" s="1608"/>
      <c r="R467" s="1608"/>
      <c r="S467" s="1608"/>
      <c r="T467" s="1608"/>
      <c r="U467" s="1608"/>
      <c r="V467" s="1608"/>
      <c r="W467" s="1608"/>
      <c r="X467" s="1608"/>
      <c r="Y467" s="1608"/>
      <c r="Z467" s="1608"/>
      <c r="AA467" s="1608"/>
    </row>
    <row r="468" spans="10:27" s="2462" customFormat="1" ht="21.75" customHeight="1">
      <c r="J468" s="2464"/>
      <c r="K468" s="1608"/>
      <c r="L468" s="1608"/>
      <c r="M468" s="1608"/>
      <c r="N468" s="1608"/>
      <c r="O468" s="1608"/>
      <c r="P468" s="1608"/>
      <c r="Q468" s="1608"/>
      <c r="R468" s="1608"/>
      <c r="S468" s="1608"/>
      <c r="T468" s="1608"/>
      <c r="U468" s="1608"/>
      <c r="V468" s="1608"/>
      <c r="W468" s="1608"/>
      <c r="X468" s="1608"/>
      <c r="Y468" s="1608"/>
      <c r="Z468" s="1608"/>
      <c r="AA468" s="1608"/>
    </row>
    <row r="469" spans="10:27" s="2462" customFormat="1" ht="21.75" customHeight="1">
      <c r="J469" s="2464"/>
      <c r="K469" s="1608"/>
      <c r="L469" s="1608"/>
      <c r="M469" s="1608"/>
      <c r="N469" s="1608"/>
      <c r="O469" s="1608"/>
      <c r="P469" s="1608"/>
      <c r="Q469" s="1608"/>
      <c r="R469" s="1608"/>
      <c r="S469" s="1608"/>
      <c r="T469" s="1608"/>
      <c r="U469" s="1608"/>
      <c r="V469" s="1608"/>
      <c r="W469" s="1608"/>
      <c r="X469" s="1608"/>
      <c r="Y469" s="1608"/>
      <c r="Z469" s="1608"/>
      <c r="AA469" s="1608"/>
    </row>
    <row r="470" spans="10:27" s="2462" customFormat="1" ht="21.75" customHeight="1">
      <c r="J470" s="2464"/>
      <c r="K470" s="1608"/>
      <c r="L470" s="1608"/>
      <c r="M470" s="1608"/>
      <c r="N470" s="1608"/>
      <c r="O470" s="1608"/>
      <c r="P470" s="1608"/>
      <c r="Q470" s="1608"/>
      <c r="R470" s="1608"/>
      <c r="S470" s="1608"/>
      <c r="T470" s="1608"/>
      <c r="U470" s="1608"/>
      <c r="V470" s="1608"/>
      <c r="W470" s="1608"/>
      <c r="X470" s="1608"/>
      <c r="Y470" s="1608"/>
      <c r="Z470" s="1608"/>
      <c r="AA470" s="1608"/>
    </row>
    <row r="471" spans="10:27" s="2462" customFormat="1" ht="21.75" customHeight="1">
      <c r="J471" s="2464"/>
      <c r="K471" s="1608"/>
      <c r="L471" s="1608"/>
      <c r="M471" s="1608"/>
      <c r="N471" s="1608"/>
      <c r="O471" s="1608"/>
      <c r="P471" s="1608"/>
      <c r="Q471" s="1608"/>
      <c r="R471" s="1608"/>
      <c r="S471" s="1608"/>
      <c r="T471" s="1608"/>
      <c r="U471" s="1608"/>
      <c r="V471" s="1608"/>
      <c r="W471" s="1608"/>
      <c r="X471" s="1608"/>
      <c r="Y471" s="1608"/>
      <c r="Z471" s="1608"/>
      <c r="AA471" s="1608"/>
    </row>
    <row r="472" spans="10:27" s="2462" customFormat="1" ht="21.75" customHeight="1">
      <c r="J472" s="2464"/>
      <c r="K472" s="1608"/>
      <c r="L472" s="1608"/>
      <c r="M472" s="1608"/>
      <c r="N472" s="1608"/>
      <c r="O472" s="1608"/>
      <c r="P472" s="1608"/>
      <c r="Q472" s="1608"/>
      <c r="R472" s="1608"/>
      <c r="S472" s="1608"/>
      <c r="T472" s="1608"/>
      <c r="U472" s="1608"/>
      <c r="V472" s="1608"/>
      <c r="W472" s="1608"/>
      <c r="X472" s="1608"/>
      <c r="Y472" s="1608"/>
      <c r="Z472" s="1608"/>
      <c r="AA472" s="1608"/>
    </row>
    <row r="473" spans="10:27" s="2462" customFormat="1" ht="21.75" customHeight="1">
      <c r="J473" s="2464"/>
      <c r="K473" s="1608"/>
      <c r="L473" s="1608"/>
      <c r="M473" s="1608"/>
      <c r="N473" s="1608"/>
      <c r="O473" s="1608"/>
      <c r="P473" s="1608"/>
      <c r="Q473" s="1608"/>
      <c r="R473" s="1608"/>
      <c r="S473" s="1608"/>
      <c r="T473" s="1608"/>
      <c r="U473" s="1608"/>
      <c r="V473" s="1608"/>
      <c r="W473" s="1608"/>
      <c r="X473" s="1608"/>
      <c r="Y473" s="1608"/>
      <c r="Z473" s="1608"/>
      <c r="AA473" s="1608"/>
    </row>
    <row r="474" spans="10:27" s="2462" customFormat="1" ht="21.75" customHeight="1">
      <c r="J474" s="2464"/>
      <c r="K474" s="1608"/>
      <c r="L474" s="1608"/>
      <c r="M474" s="1608"/>
      <c r="N474" s="1608"/>
      <c r="O474" s="1608"/>
      <c r="P474" s="1608"/>
      <c r="Q474" s="1608"/>
      <c r="R474" s="1608"/>
      <c r="S474" s="1608"/>
      <c r="T474" s="1608"/>
      <c r="U474" s="1608"/>
      <c r="V474" s="1608"/>
      <c r="W474" s="1608"/>
      <c r="X474" s="1608"/>
      <c r="Y474" s="1608"/>
      <c r="Z474" s="1608"/>
      <c r="AA474" s="1608"/>
    </row>
    <row r="475" spans="10:27" s="2462" customFormat="1" ht="21.75" customHeight="1">
      <c r="J475" s="2464"/>
      <c r="K475" s="1608"/>
      <c r="L475" s="1608"/>
      <c r="M475" s="1608"/>
      <c r="N475" s="1608"/>
      <c r="O475" s="1608"/>
      <c r="P475" s="1608"/>
      <c r="Q475" s="1608"/>
      <c r="R475" s="1608"/>
      <c r="S475" s="1608"/>
      <c r="T475" s="1608"/>
      <c r="U475" s="1608"/>
      <c r="V475" s="1608"/>
      <c r="W475" s="1608"/>
      <c r="X475" s="1608"/>
      <c r="Y475" s="1608"/>
      <c r="Z475" s="1608"/>
      <c r="AA475" s="1608"/>
    </row>
    <row r="476" spans="10:27" s="2462" customFormat="1" ht="21.75" customHeight="1">
      <c r="J476" s="2464"/>
      <c r="K476" s="1608"/>
      <c r="L476" s="1608"/>
      <c r="M476" s="1608"/>
      <c r="N476" s="1608"/>
      <c r="O476" s="1608"/>
      <c r="P476" s="1608"/>
      <c r="Q476" s="1608"/>
      <c r="R476" s="1608"/>
      <c r="S476" s="1608"/>
      <c r="T476" s="1608"/>
      <c r="U476" s="1608"/>
      <c r="V476" s="1608"/>
      <c r="W476" s="1608"/>
      <c r="X476" s="1608"/>
      <c r="Y476" s="1608"/>
      <c r="Z476" s="1608"/>
      <c r="AA476" s="1608"/>
    </row>
    <row r="477" spans="10:27" s="2462" customFormat="1" ht="21.75" customHeight="1">
      <c r="J477" s="2464"/>
      <c r="K477" s="1608"/>
      <c r="L477" s="1608"/>
      <c r="M477" s="1608"/>
      <c r="N477" s="1608"/>
      <c r="O477" s="1608"/>
      <c r="P477" s="1608"/>
      <c r="Q477" s="1608"/>
      <c r="R477" s="1608"/>
      <c r="S477" s="1608"/>
      <c r="T477" s="1608"/>
      <c r="U477" s="1608"/>
      <c r="V477" s="1608"/>
      <c r="W477" s="1608"/>
      <c r="X477" s="1608"/>
      <c r="Y477" s="1608"/>
      <c r="Z477" s="1608"/>
      <c r="AA477" s="1608"/>
    </row>
    <row r="478" spans="10:27" s="2462" customFormat="1" ht="21.75" customHeight="1">
      <c r="J478" s="2464"/>
      <c r="K478" s="1608"/>
      <c r="L478" s="1608"/>
      <c r="M478" s="1608"/>
      <c r="N478" s="1608"/>
      <c r="O478" s="1608"/>
      <c r="P478" s="1608"/>
      <c r="Q478" s="1608"/>
      <c r="R478" s="1608"/>
      <c r="S478" s="1608"/>
      <c r="T478" s="1608"/>
      <c r="U478" s="1608"/>
      <c r="V478" s="1608"/>
      <c r="W478" s="1608"/>
      <c r="X478" s="1608"/>
      <c r="Y478" s="1608"/>
      <c r="Z478" s="1608"/>
      <c r="AA478" s="1608"/>
    </row>
    <row r="479" spans="10:27" s="2462" customFormat="1" ht="21.75" customHeight="1">
      <c r="J479" s="2464"/>
      <c r="K479" s="1608"/>
      <c r="L479" s="1608"/>
      <c r="M479" s="1608"/>
      <c r="N479" s="1608"/>
      <c r="O479" s="1608"/>
      <c r="P479" s="1608"/>
      <c r="Q479" s="1608"/>
      <c r="R479" s="1608"/>
      <c r="S479" s="1608"/>
      <c r="T479" s="1608"/>
      <c r="U479" s="1608"/>
      <c r="V479" s="1608"/>
      <c r="W479" s="1608"/>
      <c r="X479" s="1608"/>
      <c r="Y479" s="1608"/>
      <c r="Z479" s="1608"/>
      <c r="AA479" s="1608"/>
    </row>
    <row r="480" spans="10:27" s="2462" customFormat="1" ht="21.75" customHeight="1">
      <c r="J480" s="2464"/>
      <c r="K480" s="1608"/>
      <c r="L480" s="1608"/>
      <c r="M480" s="1608"/>
      <c r="N480" s="1608"/>
      <c r="O480" s="1608"/>
      <c r="P480" s="1608"/>
      <c r="Q480" s="1608"/>
      <c r="R480" s="1608"/>
      <c r="S480" s="1608"/>
      <c r="T480" s="1608"/>
      <c r="U480" s="1608"/>
      <c r="V480" s="1608"/>
      <c r="W480" s="1608"/>
      <c r="X480" s="1608"/>
      <c r="Y480" s="1608"/>
      <c r="Z480" s="1608"/>
      <c r="AA480" s="1608"/>
    </row>
    <row r="481" spans="10:27" s="2462" customFormat="1" ht="21.75" customHeight="1">
      <c r="J481" s="2464"/>
      <c r="K481" s="1608"/>
      <c r="L481" s="1608"/>
      <c r="M481" s="1608"/>
      <c r="N481" s="1608"/>
      <c r="O481" s="1608"/>
      <c r="P481" s="1608"/>
      <c r="Q481" s="1608"/>
      <c r="R481" s="1608"/>
      <c r="S481" s="1608"/>
      <c r="T481" s="1608"/>
      <c r="U481" s="1608"/>
      <c r="V481" s="1608"/>
      <c r="W481" s="1608"/>
      <c r="X481" s="1608"/>
      <c r="Y481" s="1608"/>
      <c r="Z481" s="1608"/>
      <c r="AA481" s="1608"/>
    </row>
    <row r="482" spans="10:27" s="2462" customFormat="1" ht="21.75" customHeight="1">
      <c r="J482" s="2464"/>
      <c r="K482" s="1608"/>
      <c r="L482" s="1608"/>
      <c r="M482" s="1608"/>
      <c r="N482" s="1608"/>
      <c r="O482" s="1608"/>
      <c r="P482" s="1608"/>
      <c r="Q482" s="1608"/>
      <c r="R482" s="1608"/>
      <c r="S482" s="1608"/>
      <c r="T482" s="1608"/>
      <c r="U482" s="1608"/>
      <c r="V482" s="1608"/>
      <c r="W482" s="1608"/>
      <c r="X482" s="1608"/>
      <c r="Y482" s="1608"/>
      <c r="Z482" s="1608"/>
      <c r="AA482" s="1608"/>
    </row>
    <row r="483" spans="10:27" s="2462" customFormat="1" ht="21.75" customHeight="1">
      <c r="J483" s="2464"/>
      <c r="K483" s="1608"/>
      <c r="L483" s="1608"/>
      <c r="M483" s="1608"/>
      <c r="N483" s="1608"/>
      <c r="O483" s="1608"/>
      <c r="P483" s="1608"/>
      <c r="Q483" s="1608"/>
      <c r="R483" s="1608"/>
      <c r="S483" s="1608"/>
      <c r="T483" s="1608"/>
      <c r="U483" s="1608"/>
      <c r="V483" s="1608"/>
      <c r="W483" s="1608"/>
      <c r="X483" s="1608"/>
      <c r="Y483" s="1608"/>
      <c r="Z483" s="1608"/>
      <c r="AA483" s="1608"/>
    </row>
    <row r="484" spans="10:27" s="2462" customFormat="1" ht="21.75" customHeight="1">
      <c r="J484" s="2464"/>
      <c r="K484" s="1608"/>
      <c r="L484" s="1608"/>
      <c r="M484" s="1608"/>
      <c r="N484" s="1608"/>
      <c r="O484" s="1608"/>
      <c r="P484" s="1608"/>
      <c r="Q484" s="1608"/>
      <c r="R484" s="1608"/>
      <c r="S484" s="1608"/>
      <c r="T484" s="1608"/>
      <c r="U484" s="1608"/>
      <c r="V484" s="1608"/>
      <c r="W484" s="1608"/>
      <c r="X484" s="1608"/>
      <c r="Y484" s="1608"/>
      <c r="Z484" s="1608"/>
      <c r="AA484" s="1608"/>
    </row>
    <row r="485" spans="10:27" s="2462" customFormat="1" ht="21.75" customHeight="1">
      <c r="J485" s="2464"/>
      <c r="K485" s="1608"/>
      <c r="L485" s="1608"/>
      <c r="M485" s="1608"/>
      <c r="N485" s="1608"/>
      <c r="O485" s="1608"/>
      <c r="P485" s="1608"/>
      <c r="Q485" s="1608"/>
      <c r="R485" s="1608"/>
      <c r="S485" s="1608"/>
      <c r="T485" s="1608"/>
      <c r="U485" s="1608"/>
      <c r="V485" s="1608"/>
      <c r="W485" s="1608"/>
      <c r="X485" s="1608"/>
      <c r="Y485" s="1608"/>
      <c r="Z485" s="1608"/>
      <c r="AA485" s="1608"/>
    </row>
    <row r="486" spans="10:27" s="2462" customFormat="1" ht="21.75" customHeight="1">
      <c r="J486" s="2464"/>
      <c r="K486" s="1608"/>
      <c r="L486" s="1608"/>
      <c r="M486" s="1608"/>
      <c r="N486" s="1608"/>
      <c r="O486" s="1608"/>
      <c r="P486" s="1608"/>
      <c r="Q486" s="1608"/>
      <c r="R486" s="1608"/>
      <c r="S486" s="1608"/>
      <c r="T486" s="1608"/>
      <c r="U486" s="1608"/>
      <c r="V486" s="1608"/>
      <c r="W486" s="1608"/>
      <c r="X486" s="1608"/>
      <c r="Y486" s="1608"/>
      <c r="Z486" s="1608"/>
      <c r="AA486" s="1608"/>
    </row>
    <row r="487" spans="10:27" s="2462" customFormat="1" ht="21.75" customHeight="1">
      <c r="J487" s="2464"/>
      <c r="K487" s="1608"/>
      <c r="L487" s="1608"/>
      <c r="M487" s="1608"/>
      <c r="N487" s="1608"/>
      <c r="O487" s="1608"/>
      <c r="P487" s="1608"/>
      <c r="Q487" s="1608"/>
      <c r="R487" s="1608"/>
      <c r="S487" s="1608"/>
      <c r="T487" s="1608"/>
      <c r="U487" s="1608"/>
      <c r="V487" s="1608"/>
      <c r="W487" s="1608"/>
      <c r="X487" s="1608"/>
      <c r="Y487" s="1608"/>
      <c r="Z487" s="1608"/>
      <c r="AA487" s="1608"/>
    </row>
    <row r="488" spans="10:27" s="2462" customFormat="1" ht="21.75" customHeight="1">
      <c r="J488" s="2464"/>
      <c r="K488" s="1608"/>
      <c r="L488" s="1608"/>
      <c r="M488" s="1608"/>
      <c r="N488" s="1608"/>
      <c r="O488" s="1608"/>
      <c r="P488" s="1608"/>
      <c r="Q488" s="1608"/>
      <c r="R488" s="1608"/>
      <c r="S488" s="1608"/>
      <c r="T488" s="1608"/>
      <c r="U488" s="1608"/>
      <c r="V488" s="1608"/>
      <c r="W488" s="1608"/>
      <c r="X488" s="1608"/>
      <c r="Y488" s="1608"/>
      <c r="Z488" s="1608"/>
      <c r="AA488" s="1608"/>
    </row>
    <row r="489" spans="10:27" s="2462" customFormat="1" ht="21.75" customHeight="1">
      <c r="J489" s="2464"/>
      <c r="K489" s="1608"/>
      <c r="L489" s="1608"/>
      <c r="M489" s="1608"/>
      <c r="N489" s="1608"/>
      <c r="O489" s="1608"/>
      <c r="P489" s="1608"/>
      <c r="Q489" s="1608"/>
      <c r="R489" s="1608"/>
      <c r="S489" s="1608"/>
      <c r="T489" s="1608"/>
      <c r="U489" s="1608"/>
      <c r="V489" s="1608"/>
      <c r="W489" s="1608"/>
      <c r="X489" s="1608"/>
      <c r="Y489" s="1608"/>
      <c r="Z489" s="1608"/>
      <c r="AA489" s="1608"/>
    </row>
    <row r="490" spans="10:27" s="2462" customFormat="1" ht="21.75" customHeight="1">
      <c r="J490" s="2464"/>
      <c r="K490" s="1608"/>
      <c r="L490" s="1608"/>
      <c r="M490" s="1608"/>
      <c r="N490" s="1608"/>
      <c r="O490" s="1608"/>
      <c r="P490" s="1608"/>
      <c r="Q490" s="1608"/>
      <c r="R490" s="1608"/>
      <c r="S490" s="1608"/>
      <c r="T490" s="1608"/>
      <c r="U490" s="1608"/>
      <c r="V490" s="1608"/>
      <c r="W490" s="1608"/>
      <c r="X490" s="1608"/>
      <c r="Y490" s="1608"/>
      <c r="Z490" s="1608"/>
      <c r="AA490" s="1608"/>
    </row>
    <row r="491" spans="10:27" s="2462" customFormat="1" ht="21.75" customHeight="1">
      <c r="J491" s="2464"/>
      <c r="K491" s="1608"/>
      <c r="L491" s="1608"/>
      <c r="M491" s="1608"/>
      <c r="N491" s="1608"/>
      <c r="O491" s="1608"/>
      <c r="P491" s="1608"/>
      <c r="Q491" s="1608"/>
      <c r="R491" s="1608"/>
      <c r="S491" s="1608"/>
      <c r="T491" s="1608"/>
      <c r="U491" s="1608"/>
      <c r="V491" s="1608"/>
      <c r="W491" s="1608"/>
      <c r="X491" s="1608"/>
      <c r="Y491" s="1608"/>
      <c r="Z491" s="1608"/>
      <c r="AA491" s="1608"/>
    </row>
    <row r="492" spans="10:27" s="2462" customFormat="1" ht="21.75" customHeight="1">
      <c r="J492" s="2464"/>
      <c r="K492" s="1608"/>
      <c r="L492" s="1608"/>
      <c r="M492" s="1608"/>
      <c r="N492" s="1608"/>
      <c r="O492" s="1608"/>
      <c r="P492" s="1608"/>
      <c r="Q492" s="1608"/>
      <c r="R492" s="1608"/>
      <c r="S492" s="1608"/>
      <c r="T492" s="1608"/>
      <c r="U492" s="1608"/>
      <c r="V492" s="1608"/>
      <c r="W492" s="1608"/>
      <c r="X492" s="1608"/>
      <c r="Y492" s="1608"/>
      <c r="Z492" s="1608"/>
      <c r="AA492" s="1608"/>
    </row>
    <row r="493" spans="10:27" s="2462" customFormat="1" ht="21.75" customHeight="1">
      <c r="J493" s="2464"/>
      <c r="K493" s="1608"/>
      <c r="L493" s="1608"/>
      <c r="M493" s="1608"/>
      <c r="N493" s="1608"/>
      <c r="O493" s="1608"/>
      <c r="P493" s="1608"/>
      <c r="Q493" s="1608"/>
      <c r="R493" s="1608"/>
      <c r="S493" s="1608"/>
      <c r="T493" s="1608"/>
      <c r="U493" s="1608"/>
      <c r="V493" s="1608"/>
      <c r="W493" s="1608"/>
      <c r="X493" s="1608"/>
      <c r="Y493" s="1608"/>
      <c r="Z493" s="1608"/>
      <c r="AA493" s="1608"/>
    </row>
    <row r="494" spans="10:27" s="2462" customFormat="1" ht="21.75" customHeight="1">
      <c r="J494" s="2464"/>
      <c r="K494" s="1608"/>
      <c r="L494" s="1608"/>
      <c r="M494" s="1608"/>
      <c r="N494" s="1608"/>
      <c r="O494" s="1608"/>
      <c r="P494" s="1608"/>
      <c r="Q494" s="1608"/>
      <c r="R494" s="1608"/>
      <c r="S494" s="1608"/>
      <c r="T494" s="1608"/>
      <c r="U494" s="1608"/>
      <c r="V494" s="1608"/>
      <c r="W494" s="1608"/>
      <c r="X494" s="1608"/>
      <c r="Y494" s="1608"/>
      <c r="Z494" s="1608"/>
      <c r="AA494" s="1608"/>
    </row>
    <row r="495" spans="10:27" s="2462" customFormat="1" ht="21.75" customHeight="1">
      <c r="J495" s="2464"/>
      <c r="K495" s="1608"/>
      <c r="L495" s="1608"/>
      <c r="M495" s="1608"/>
      <c r="N495" s="1608"/>
      <c r="O495" s="1608"/>
      <c r="P495" s="1608"/>
      <c r="Q495" s="1608"/>
      <c r="R495" s="1608"/>
      <c r="S495" s="1608"/>
      <c r="T495" s="1608"/>
      <c r="U495" s="1608"/>
      <c r="V495" s="1608"/>
      <c r="W495" s="1608"/>
      <c r="X495" s="1608"/>
      <c r="Y495" s="1608"/>
      <c r="Z495" s="1608"/>
      <c r="AA495" s="1608"/>
    </row>
    <row r="496" spans="10:27" s="2462" customFormat="1" ht="21.75" customHeight="1">
      <c r="J496" s="2464"/>
      <c r="K496" s="1608"/>
      <c r="L496" s="1608"/>
      <c r="M496" s="1608"/>
      <c r="N496" s="1608"/>
      <c r="O496" s="1608"/>
      <c r="P496" s="1608"/>
      <c r="Q496" s="1608"/>
      <c r="R496" s="1608"/>
      <c r="S496" s="1608"/>
      <c r="T496" s="1608"/>
      <c r="U496" s="1608"/>
      <c r="V496" s="1608"/>
      <c r="W496" s="1608"/>
      <c r="X496" s="1608"/>
      <c r="Y496" s="1608"/>
      <c r="Z496" s="1608"/>
      <c r="AA496" s="1608"/>
    </row>
    <row r="497" spans="10:27" s="2462" customFormat="1" ht="21.75" customHeight="1">
      <c r="J497" s="2464"/>
      <c r="K497" s="1608"/>
      <c r="L497" s="1608"/>
      <c r="M497" s="1608"/>
      <c r="N497" s="1608"/>
      <c r="O497" s="1608"/>
      <c r="P497" s="1608"/>
      <c r="Q497" s="1608"/>
      <c r="R497" s="1608"/>
      <c r="S497" s="1608"/>
      <c r="T497" s="1608"/>
      <c r="U497" s="1608"/>
      <c r="V497" s="1608"/>
      <c r="W497" s="1608"/>
      <c r="X497" s="1608"/>
      <c r="Y497" s="1608"/>
      <c r="Z497" s="1608"/>
      <c r="AA497" s="1608"/>
    </row>
    <row r="498" spans="10:27" s="2462" customFormat="1" ht="21.75" customHeight="1">
      <c r="J498" s="2464"/>
      <c r="K498" s="1608"/>
      <c r="L498" s="1608"/>
      <c r="M498" s="1608"/>
      <c r="N498" s="1608"/>
      <c r="O498" s="1608"/>
      <c r="P498" s="1608"/>
      <c r="Q498" s="1608"/>
      <c r="R498" s="1608"/>
      <c r="S498" s="1608"/>
      <c r="T498" s="1608"/>
      <c r="U498" s="1608"/>
      <c r="V498" s="1608"/>
      <c r="W498" s="1608"/>
      <c r="X498" s="1608"/>
      <c r="Y498" s="1608"/>
      <c r="Z498" s="1608"/>
      <c r="AA498" s="1608"/>
    </row>
    <row r="499" spans="10:27" s="2462" customFormat="1" ht="21.75" customHeight="1">
      <c r="J499" s="2464"/>
      <c r="K499" s="1608"/>
      <c r="L499" s="1608"/>
      <c r="M499" s="1608"/>
      <c r="N499" s="1608"/>
      <c r="O499" s="1608"/>
      <c r="P499" s="1608"/>
      <c r="Q499" s="1608"/>
      <c r="R499" s="1608"/>
      <c r="S499" s="1608"/>
      <c r="T499" s="1608"/>
      <c r="U499" s="1608"/>
      <c r="V499" s="1608"/>
      <c r="W499" s="1608"/>
      <c r="X499" s="1608"/>
      <c r="Y499" s="1608"/>
      <c r="Z499" s="1608"/>
      <c r="AA499" s="1608"/>
    </row>
    <row r="500" spans="10:27" s="2462" customFormat="1" ht="21.75" customHeight="1">
      <c r="J500" s="2464"/>
      <c r="K500" s="1608"/>
      <c r="L500" s="1608"/>
      <c r="M500" s="1608"/>
      <c r="N500" s="1608"/>
      <c r="O500" s="1608"/>
      <c r="P500" s="1608"/>
      <c r="Q500" s="1608"/>
      <c r="R500" s="1608"/>
      <c r="S500" s="1608"/>
      <c r="T500" s="1608"/>
      <c r="U500" s="1608"/>
      <c r="V500" s="1608"/>
      <c r="W500" s="1608"/>
      <c r="X500" s="1608"/>
      <c r="Y500" s="1608"/>
      <c r="Z500" s="1608"/>
      <c r="AA500" s="1608"/>
    </row>
    <row r="501" spans="10:27" s="2462" customFormat="1" ht="21.75" customHeight="1">
      <c r="J501" s="2464"/>
      <c r="K501" s="1608"/>
      <c r="L501" s="1608"/>
      <c r="M501" s="1608"/>
      <c r="N501" s="1608"/>
      <c r="O501" s="1608"/>
      <c r="P501" s="1608"/>
      <c r="Q501" s="1608"/>
      <c r="R501" s="1608"/>
      <c r="S501" s="1608"/>
      <c r="T501" s="1608"/>
      <c r="U501" s="1608"/>
      <c r="V501" s="1608"/>
      <c r="W501" s="1608"/>
      <c r="X501" s="1608"/>
      <c r="Y501" s="1608"/>
      <c r="Z501" s="1608"/>
      <c r="AA501" s="1608"/>
    </row>
    <row r="502" spans="10:27" s="2462" customFormat="1" ht="21.75" customHeight="1">
      <c r="J502" s="2464"/>
      <c r="K502" s="1608"/>
      <c r="L502" s="1608"/>
      <c r="M502" s="1608"/>
      <c r="N502" s="1608"/>
      <c r="O502" s="1608"/>
      <c r="P502" s="1608"/>
      <c r="Q502" s="1608"/>
      <c r="R502" s="1608"/>
      <c r="S502" s="1608"/>
      <c r="T502" s="1608"/>
      <c r="U502" s="1608"/>
      <c r="V502" s="1608"/>
      <c r="W502" s="1608"/>
      <c r="X502" s="1608"/>
      <c r="Y502" s="1608"/>
      <c r="Z502" s="1608"/>
      <c r="AA502" s="1608"/>
    </row>
    <row r="503" spans="10:27" s="2462" customFormat="1" ht="21.75" customHeight="1">
      <c r="J503" s="2464"/>
      <c r="K503" s="1608"/>
      <c r="L503" s="1608"/>
      <c r="M503" s="1608"/>
      <c r="N503" s="1608"/>
      <c r="O503" s="1608"/>
      <c r="P503" s="1608"/>
      <c r="Q503" s="1608"/>
      <c r="R503" s="1608"/>
      <c r="S503" s="1608"/>
      <c r="T503" s="1608"/>
      <c r="U503" s="1608"/>
      <c r="V503" s="1608"/>
      <c r="W503" s="1608"/>
      <c r="X503" s="1608"/>
      <c r="Y503" s="1608"/>
      <c r="Z503" s="1608"/>
      <c r="AA503" s="1608"/>
    </row>
    <row r="504" spans="10:27" s="2462" customFormat="1" ht="21.75" customHeight="1">
      <c r="J504" s="2464"/>
      <c r="K504" s="1608"/>
      <c r="L504" s="1608"/>
      <c r="M504" s="1608"/>
      <c r="N504" s="1608"/>
      <c r="O504" s="1608"/>
      <c r="P504" s="1608"/>
      <c r="Q504" s="1608"/>
      <c r="R504" s="1608"/>
      <c r="S504" s="1608"/>
      <c r="T504" s="1608"/>
      <c r="U504" s="1608"/>
      <c r="V504" s="1608"/>
      <c r="W504" s="1608"/>
      <c r="X504" s="1608"/>
      <c r="Y504" s="1608"/>
      <c r="Z504" s="1608"/>
      <c r="AA504" s="1608"/>
    </row>
    <row r="505" spans="10:27" s="2462" customFormat="1" ht="21.75" customHeight="1">
      <c r="J505" s="2464"/>
      <c r="K505" s="1608"/>
      <c r="L505" s="1608"/>
      <c r="M505" s="1608"/>
      <c r="N505" s="1608"/>
      <c r="O505" s="1608"/>
      <c r="P505" s="1608"/>
      <c r="Q505" s="1608"/>
      <c r="R505" s="1608"/>
      <c r="S505" s="1608"/>
      <c r="T505" s="1608"/>
      <c r="U505" s="1608"/>
      <c r="V505" s="1608"/>
      <c r="W505" s="1608"/>
      <c r="X505" s="1608"/>
      <c r="Y505" s="1608"/>
      <c r="Z505" s="1608"/>
      <c r="AA505" s="1608"/>
    </row>
    <row r="506" spans="10:27" s="2462" customFormat="1" ht="21.75" customHeight="1">
      <c r="J506" s="2464"/>
      <c r="K506" s="1608"/>
      <c r="L506" s="1608"/>
      <c r="M506" s="1608"/>
      <c r="N506" s="1608"/>
      <c r="O506" s="1608"/>
      <c r="P506" s="1608"/>
      <c r="Q506" s="1608"/>
      <c r="R506" s="1608"/>
      <c r="S506" s="1608"/>
      <c r="T506" s="1608"/>
      <c r="U506" s="1608"/>
      <c r="V506" s="1608"/>
      <c r="W506" s="1608"/>
      <c r="X506" s="1608"/>
      <c r="Y506" s="1608"/>
      <c r="Z506" s="1608"/>
      <c r="AA506" s="1608"/>
    </row>
    <row r="507" spans="10:27" s="2462" customFormat="1" ht="21.75" customHeight="1">
      <c r="J507" s="2464"/>
      <c r="K507" s="1608"/>
      <c r="L507" s="1608"/>
      <c r="M507" s="1608"/>
      <c r="N507" s="1608"/>
      <c r="O507" s="1608"/>
      <c r="P507" s="1608"/>
      <c r="Q507" s="1608"/>
      <c r="R507" s="1608"/>
      <c r="S507" s="1608"/>
      <c r="T507" s="1608"/>
      <c r="U507" s="1608"/>
      <c r="V507" s="1608"/>
      <c r="W507" s="1608"/>
      <c r="X507" s="1608"/>
      <c r="Y507" s="1608"/>
      <c r="Z507" s="1608"/>
      <c r="AA507" s="1608"/>
    </row>
    <row r="508" spans="10:27" s="2462" customFormat="1" ht="21.75" customHeight="1">
      <c r="J508" s="2464"/>
      <c r="K508" s="1608"/>
      <c r="L508" s="1608"/>
      <c r="M508" s="1608"/>
      <c r="N508" s="1608"/>
      <c r="O508" s="1608"/>
      <c r="P508" s="1608"/>
      <c r="Q508" s="1608"/>
      <c r="R508" s="1608"/>
      <c r="S508" s="1608"/>
      <c r="T508" s="1608"/>
      <c r="U508" s="1608"/>
      <c r="V508" s="1608"/>
      <c r="W508" s="1608"/>
      <c r="X508" s="1608"/>
      <c r="Y508" s="1608"/>
      <c r="Z508" s="1608"/>
      <c r="AA508" s="1608"/>
    </row>
    <row r="509" spans="10:27" s="2462" customFormat="1" ht="21.75" customHeight="1">
      <c r="J509" s="2464"/>
      <c r="K509" s="1608"/>
      <c r="L509" s="1608"/>
      <c r="M509" s="1608"/>
      <c r="N509" s="1608"/>
      <c r="O509" s="1608"/>
      <c r="P509" s="1608"/>
      <c r="Q509" s="1608"/>
      <c r="R509" s="1608"/>
      <c r="S509" s="1608"/>
      <c r="T509" s="1608"/>
      <c r="U509" s="1608"/>
      <c r="V509" s="1608"/>
      <c r="W509" s="1608"/>
      <c r="X509" s="1608"/>
      <c r="Y509" s="1608"/>
      <c r="Z509" s="1608"/>
      <c r="AA509" s="1608"/>
    </row>
    <row r="510" spans="10:27" s="2462" customFormat="1" ht="21.75" customHeight="1">
      <c r="J510" s="2464"/>
      <c r="K510" s="1608"/>
      <c r="L510" s="1608"/>
      <c r="M510" s="1608"/>
      <c r="N510" s="1608"/>
      <c r="O510" s="1608"/>
      <c r="P510" s="1608"/>
      <c r="Q510" s="1608"/>
      <c r="R510" s="1608"/>
      <c r="S510" s="1608"/>
      <c r="T510" s="1608"/>
      <c r="U510" s="1608"/>
      <c r="V510" s="1608"/>
      <c r="W510" s="1608"/>
      <c r="X510" s="1608"/>
      <c r="Y510" s="1608"/>
      <c r="Z510" s="1608"/>
      <c r="AA510" s="1608"/>
    </row>
    <row r="511" spans="10:27" s="2462" customFormat="1" ht="21.75" customHeight="1">
      <c r="J511" s="2464"/>
      <c r="K511" s="1608"/>
      <c r="L511" s="1608"/>
      <c r="M511" s="1608"/>
      <c r="N511" s="1608"/>
      <c r="O511" s="1608"/>
      <c r="P511" s="1608"/>
      <c r="Q511" s="1608"/>
      <c r="R511" s="1608"/>
      <c r="S511" s="1608"/>
      <c r="T511" s="1608"/>
      <c r="U511" s="1608"/>
      <c r="V511" s="1608"/>
      <c r="W511" s="1608"/>
      <c r="X511" s="1608"/>
      <c r="Y511" s="1608"/>
      <c r="Z511" s="1608"/>
      <c r="AA511" s="1608"/>
    </row>
    <row r="512" spans="10:27" s="2462" customFormat="1" ht="21.75" customHeight="1">
      <c r="J512" s="2464"/>
      <c r="K512" s="1608"/>
      <c r="L512" s="1608"/>
      <c r="M512" s="1608"/>
      <c r="N512" s="1608"/>
      <c r="O512" s="1608"/>
      <c r="P512" s="1608"/>
      <c r="Q512" s="1608"/>
      <c r="R512" s="1608"/>
      <c r="S512" s="1608"/>
      <c r="T512" s="1608"/>
      <c r="U512" s="1608"/>
      <c r="V512" s="1608"/>
      <c r="W512" s="1608"/>
      <c r="X512" s="1608"/>
      <c r="Y512" s="1608"/>
      <c r="Z512" s="1608"/>
      <c r="AA512" s="1608"/>
    </row>
    <row r="513" spans="6:27" s="2462" customFormat="1" ht="21.75" customHeight="1">
      <c r="J513" s="2464"/>
      <c r="K513" s="1608"/>
      <c r="L513" s="1608"/>
      <c r="M513" s="1608"/>
      <c r="N513" s="1608"/>
      <c r="O513" s="1608"/>
      <c r="P513" s="1608"/>
      <c r="Q513" s="1608"/>
      <c r="R513" s="1608"/>
      <c r="S513" s="1608"/>
      <c r="T513" s="1608"/>
      <c r="U513" s="1608"/>
      <c r="V513" s="1608"/>
      <c r="W513" s="1608"/>
      <c r="X513" s="1608"/>
      <c r="Y513" s="1608"/>
      <c r="Z513" s="1608"/>
      <c r="AA513" s="1608"/>
    </row>
    <row r="514" spans="6:27" s="2462" customFormat="1" ht="21.75" customHeight="1">
      <c r="J514" s="2464"/>
      <c r="K514" s="1608"/>
      <c r="L514" s="1608"/>
      <c r="M514" s="1608"/>
      <c r="N514" s="1608"/>
      <c r="O514" s="1608"/>
      <c r="P514" s="1608"/>
      <c r="Q514" s="1608"/>
      <c r="R514" s="1608"/>
      <c r="S514" s="1608"/>
      <c r="T514" s="1608"/>
      <c r="U514" s="1608"/>
      <c r="V514" s="1608"/>
      <c r="W514" s="1608"/>
      <c r="X514" s="1608"/>
      <c r="Y514" s="1608"/>
      <c r="Z514" s="1608"/>
      <c r="AA514" s="1608"/>
    </row>
    <row r="515" spans="6:27" s="2462" customFormat="1" ht="21.75" customHeight="1">
      <c r="J515" s="2464"/>
      <c r="K515" s="1608"/>
      <c r="L515" s="1608"/>
      <c r="M515" s="1608"/>
      <c r="N515" s="1608"/>
      <c r="O515" s="1608"/>
      <c r="P515" s="1608"/>
      <c r="Q515" s="1608"/>
      <c r="R515" s="1608"/>
      <c r="S515" s="1608"/>
      <c r="T515" s="1608"/>
      <c r="U515" s="1608"/>
      <c r="V515" s="1608"/>
      <c r="W515" s="1608"/>
      <c r="X515" s="1608"/>
      <c r="Y515" s="1608"/>
      <c r="Z515" s="1608"/>
      <c r="AA515" s="1608"/>
    </row>
    <row r="516" spans="6:27" s="2462" customFormat="1" ht="21.75" customHeight="1">
      <c r="J516" s="2464"/>
      <c r="K516" s="1608"/>
      <c r="L516" s="1608"/>
      <c r="M516" s="1608"/>
      <c r="N516" s="1608"/>
      <c r="O516" s="1608"/>
      <c r="P516" s="1608"/>
      <c r="Q516" s="1608"/>
      <c r="R516" s="1608"/>
      <c r="S516" s="1608"/>
      <c r="T516" s="1608"/>
      <c r="U516" s="1608"/>
      <c r="V516" s="1608"/>
      <c r="W516" s="1608"/>
      <c r="X516" s="1608"/>
      <c r="Y516" s="1608"/>
      <c r="Z516" s="1608"/>
      <c r="AA516" s="1608"/>
    </row>
    <row r="517" spans="6:27" s="2462" customFormat="1" ht="21.75" customHeight="1">
      <c r="J517" s="2464"/>
      <c r="K517" s="1608"/>
      <c r="L517" s="1608"/>
      <c r="M517" s="1608"/>
      <c r="N517" s="1608"/>
      <c r="O517" s="1608"/>
      <c r="P517" s="1608"/>
      <c r="Q517" s="1608"/>
      <c r="R517" s="1608"/>
      <c r="S517" s="1608"/>
      <c r="T517" s="1608"/>
      <c r="U517" s="1608"/>
      <c r="V517" s="1608"/>
      <c r="W517" s="1608"/>
      <c r="X517" s="1608"/>
      <c r="Y517" s="1608"/>
      <c r="Z517" s="1608"/>
      <c r="AA517" s="1608"/>
    </row>
    <row r="518" spans="6:27" s="2462" customFormat="1" ht="21.75" customHeight="1">
      <c r="J518" s="2464"/>
      <c r="K518" s="1608"/>
      <c r="L518" s="1608"/>
      <c r="M518" s="1608"/>
      <c r="N518" s="1608"/>
      <c r="O518" s="1608"/>
      <c r="P518" s="1608"/>
      <c r="Q518" s="1608"/>
      <c r="R518" s="1608"/>
      <c r="S518" s="1608"/>
      <c r="T518" s="1608"/>
      <c r="U518" s="1608"/>
      <c r="V518" s="1608"/>
      <c r="W518" s="1608"/>
      <c r="X518" s="1608"/>
      <c r="Y518" s="1608"/>
      <c r="Z518" s="1608"/>
      <c r="AA518" s="1608"/>
    </row>
    <row r="519" spans="6:27" s="2462" customFormat="1" ht="21.75" customHeight="1">
      <c r="J519" s="2464"/>
      <c r="K519" s="1608"/>
      <c r="L519" s="1608"/>
      <c r="M519" s="1608"/>
      <c r="N519" s="1608"/>
      <c r="O519" s="1608"/>
      <c r="P519" s="1608"/>
      <c r="Q519" s="1608"/>
      <c r="R519" s="1608"/>
      <c r="S519" s="1608"/>
      <c r="T519" s="1608"/>
      <c r="U519" s="1608"/>
      <c r="V519" s="1608"/>
      <c r="W519" s="1608"/>
      <c r="X519" s="1608"/>
      <c r="Y519" s="1608"/>
      <c r="Z519" s="1608"/>
      <c r="AA519" s="1608"/>
    </row>
    <row r="520" spans="6:27" s="2462" customFormat="1" ht="21.75" customHeight="1">
      <c r="F520" s="2463"/>
      <c r="G520" s="2463"/>
      <c r="H520" s="2463"/>
      <c r="I520" s="2463"/>
      <c r="J520" s="2464"/>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view="pageBreakPreview" topLeftCell="A23" zoomScale="80" zoomScaleNormal="70" zoomScaleSheetLayoutView="80" workbookViewId="0">
      <selection activeCell="L49" sqref="L49"/>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867</v>
      </c>
      <c r="C1" s="1480" t="s">
        <v>97</v>
      </c>
      <c r="D1" s="2363"/>
      <c r="E1" s="1481" t="s">
        <v>868</v>
      </c>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16" customFormat="1" ht="28.5" customHeight="1">
      <c r="A2" s="1483" t="s">
        <v>870</v>
      </c>
      <c r="B2" s="1484">
        <f>IF(D2="——",IF(C2="元",ROUND(C49*D3,0),ROUND(C49*D3/10000,0)),IF(C2="元",ROUND(C49*D3,0),ROUND(C49*D3/10000,0))-E2)</f>
        <v>2668225</v>
      </c>
      <c r="C2" s="1485" t="str">
        <f>'数据-取费表'!B3</f>
        <v>元</v>
      </c>
      <c r="D2" s="1486" t="s">
        <v>121</v>
      </c>
      <c r="E2" s="2364" t="e">
        <f ca="1">SUMIF(INDIRECT("'"&amp;G2&amp;"'"&amp;"!A:A"),"承租人权益价值",INDIRECT("'"&amp;G2&amp;"'"&amp;"!c:c"))</f>
        <v>#REF!</v>
      </c>
      <c r="F2" s="1488" t="str">
        <f>C2</f>
        <v>元</v>
      </c>
      <c r="G2" s="1489"/>
      <c r="H2" s="2365"/>
      <c r="I2" s="2365"/>
      <c r="J2" s="2365"/>
      <c r="K2" s="2385"/>
      <c r="L2" s="2386"/>
      <c r="M2" s="2365"/>
      <c r="N2" s="2365"/>
      <c r="O2" s="2365"/>
      <c r="P2" s="2387"/>
      <c r="Q2" s="1028"/>
      <c r="R2" s="1028"/>
      <c r="S2" s="1028"/>
      <c r="T2" s="1028"/>
      <c r="U2" s="1028"/>
      <c r="V2" s="1028"/>
      <c r="W2" s="1028"/>
      <c r="X2" s="1028"/>
      <c r="Y2" s="1028"/>
      <c r="Z2" s="1028"/>
      <c r="AA2" s="1028"/>
      <c r="AB2" s="1028"/>
      <c r="AC2" s="2408"/>
    </row>
    <row r="3" spans="1:29" s="2116" customFormat="1" ht="28.5" customHeight="1">
      <c r="A3" s="390" t="s">
        <v>871</v>
      </c>
      <c r="B3" s="1490">
        <f>ROUND(IF(D2="——",C49,IF(C2="万元",B2*10000/D3,B2/D3)),0)</f>
        <v>45140</v>
      </c>
      <c r="C3" s="1490" t="s">
        <v>872</v>
      </c>
      <c r="D3" s="1490">
        <f>IF(C1="仅计算典型户型",'数据-取费表'!E5,'数据-取费表'!B5)</f>
        <v>59.11</v>
      </c>
      <c r="E3" s="2365"/>
      <c r="F3" s="2366"/>
      <c r="G3" s="2365"/>
      <c r="H3" s="2365"/>
      <c r="I3" s="2365"/>
      <c r="J3" s="2365"/>
      <c r="K3" s="2385"/>
      <c r="L3" s="2386"/>
      <c r="M3" s="2365"/>
      <c r="N3" s="2365"/>
      <c r="O3" s="2365"/>
      <c r="P3" s="2388"/>
      <c r="Q3" s="1028"/>
      <c r="R3" s="1028"/>
      <c r="S3" s="1028"/>
      <c r="T3" s="1028"/>
      <c r="U3" s="1028"/>
      <c r="V3" s="1028"/>
      <c r="W3" s="1028"/>
      <c r="X3" s="1028"/>
      <c r="Y3" s="1028"/>
      <c r="Z3" s="1028"/>
      <c r="AA3" s="1028"/>
      <c r="AB3" s="1028"/>
      <c r="AC3" s="2409"/>
    </row>
    <row r="4" spans="1:29" ht="15">
      <c r="A4" s="1032" t="s">
        <v>873</v>
      </c>
      <c r="B4" s="1033"/>
      <c r="C4" s="3583" t="s">
        <v>874</v>
      </c>
      <c r="D4" s="3584"/>
      <c r="E4" s="3585" t="s">
        <v>875</v>
      </c>
      <c r="F4" s="3586"/>
      <c r="G4" s="3583" t="s">
        <v>876</v>
      </c>
      <c r="H4" s="3584"/>
      <c r="I4" s="3583" t="s">
        <v>877</v>
      </c>
      <c r="J4" s="3584"/>
      <c r="K4" s="2389" t="s">
        <v>878</v>
      </c>
      <c r="L4" s="1159"/>
      <c r="M4" s="1160"/>
      <c r="N4" s="1160"/>
      <c r="O4" s="1160"/>
      <c r="P4" s="3546" t="s">
        <v>879</v>
      </c>
      <c r="Q4" s="3547"/>
      <c r="R4" s="3552" t="s">
        <v>875</v>
      </c>
      <c r="S4" s="3553"/>
      <c r="T4" s="3552" t="s">
        <v>876</v>
      </c>
      <c r="U4" s="3553"/>
      <c r="V4" s="3558" t="s">
        <v>877</v>
      </c>
      <c r="W4" s="3558"/>
      <c r="X4" s="1197"/>
      <c r="Y4" s="3552" t="s">
        <v>879</v>
      </c>
      <c r="Z4" s="3553"/>
      <c r="AA4" s="3543" t="s">
        <v>875</v>
      </c>
      <c r="AB4" s="3543" t="s">
        <v>876</v>
      </c>
      <c r="AC4" s="3543" t="s">
        <v>877</v>
      </c>
    </row>
    <row r="5" spans="1:29" ht="15">
      <c r="A5" s="1034"/>
      <c r="B5" s="1035"/>
      <c r="C5" s="3587" t="s">
        <v>880</v>
      </c>
      <c r="D5" s="3588"/>
      <c r="E5" s="3589" t="s">
        <v>881</v>
      </c>
      <c r="F5" s="3590"/>
      <c r="G5" s="3591" t="str">
        <f>E5</f>
        <v>模式口南里</v>
      </c>
      <c r="H5" s="3588"/>
      <c r="I5" s="3591" t="str">
        <f>E5</f>
        <v>模式口南里</v>
      </c>
      <c r="J5" s="3588"/>
      <c r="K5" s="2390"/>
      <c r="L5" s="1159"/>
      <c r="M5" s="1160"/>
      <c r="N5" s="1160"/>
      <c r="O5" s="1160"/>
      <c r="P5" s="3548"/>
      <c r="Q5" s="3549"/>
      <c r="R5" s="3554"/>
      <c r="S5" s="3555"/>
      <c r="T5" s="3554"/>
      <c r="U5" s="3555"/>
      <c r="V5" s="3558"/>
      <c r="W5" s="3558"/>
      <c r="X5" s="1197"/>
      <c r="Y5" s="3554"/>
      <c r="Z5" s="3555"/>
      <c r="AA5" s="3544"/>
      <c r="AB5" s="3544"/>
      <c r="AC5" s="3544"/>
    </row>
    <row r="6" spans="1:29" ht="15">
      <c r="A6" s="1036"/>
      <c r="B6" s="1037"/>
      <c r="C6" s="3578" t="s">
        <v>882</v>
      </c>
      <c r="D6" s="3579"/>
      <c r="E6" s="3580" t="s">
        <v>882</v>
      </c>
      <c r="F6" s="3581"/>
      <c r="G6" s="3578" t="s">
        <v>882</v>
      </c>
      <c r="H6" s="3579"/>
      <c r="I6" s="3578" t="s">
        <v>882</v>
      </c>
      <c r="J6" s="3579"/>
      <c r="K6" s="2390" t="s">
        <v>883</v>
      </c>
      <c r="L6" s="1159"/>
      <c r="M6" s="1160"/>
      <c r="N6" s="1160"/>
      <c r="O6" s="1160"/>
      <c r="P6" s="3550"/>
      <c r="Q6" s="3551"/>
      <c r="R6" s="3554"/>
      <c r="S6" s="3555"/>
      <c r="T6" s="3556"/>
      <c r="U6" s="3557"/>
      <c r="V6" s="3558"/>
      <c r="W6" s="3558"/>
      <c r="X6" s="1197"/>
      <c r="Y6" s="3556"/>
      <c r="Z6" s="3557"/>
      <c r="AA6" s="3545"/>
      <c r="AB6" s="3545"/>
      <c r="AC6" s="3545"/>
    </row>
    <row r="7" spans="1:29" s="1014" customFormat="1" ht="15">
      <c r="A7" s="1038" t="s">
        <v>884</v>
      </c>
      <c r="B7" s="1039"/>
      <c r="C7" s="1040">
        <f>'数据-取费表'!B2</f>
        <v>44873</v>
      </c>
      <c r="D7" s="1041">
        <v>100</v>
      </c>
      <c r="E7" s="1042">
        <f>案例!J41</f>
        <v>44756</v>
      </c>
      <c r="F7" s="1043">
        <f>SUMIF(58:58,YEAR(E7)&amp;"-"&amp;MONTH(E7),59:59)</f>
        <v>99.5</v>
      </c>
      <c r="G7" s="1042">
        <f>案例!J46</f>
        <v>44646</v>
      </c>
      <c r="H7" s="1041">
        <f>SUMIF(58:58,YEAR(G7)&amp;"-"&amp;MONTH(G7),59:59)</f>
        <v>98.5</v>
      </c>
      <c r="I7" s="1042">
        <f>案例!J50</f>
        <v>44608</v>
      </c>
      <c r="J7" s="1041">
        <f>SUMIF(58:58,YEAR(I7)&amp;"-"&amp;MONTH(I7),59:59)</f>
        <v>98.5</v>
      </c>
      <c r="K7" s="2391"/>
      <c r="L7" s="1159"/>
      <c r="M7" s="1162"/>
      <c r="N7" s="1162"/>
      <c r="O7" s="1162"/>
      <c r="P7" s="3566" t="s">
        <v>885</v>
      </c>
      <c r="Q7" s="3582"/>
      <c r="R7" s="1199" t="s">
        <v>886</v>
      </c>
      <c r="S7" s="1200">
        <f t="shared" ref="S7:S15" si="0">F7</f>
        <v>99.5</v>
      </c>
      <c r="T7" s="1199" t="s">
        <v>886</v>
      </c>
      <c r="U7" s="1200">
        <f t="shared" ref="U7:U15" si="1">H7</f>
        <v>98.5</v>
      </c>
      <c r="V7" s="1199" t="s">
        <v>886</v>
      </c>
      <c r="W7" s="1200">
        <f t="shared" ref="W7:W15" si="2">J7</f>
        <v>98.5</v>
      </c>
      <c r="X7" s="1201"/>
      <c r="Y7" s="3566" t="s">
        <v>885</v>
      </c>
      <c r="Z7" s="3567"/>
      <c r="AA7" s="1214">
        <f>D7/F7</f>
        <v>1.0050251256281399</v>
      </c>
      <c r="AB7" s="1214">
        <f>D7/H7</f>
        <v>1.0152284263959399</v>
      </c>
      <c r="AC7" s="1214">
        <f>D7/J7</f>
        <v>1.0152284263959399</v>
      </c>
    </row>
    <row r="8" spans="1:29" s="1014" customFormat="1" ht="15">
      <c r="A8" s="1038" t="s">
        <v>887</v>
      </c>
      <c r="B8" s="1039"/>
      <c r="C8" s="1045" t="s">
        <v>888</v>
      </c>
      <c r="D8" s="1041">
        <v>100</v>
      </c>
      <c r="E8" s="2367" t="s">
        <v>889</v>
      </c>
      <c r="F8" s="1043">
        <f>SUMIF(61:61,E8,62:62)-SUMIF(61:61,C8,62:62)+100</f>
        <v>100</v>
      </c>
      <c r="G8" s="1045" t="s">
        <v>889</v>
      </c>
      <c r="H8" s="1041">
        <f>SUMIF(61:61,G8,62:62)-SUMIF(61:61,C8,62:62)+100</f>
        <v>100</v>
      </c>
      <c r="I8" s="2367" t="s">
        <v>889</v>
      </c>
      <c r="J8" s="1041">
        <f>SUMIF(61:61,I8,62:62)-SUMIF(61:61,C8,62:62)+100</f>
        <v>100</v>
      </c>
      <c r="K8" s="2391"/>
      <c r="L8" s="1159"/>
      <c r="M8" s="1162"/>
      <c r="N8" s="1162"/>
      <c r="O8" s="1162"/>
      <c r="P8" s="3566" t="s">
        <v>890</v>
      </c>
      <c r="Q8" s="3567"/>
      <c r="R8" s="1199" t="s">
        <v>886</v>
      </c>
      <c r="S8" s="1200">
        <f t="shared" si="0"/>
        <v>100</v>
      </c>
      <c r="T8" s="1199" t="s">
        <v>886</v>
      </c>
      <c r="U8" s="1200">
        <f t="shared" si="1"/>
        <v>100</v>
      </c>
      <c r="V8" s="1199" t="s">
        <v>886</v>
      </c>
      <c r="W8" s="1200">
        <f t="shared" si="2"/>
        <v>100</v>
      </c>
      <c r="X8" s="1201"/>
      <c r="Y8" s="3566" t="s">
        <v>890</v>
      </c>
      <c r="Z8" s="3567"/>
      <c r="AA8" s="1214">
        <f t="shared" ref="AA8:AA46" si="3">D8/F8</f>
        <v>1</v>
      </c>
      <c r="AB8" s="1214">
        <f t="shared" ref="AB8:AB46" si="4">D8/H8</f>
        <v>1</v>
      </c>
      <c r="AC8" s="1214">
        <f t="shared" ref="AC8:AC46" si="5">D8/J8</f>
        <v>1</v>
      </c>
    </row>
    <row r="9" spans="1:29" s="1014" customFormat="1">
      <c r="A9" s="1046" t="s">
        <v>891</v>
      </c>
      <c r="B9" s="1047" t="s">
        <v>892</v>
      </c>
      <c r="C9" s="2368" t="s">
        <v>461</v>
      </c>
      <c r="D9" s="2369">
        <v>100</v>
      </c>
      <c r="E9" s="2370" t="s">
        <v>461</v>
      </c>
      <c r="F9" s="2371">
        <f>SUMIF(63:63,E9,64:64)-SUMIF(63:63,C9,64:64)+100</f>
        <v>100</v>
      </c>
      <c r="G9" s="2372" t="s">
        <v>461</v>
      </c>
      <c r="H9" s="2369">
        <f>SUMIF(63:63,G9,64:64)-SUMIF(63:63,C9,64:64)+100</f>
        <v>100</v>
      </c>
      <c r="I9" s="2392" t="s">
        <v>461</v>
      </c>
      <c r="J9" s="1049">
        <f>SUMIF(63:63,I9,64:64)-SUMIF(63:63,C9,64:64)+100</f>
        <v>100</v>
      </c>
      <c r="K9" s="2391"/>
      <c r="L9" s="1159"/>
      <c r="M9" s="1162"/>
      <c r="N9" s="1162"/>
      <c r="O9" s="1162"/>
      <c r="P9" s="3568" t="s">
        <v>893</v>
      </c>
      <c r="Q9" s="1203" t="str">
        <f t="shared" ref="Q9:Q15" si="6">B9</f>
        <v>用途</v>
      </c>
      <c r="R9" s="1199" t="s">
        <v>886</v>
      </c>
      <c r="S9" s="1200">
        <f t="shared" si="0"/>
        <v>100</v>
      </c>
      <c r="T9" s="1199" t="s">
        <v>886</v>
      </c>
      <c r="U9" s="1200">
        <f t="shared" si="1"/>
        <v>100</v>
      </c>
      <c r="V9" s="1199" t="s">
        <v>886</v>
      </c>
      <c r="W9" s="1200">
        <f t="shared" si="2"/>
        <v>100</v>
      </c>
      <c r="X9" s="1201"/>
      <c r="Y9" s="3415" t="s">
        <v>894</v>
      </c>
      <c r="Z9" s="1215" t="str">
        <f t="shared" ref="Z9:Z15" si="7">Q9</f>
        <v>用途</v>
      </c>
      <c r="AA9" s="1214">
        <f t="shared" si="3"/>
        <v>1</v>
      </c>
      <c r="AB9" s="1214">
        <f t="shared" si="4"/>
        <v>1</v>
      </c>
      <c r="AC9" s="1214">
        <f t="shared" si="5"/>
        <v>1</v>
      </c>
    </row>
    <row r="10" spans="1:29" s="1015" customFormat="1" ht="27">
      <c r="A10" s="1050"/>
      <c r="B10" s="1051" t="s">
        <v>895</v>
      </c>
      <c r="C10" s="1494"/>
      <c r="D10" s="1053">
        <v>100</v>
      </c>
      <c r="E10" s="1495"/>
      <c r="F10" s="1513">
        <f>SUMIF(65:65,E10,66:66)-SUMIF(65:65,C10,66:66)+100</f>
        <v>100</v>
      </c>
      <c r="G10" s="1494"/>
      <c r="H10" s="1053">
        <f>SUMIF(65:65,G10,66:66)-SUMIF(65:65,C10,66:66)+100</f>
        <v>100</v>
      </c>
      <c r="I10" s="1494"/>
      <c r="J10" s="1053">
        <f>SUMIF(65:65,I10,66:66)-SUMIF(65:65,C10,66:66)+100</f>
        <v>100</v>
      </c>
      <c r="K10" s="2393"/>
      <c r="L10" s="1166"/>
      <c r="M10" s="1167"/>
      <c r="N10" s="1167"/>
      <c r="O10" s="1167"/>
      <c r="P10" s="3568"/>
      <c r="Q10" s="1203" t="str">
        <f t="shared" si="6"/>
        <v>土地使用年限（年）</v>
      </c>
      <c r="R10" s="1199" t="s">
        <v>886</v>
      </c>
      <c r="S10" s="1200">
        <f t="shared" si="0"/>
        <v>100</v>
      </c>
      <c r="T10" s="1199" t="s">
        <v>886</v>
      </c>
      <c r="U10" s="1200">
        <f t="shared" si="1"/>
        <v>100</v>
      </c>
      <c r="V10" s="1199" t="s">
        <v>886</v>
      </c>
      <c r="W10" s="1200">
        <f t="shared" si="2"/>
        <v>100</v>
      </c>
      <c r="X10" s="1201"/>
      <c r="Y10" s="3415"/>
      <c r="Z10" s="1215" t="str">
        <f t="shared" si="7"/>
        <v>土地使用年限（年）</v>
      </c>
      <c r="AA10" s="1214">
        <f t="shared" si="3"/>
        <v>1</v>
      </c>
      <c r="AB10" s="1214">
        <f t="shared" si="4"/>
        <v>1</v>
      </c>
      <c r="AC10" s="1214">
        <f t="shared" si="5"/>
        <v>1</v>
      </c>
    </row>
    <row r="11" spans="1:29" ht="15">
      <c r="A11" s="483"/>
      <c r="B11" s="1051" t="s">
        <v>896</v>
      </c>
      <c r="C11" s="1056">
        <v>2</v>
      </c>
      <c r="D11" s="1053">
        <v>100</v>
      </c>
      <c r="E11" s="1057">
        <v>2</v>
      </c>
      <c r="F11" s="1513">
        <f>LOOKUP(E11,68:68,69:69)-LOOKUP(C11,68:68,69:69)+100</f>
        <v>100</v>
      </c>
      <c r="G11" s="1056">
        <v>2</v>
      </c>
      <c r="H11" s="1053">
        <f>LOOKUP(G11,68:68,69:69)-LOOKUP(C11,68:68,69:69)+100</f>
        <v>100</v>
      </c>
      <c r="I11" s="1056">
        <v>2</v>
      </c>
      <c r="J11" s="1053">
        <f>LOOKUP(I11,68:68,69:69)-LOOKUP(C11,68:68,69:69)+100</f>
        <v>100</v>
      </c>
      <c r="K11" s="2393"/>
      <c r="L11" s="1170"/>
      <c r="M11" s="1160"/>
      <c r="N11" s="1160"/>
      <c r="O11" s="1160"/>
      <c r="P11" s="3568"/>
      <c r="Q11" s="1203" t="str">
        <f t="shared" si="6"/>
        <v>容积率</v>
      </c>
      <c r="R11" s="1199" t="s">
        <v>886</v>
      </c>
      <c r="S11" s="1200">
        <f t="shared" si="0"/>
        <v>100</v>
      </c>
      <c r="T11" s="1199" t="s">
        <v>886</v>
      </c>
      <c r="U11" s="1200">
        <f t="shared" si="1"/>
        <v>100</v>
      </c>
      <c r="V11" s="1199" t="s">
        <v>886</v>
      </c>
      <c r="W11" s="1200">
        <f t="shared" si="2"/>
        <v>100</v>
      </c>
      <c r="X11" s="1201"/>
      <c r="Y11" s="3415"/>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94"/>
      <c r="L12" s="1159"/>
      <c r="M12" s="1162"/>
      <c r="N12" s="1162"/>
      <c r="O12" s="1162"/>
      <c r="P12" s="3568"/>
      <c r="Q12" s="1203">
        <f t="shared" si="6"/>
        <v>111</v>
      </c>
      <c r="R12" s="1199" t="s">
        <v>886</v>
      </c>
      <c r="S12" s="1200">
        <f t="shared" si="0"/>
        <v>100</v>
      </c>
      <c r="T12" s="1199" t="s">
        <v>886</v>
      </c>
      <c r="U12" s="1200">
        <f t="shared" si="1"/>
        <v>100</v>
      </c>
      <c r="V12" s="1199" t="s">
        <v>886</v>
      </c>
      <c r="W12" s="1200">
        <f t="shared" si="2"/>
        <v>100</v>
      </c>
      <c r="X12" s="1201"/>
      <c r="Y12" s="341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94"/>
      <c r="L13" s="1172"/>
      <c r="M13" s="1160"/>
      <c r="N13" s="1160"/>
      <c r="O13" s="1160"/>
      <c r="P13" s="3568"/>
      <c r="Q13" s="1203">
        <f t="shared" si="6"/>
        <v>111</v>
      </c>
      <c r="R13" s="1199" t="s">
        <v>886</v>
      </c>
      <c r="S13" s="1200">
        <f t="shared" si="0"/>
        <v>100</v>
      </c>
      <c r="T13" s="1199" t="s">
        <v>886</v>
      </c>
      <c r="U13" s="1200">
        <f t="shared" si="1"/>
        <v>100</v>
      </c>
      <c r="V13" s="1199" t="s">
        <v>886</v>
      </c>
      <c r="W13" s="1200">
        <f t="shared" si="2"/>
        <v>100</v>
      </c>
      <c r="X13" s="1201"/>
      <c r="Y13" s="3415"/>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94"/>
      <c r="L14" s="1172"/>
      <c r="M14" s="1160"/>
      <c r="N14" s="1160"/>
      <c r="O14" s="1160"/>
      <c r="P14" s="3568"/>
      <c r="Q14" s="1203">
        <f t="shared" si="6"/>
        <v>111</v>
      </c>
      <c r="R14" s="1199" t="s">
        <v>886</v>
      </c>
      <c r="S14" s="1200">
        <f t="shared" si="0"/>
        <v>100</v>
      </c>
      <c r="T14" s="1199" t="s">
        <v>886</v>
      </c>
      <c r="U14" s="1200">
        <f t="shared" si="1"/>
        <v>100</v>
      </c>
      <c r="V14" s="1199" t="s">
        <v>886</v>
      </c>
      <c r="W14" s="1200">
        <f t="shared" si="2"/>
        <v>100</v>
      </c>
      <c r="X14" s="1201"/>
      <c r="Y14" s="3415"/>
      <c r="Z14" s="1215">
        <f t="shared" si="7"/>
        <v>111</v>
      </c>
      <c r="AA14" s="1214">
        <f t="shared" si="3"/>
        <v>1</v>
      </c>
      <c r="AB14" s="1214">
        <f t="shared" si="4"/>
        <v>1</v>
      </c>
      <c r="AC14" s="1214">
        <f t="shared" si="5"/>
        <v>1</v>
      </c>
    </row>
    <row r="15" spans="1:29" ht="99.75">
      <c r="A15" s="459" t="s">
        <v>897</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95">
        <v>5</v>
      </c>
      <c r="L15" s="1172"/>
      <c r="M15" s="1160"/>
      <c r="N15" s="1160"/>
      <c r="O15" s="1160"/>
      <c r="P15" s="3569" t="s">
        <v>898</v>
      </c>
      <c r="Q15" s="470" t="str">
        <f t="shared" si="6"/>
        <v>居住社区成熟度</v>
      </c>
      <c r="R15" s="1204" t="s">
        <v>886</v>
      </c>
      <c r="S15" s="1205">
        <f t="shared" si="0"/>
        <v>100</v>
      </c>
      <c r="T15" s="1204" t="s">
        <v>886</v>
      </c>
      <c r="U15" s="1205">
        <f t="shared" si="1"/>
        <v>100</v>
      </c>
      <c r="V15" s="1204" t="s">
        <v>886</v>
      </c>
      <c r="W15" s="1205">
        <f t="shared" si="2"/>
        <v>100</v>
      </c>
      <c r="X15" s="1197"/>
      <c r="Y15" s="3574" t="s">
        <v>898</v>
      </c>
      <c r="Z15" s="1196" t="str">
        <f t="shared" si="7"/>
        <v>居住社区成熟度</v>
      </c>
      <c r="AA15" s="1216">
        <f t="shared" si="3"/>
        <v>1</v>
      </c>
      <c r="AB15" s="1216">
        <f t="shared" si="4"/>
        <v>1</v>
      </c>
      <c r="AC15" s="1216">
        <f t="shared" si="5"/>
        <v>1</v>
      </c>
    </row>
    <row r="16" spans="1:29" ht="15">
      <c r="A16" s="483"/>
      <c r="B16" s="1570"/>
      <c r="C16" s="1177" t="s">
        <v>899</v>
      </c>
      <c r="D16" s="1075"/>
      <c r="E16" s="1076" t="s">
        <v>899</v>
      </c>
      <c r="F16" s="1571"/>
      <c r="G16" s="1093" t="s">
        <v>899</v>
      </c>
      <c r="H16" s="1077"/>
      <c r="I16" s="1076" t="s">
        <v>899</v>
      </c>
      <c r="J16" s="1075"/>
      <c r="K16" s="2396"/>
      <c r="L16" s="1172"/>
      <c r="M16" s="1160"/>
      <c r="N16" s="1160"/>
      <c r="O16" s="1160"/>
      <c r="P16" s="3570"/>
      <c r="Q16" s="470"/>
      <c r="R16" s="1204"/>
      <c r="S16" s="1205"/>
      <c r="T16" s="1204"/>
      <c r="U16" s="1205"/>
      <c r="V16" s="1204"/>
      <c r="W16" s="1205"/>
      <c r="X16" s="1197"/>
      <c r="Y16" s="3575"/>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95">
        <v>3</v>
      </c>
      <c r="L17" s="1172"/>
      <c r="M17" s="1160"/>
      <c r="N17" s="1160"/>
      <c r="O17" s="1160"/>
      <c r="P17" s="3570"/>
      <c r="Q17" s="470" t="str">
        <f>B17</f>
        <v>交通便捷度</v>
      </c>
      <c r="R17" s="1204" t="s">
        <v>886</v>
      </c>
      <c r="S17" s="1205">
        <f>F17</f>
        <v>100</v>
      </c>
      <c r="T17" s="1204" t="s">
        <v>886</v>
      </c>
      <c r="U17" s="1205">
        <f>H17</f>
        <v>100</v>
      </c>
      <c r="V17" s="1204" t="s">
        <v>886</v>
      </c>
      <c r="W17" s="1205">
        <f>J17</f>
        <v>100</v>
      </c>
      <c r="X17" s="1197"/>
      <c r="Y17" s="3575"/>
      <c r="Z17" s="1196" t="str">
        <f>Q17</f>
        <v>交通便捷度</v>
      </c>
      <c r="AA17" s="1216">
        <f t="shared" si="3"/>
        <v>1</v>
      </c>
      <c r="AB17" s="1216">
        <f t="shared" si="4"/>
        <v>1</v>
      </c>
      <c r="AC17" s="1216">
        <f t="shared" si="5"/>
        <v>1</v>
      </c>
    </row>
    <row r="18" spans="1:29" ht="15">
      <c r="A18" s="483"/>
      <c r="B18" s="1106"/>
      <c r="C18" s="1575" t="s">
        <v>899</v>
      </c>
      <c r="D18" s="1077"/>
      <c r="E18" s="1084" t="s">
        <v>899</v>
      </c>
      <c r="F18" s="1574"/>
      <c r="G18" s="1174" t="s">
        <v>899</v>
      </c>
      <c r="H18" s="1075"/>
      <c r="I18" s="1084" t="s">
        <v>899</v>
      </c>
      <c r="J18" s="1075"/>
      <c r="K18" s="2396"/>
      <c r="L18" s="1172"/>
      <c r="M18" s="1160"/>
      <c r="N18" s="1160"/>
      <c r="O18" s="1160"/>
      <c r="P18" s="3570"/>
      <c r="Q18" s="470"/>
      <c r="R18" s="1204"/>
      <c r="S18" s="1205"/>
      <c r="T18" s="1204"/>
      <c r="U18" s="1205"/>
      <c r="V18" s="1204"/>
      <c r="W18" s="1205"/>
      <c r="X18" s="1197"/>
      <c r="Y18" s="3575"/>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95">
        <v>2</v>
      </c>
      <c r="L19" s="1172"/>
      <c r="M19" s="1160"/>
      <c r="N19" s="1160"/>
      <c r="O19" s="1160"/>
      <c r="P19" s="3570"/>
      <c r="Q19" s="470" t="str">
        <f>B19</f>
        <v>公共配套设施</v>
      </c>
      <c r="R19" s="1204" t="s">
        <v>886</v>
      </c>
      <c r="S19" s="1205">
        <f>F19</f>
        <v>100</v>
      </c>
      <c r="T19" s="1204" t="s">
        <v>886</v>
      </c>
      <c r="U19" s="1205">
        <f>H19</f>
        <v>100</v>
      </c>
      <c r="V19" s="1204" t="s">
        <v>886</v>
      </c>
      <c r="W19" s="1205">
        <f>J19</f>
        <v>100</v>
      </c>
      <c r="X19" s="1197"/>
      <c r="Y19" s="3575"/>
      <c r="Z19" s="1196" t="str">
        <f>Q19</f>
        <v>公共配套设施</v>
      </c>
      <c r="AA19" s="1216">
        <f t="shared" si="3"/>
        <v>1</v>
      </c>
      <c r="AB19" s="1216">
        <f t="shared" si="4"/>
        <v>1</v>
      </c>
      <c r="AC19" s="1216">
        <f t="shared" si="5"/>
        <v>1</v>
      </c>
    </row>
    <row r="20" spans="1:29" ht="15">
      <c r="A20" s="483"/>
      <c r="B20" s="1106"/>
      <c r="C20" s="1177" t="s">
        <v>900</v>
      </c>
      <c r="D20" s="1075"/>
      <c r="E20" s="1076" t="s">
        <v>900</v>
      </c>
      <c r="F20" s="1571"/>
      <c r="G20" s="1093" t="s">
        <v>900</v>
      </c>
      <c r="H20" s="1075"/>
      <c r="I20" s="1076" t="s">
        <v>900</v>
      </c>
      <c r="J20" s="1075"/>
      <c r="K20" s="2396"/>
      <c r="L20" s="1172"/>
      <c r="M20" s="1160"/>
      <c r="N20" s="1160"/>
      <c r="O20" s="1160"/>
      <c r="P20" s="3570"/>
      <c r="Q20" s="470"/>
      <c r="R20" s="1204"/>
      <c r="S20" s="1205"/>
      <c r="T20" s="1204"/>
      <c r="U20" s="1205"/>
      <c r="V20" s="1204"/>
      <c r="W20" s="1205"/>
      <c r="X20" s="1197"/>
      <c r="Y20" s="3575"/>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95">
        <v>1</v>
      </c>
      <c r="L21" s="1172"/>
      <c r="M21" s="1160"/>
      <c r="N21" s="1160"/>
      <c r="O21" s="1160"/>
      <c r="P21" s="3570"/>
      <c r="Q21" s="470" t="str">
        <f>B21</f>
        <v>基础设施水平</v>
      </c>
      <c r="R21" s="1204" t="s">
        <v>886</v>
      </c>
      <c r="S21" s="1205">
        <f>F21</f>
        <v>100</v>
      </c>
      <c r="T21" s="1204" t="s">
        <v>886</v>
      </c>
      <c r="U21" s="1205">
        <f>H21</f>
        <v>100</v>
      </c>
      <c r="V21" s="1204" t="s">
        <v>886</v>
      </c>
      <c r="W21" s="1205">
        <f>J21</f>
        <v>100</v>
      </c>
      <c r="X21" s="1197"/>
      <c r="Y21" s="3575"/>
      <c r="Z21" s="1196" t="str">
        <f>Q21</f>
        <v>基础设施水平</v>
      </c>
      <c r="AA21" s="1216">
        <f t="shared" ref="AA21" si="8">D21/F21</f>
        <v>1</v>
      </c>
      <c r="AB21" s="1216">
        <f t="shared" ref="AB21" si="9">D21/H21</f>
        <v>1</v>
      </c>
      <c r="AC21" s="1216">
        <f t="shared" ref="AC21" si="10">D21/J21</f>
        <v>1</v>
      </c>
    </row>
    <row r="22" spans="1:29" ht="15">
      <c r="A22" s="483"/>
      <c r="B22" s="1577"/>
      <c r="C22" s="1575" t="s">
        <v>901</v>
      </c>
      <c r="D22" s="1075"/>
      <c r="E22" s="1177" t="s">
        <v>901</v>
      </c>
      <c r="F22" s="1571"/>
      <c r="G22" s="1177" t="s">
        <v>901</v>
      </c>
      <c r="H22" s="1075"/>
      <c r="I22" s="1177" t="s">
        <v>901</v>
      </c>
      <c r="J22" s="1075"/>
      <c r="K22" s="2397"/>
      <c r="L22" s="1172"/>
      <c r="M22" s="1160"/>
      <c r="N22" s="1160"/>
      <c r="O22" s="1160"/>
      <c r="P22" s="3570"/>
      <c r="Q22" s="470"/>
      <c r="R22" s="1204"/>
      <c r="S22" s="1205"/>
      <c r="T22" s="1204"/>
      <c r="U22" s="1205"/>
      <c r="V22" s="1204"/>
      <c r="W22" s="1205"/>
      <c r="X22" s="1197"/>
      <c r="Y22" s="3575"/>
      <c r="Z22" s="1196"/>
      <c r="AA22" s="1216">
        <v>1</v>
      </c>
      <c r="AB22" s="1216">
        <v>1</v>
      </c>
      <c r="AC22" s="1216">
        <v>1</v>
      </c>
    </row>
    <row r="23" spans="1:29" ht="57">
      <c r="A23" s="483"/>
      <c r="B23" s="1572" t="s">
        <v>902</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95">
        <v>1</v>
      </c>
      <c r="L23" s="1172"/>
      <c r="M23" s="1160"/>
      <c r="N23" s="1160"/>
      <c r="O23" s="1160"/>
      <c r="P23" s="3570"/>
      <c r="Q23" s="470" t="str">
        <f>B23</f>
        <v>自然及人文环境</v>
      </c>
      <c r="R23" s="1204" t="s">
        <v>886</v>
      </c>
      <c r="S23" s="1205">
        <f>F23</f>
        <v>100</v>
      </c>
      <c r="T23" s="1204" t="s">
        <v>886</v>
      </c>
      <c r="U23" s="1205">
        <f>H23</f>
        <v>100</v>
      </c>
      <c r="V23" s="1204" t="s">
        <v>886</v>
      </c>
      <c r="W23" s="1205">
        <f>J23</f>
        <v>100</v>
      </c>
      <c r="X23" s="1197"/>
      <c r="Y23" s="3575"/>
      <c r="Z23" s="1196" t="str">
        <f>Q23</f>
        <v>自然及人文环境</v>
      </c>
      <c r="AA23" s="1216">
        <f t="shared" si="3"/>
        <v>1</v>
      </c>
      <c r="AB23" s="1216">
        <f t="shared" si="4"/>
        <v>1</v>
      </c>
      <c r="AC23" s="1216">
        <f t="shared" si="5"/>
        <v>1</v>
      </c>
    </row>
    <row r="24" spans="1:29" ht="15">
      <c r="A24" s="483"/>
      <c r="B24" s="1106"/>
      <c r="C24" s="1177" t="s">
        <v>899</v>
      </c>
      <c r="D24" s="1075"/>
      <c r="E24" s="1076" t="s">
        <v>899</v>
      </c>
      <c r="F24" s="1571"/>
      <c r="G24" s="1093" t="s">
        <v>899</v>
      </c>
      <c r="H24" s="1075"/>
      <c r="I24" s="1076" t="s">
        <v>899</v>
      </c>
      <c r="J24" s="1075"/>
      <c r="K24" s="2396"/>
      <c r="L24" s="1172"/>
      <c r="M24" s="1160"/>
      <c r="N24" s="1160"/>
      <c r="O24" s="1160"/>
      <c r="P24" s="3570"/>
      <c r="Q24" s="470"/>
      <c r="R24" s="1204"/>
      <c r="S24" s="1205"/>
      <c r="T24" s="1204"/>
      <c r="U24" s="1205"/>
      <c r="V24" s="1204"/>
      <c r="W24" s="1205"/>
      <c r="X24" s="1197"/>
      <c r="Y24" s="3575"/>
      <c r="Z24" s="1196"/>
      <c r="AA24" s="1216">
        <v>1</v>
      </c>
      <c r="AB24" s="1216">
        <v>1</v>
      </c>
      <c r="AC24" s="1216">
        <v>1</v>
      </c>
    </row>
    <row r="25" spans="1:29" ht="15">
      <c r="A25" s="483"/>
      <c r="B25" s="1051" t="s">
        <v>903</v>
      </c>
      <c r="C25" s="1514"/>
      <c r="D25" s="1062">
        <v>100</v>
      </c>
      <c r="E25" s="2373"/>
      <c r="F25" s="1511">
        <f>SUMIF(86:86,E25,87:87)-SUMIF(86:86,C25,87:87)+100</f>
        <v>100</v>
      </c>
      <c r="G25" s="1110"/>
      <c r="H25" s="1062">
        <f>SUMIF(86:86,G25,87:87)-SUMIF(86:86,C25,87:87)+100</f>
        <v>100</v>
      </c>
      <c r="I25" s="2373"/>
      <c r="J25" s="1062">
        <f>SUMIF(86:86,I25,87:87)-SUMIF(86:86,C25,87:87)+100</f>
        <v>100</v>
      </c>
      <c r="K25" s="2393"/>
      <c r="L25" s="1172"/>
      <c r="M25" s="1160"/>
      <c r="N25" s="1160"/>
      <c r="O25" s="1160"/>
      <c r="P25" s="3570"/>
      <c r="Q25" s="470" t="str">
        <f t="shared" ref="Q25:Q46" si="11">B25</f>
        <v>楼层-1</v>
      </c>
      <c r="R25" s="1204" t="s">
        <v>886</v>
      </c>
      <c r="S25" s="1205">
        <f>F25</f>
        <v>100</v>
      </c>
      <c r="T25" s="1204" t="s">
        <v>886</v>
      </c>
      <c r="U25" s="1205">
        <f>H25</f>
        <v>100</v>
      </c>
      <c r="V25" s="1204" t="s">
        <v>886</v>
      </c>
      <c r="W25" s="1205">
        <f>J25</f>
        <v>100</v>
      </c>
      <c r="X25" s="1197"/>
      <c r="Y25" s="3575"/>
      <c r="Z25" s="1196" t="str">
        <f>Q25</f>
        <v>楼层-1</v>
      </c>
      <c r="AA25" s="1216">
        <f t="shared" si="3"/>
        <v>1</v>
      </c>
      <c r="AB25" s="1216">
        <f t="shared" si="4"/>
        <v>1</v>
      </c>
      <c r="AC25" s="1216">
        <f t="shared" si="5"/>
        <v>1</v>
      </c>
    </row>
    <row r="26" spans="1:29" ht="15">
      <c r="A26" s="483"/>
      <c r="B26" s="1051" t="s">
        <v>904</v>
      </c>
      <c r="C26" s="1514" t="s">
        <v>905</v>
      </c>
      <c r="D26" s="1062">
        <v>100</v>
      </c>
      <c r="E26" s="2373" t="s">
        <v>905</v>
      </c>
      <c r="F26" s="1511">
        <f>SUMIF(88:88,E26,89:89)-SUMIF(88:88,C26,89:89)+100</f>
        <v>100</v>
      </c>
      <c r="G26" s="1110" t="s">
        <v>905</v>
      </c>
      <c r="H26" s="1062">
        <f>SUMIF(88:88,G26,89:89)-SUMIF(88:88,C26,89:89)+100</f>
        <v>100</v>
      </c>
      <c r="I26" s="2373" t="s">
        <v>906</v>
      </c>
      <c r="J26" s="1062">
        <f>SUMIF(88:88,I26,89:89)-SUMIF(88:88,C26,89:89)+100</f>
        <v>99</v>
      </c>
      <c r="K26" s="2393">
        <v>1</v>
      </c>
      <c r="L26" s="1172"/>
      <c r="M26" s="1160"/>
      <c r="N26" s="1160"/>
      <c r="O26" s="1160"/>
      <c r="P26" s="3570"/>
      <c r="Q26" s="470" t="str">
        <f t="shared" si="11"/>
        <v>朝向</v>
      </c>
      <c r="R26" s="1204" t="s">
        <v>886</v>
      </c>
      <c r="S26" s="1205">
        <f>F26</f>
        <v>100</v>
      </c>
      <c r="T26" s="1204" t="s">
        <v>886</v>
      </c>
      <c r="U26" s="1205">
        <f>H26</f>
        <v>100</v>
      </c>
      <c r="V26" s="1204" t="s">
        <v>886</v>
      </c>
      <c r="W26" s="1205">
        <f>J26</f>
        <v>99</v>
      </c>
      <c r="X26" s="1197"/>
      <c r="Y26" s="3575"/>
      <c r="Z26" s="1196" t="str">
        <f>Q26</f>
        <v>朝向</v>
      </c>
      <c r="AA26" s="1216">
        <f t="shared" si="3"/>
        <v>1</v>
      </c>
      <c r="AB26" s="1216">
        <f t="shared" si="4"/>
        <v>1</v>
      </c>
      <c r="AC26" s="1216">
        <f t="shared" si="5"/>
        <v>1.0101010101010099</v>
      </c>
    </row>
    <row r="27" spans="1:29" s="1014" customFormat="1" ht="15">
      <c r="A27" s="1058"/>
      <c r="B27" s="2374" t="s">
        <v>907</v>
      </c>
      <c r="C27" s="1054" t="s">
        <v>908</v>
      </c>
      <c r="D27" s="1505">
        <v>100</v>
      </c>
      <c r="E27" s="1055" t="s">
        <v>909</v>
      </c>
      <c r="F27" s="1579">
        <f>SUMIF(90:90,E27,91:91)-SUMIF(90:90,C27,91:91)+100</f>
        <v>98</v>
      </c>
      <c r="G27" s="1054" t="s">
        <v>910</v>
      </c>
      <c r="H27" s="1505">
        <f>SUMIF(90:90,G27,91:91)-SUMIF(90:90,C27,91:91)+100</f>
        <v>101</v>
      </c>
      <c r="I27" s="1055" t="s">
        <v>909</v>
      </c>
      <c r="J27" s="1505">
        <f>SUMIF(90:90,I27,91:91)-SUMIF(90:90,C27,91:91)+100</f>
        <v>98</v>
      </c>
      <c r="K27" s="2394"/>
      <c r="L27" s="1159"/>
      <c r="M27" s="1162"/>
      <c r="N27" s="1162"/>
      <c r="O27" s="1162"/>
      <c r="P27" s="3570"/>
      <c r="Q27" s="1203" t="str">
        <f t="shared" si="11"/>
        <v>楼层</v>
      </c>
      <c r="R27" s="1199" t="s">
        <v>886</v>
      </c>
      <c r="S27" s="1200">
        <f>F27</f>
        <v>98</v>
      </c>
      <c r="T27" s="1199" t="s">
        <v>886</v>
      </c>
      <c r="U27" s="1200">
        <f>H27</f>
        <v>101</v>
      </c>
      <c r="V27" s="1199" t="s">
        <v>886</v>
      </c>
      <c r="W27" s="1200">
        <f>J27</f>
        <v>98</v>
      </c>
      <c r="X27" s="1201"/>
      <c r="Y27" s="3575"/>
      <c r="Z27" s="1215" t="str">
        <f>Q27</f>
        <v>楼层</v>
      </c>
      <c r="AA27" s="1216">
        <f t="shared" si="3"/>
        <v>1.0204081632653099</v>
      </c>
      <c r="AB27" s="1216">
        <f t="shared" si="4"/>
        <v>0.99009900990098998</v>
      </c>
      <c r="AC27" s="1216">
        <f t="shared" si="5"/>
        <v>1.0204081632653099</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394"/>
      <c r="L28" s="1172"/>
      <c r="M28" s="1160"/>
      <c r="N28" s="1160"/>
      <c r="O28" s="1160"/>
      <c r="P28" s="3570"/>
      <c r="Q28" s="470">
        <f t="shared" si="11"/>
        <v>111</v>
      </c>
      <c r="R28" s="1204" t="s">
        <v>886</v>
      </c>
      <c r="S28" s="1205">
        <f t="shared" ref="S28:S46" si="12">F28</f>
        <v>100</v>
      </c>
      <c r="T28" s="1204" t="s">
        <v>886</v>
      </c>
      <c r="U28" s="1205">
        <f t="shared" ref="U28:U46" si="13">H28</f>
        <v>100</v>
      </c>
      <c r="V28" s="1204" t="s">
        <v>886</v>
      </c>
      <c r="W28" s="1205">
        <f t="shared" ref="W28:W46" si="14">J28</f>
        <v>100</v>
      </c>
      <c r="X28" s="1197"/>
      <c r="Y28" s="3575"/>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94"/>
      <c r="L29" s="1172"/>
      <c r="M29" s="1160"/>
      <c r="N29" s="1160"/>
      <c r="O29" s="1160"/>
      <c r="P29" s="3570"/>
      <c r="Q29" s="470">
        <f t="shared" si="11"/>
        <v>111</v>
      </c>
      <c r="R29" s="1204" t="s">
        <v>886</v>
      </c>
      <c r="S29" s="1205">
        <f t="shared" si="12"/>
        <v>100</v>
      </c>
      <c r="T29" s="1204" t="s">
        <v>886</v>
      </c>
      <c r="U29" s="1205">
        <f t="shared" si="13"/>
        <v>100</v>
      </c>
      <c r="V29" s="1204" t="s">
        <v>886</v>
      </c>
      <c r="W29" s="1205">
        <f t="shared" si="14"/>
        <v>100</v>
      </c>
      <c r="X29" s="1197"/>
      <c r="Y29" s="3575"/>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94"/>
      <c r="L30" s="1172"/>
      <c r="M30" s="1160"/>
      <c r="N30" s="1160"/>
      <c r="O30" s="1160"/>
      <c r="P30" s="3570"/>
      <c r="Q30" s="470">
        <f t="shared" si="11"/>
        <v>111</v>
      </c>
      <c r="R30" s="1204" t="s">
        <v>886</v>
      </c>
      <c r="S30" s="1205">
        <f t="shared" si="12"/>
        <v>100</v>
      </c>
      <c r="T30" s="1204" t="s">
        <v>886</v>
      </c>
      <c r="U30" s="1205">
        <f t="shared" si="13"/>
        <v>100</v>
      </c>
      <c r="V30" s="1204" t="s">
        <v>886</v>
      </c>
      <c r="W30" s="1205">
        <f t="shared" si="14"/>
        <v>100</v>
      </c>
      <c r="X30" s="1197"/>
      <c r="Y30" s="3575"/>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94"/>
      <c r="L31" s="1172"/>
      <c r="M31" s="1160"/>
      <c r="N31" s="1160"/>
      <c r="O31" s="1160"/>
      <c r="P31" s="3570"/>
      <c r="Q31" s="470">
        <f t="shared" si="11"/>
        <v>111</v>
      </c>
      <c r="R31" s="1204" t="s">
        <v>886</v>
      </c>
      <c r="S31" s="1205">
        <f t="shared" si="12"/>
        <v>100</v>
      </c>
      <c r="T31" s="1204" t="s">
        <v>886</v>
      </c>
      <c r="U31" s="1205">
        <f t="shared" si="13"/>
        <v>100</v>
      </c>
      <c r="V31" s="1204" t="s">
        <v>886</v>
      </c>
      <c r="W31" s="1205">
        <f t="shared" si="14"/>
        <v>100</v>
      </c>
      <c r="X31" s="1197"/>
      <c r="Y31" s="3575"/>
      <c r="Z31" s="1196">
        <f t="shared" si="15"/>
        <v>111</v>
      </c>
      <c r="AA31" s="1216">
        <f t="shared" si="3"/>
        <v>1</v>
      </c>
      <c r="AB31" s="1216">
        <f t="shared" si="4"/>
        <v>1</v>
      </c>
      <c r="AC31" s="1216">
        <f t="shared" si="5"/>
        <v>1</v>
      </c>
    </row>
    <row r="32" spans="1:29" ht="15">
      <c r="A32" s="459" t="s">
        <v>911</v>
      </c>
      <c r="B32" s="1047" t="s">
        <v>912</v>
      </c>
      <c r="C32" s="1580" t="s">
        <v>913</v>
      </c>
      <c r="D32" s="1108">
        <v>100</v>
      </c>
      <c r="E32" s="2375" t="s">
        <v>913</v>
      </c>
      <c r="F32" s="1511">
        <f>SUMIF(100:100,E32,101:101)-SUMIF(100:100,C32,101:101)+100</f>
        <v>100</v>
      </c>
      <c r="G32" s="1580" t="s">
        <v>913</v>
      </c>
      <c r="H32" s="1108">
        <f>SUMIF(100:100,G32,101:101)-SUMIF(100:100,C32,101:101)+100</f>
        <v>100</v>
      </c>
      <c r="I32" s="2375" t="s">
        <v>913</v>
      </c>
      <c r="J32" s="1062">
        <f>SUMIF(100:100,I32,101:101)-SUMIF(100:100,C32,101:101)+100</f>
        <v>100</v>
      </c>
      <c r="K32" s="2393">
        <v>5</v>
      </c>
      <c r="L32" s="1172"/>
      <c r="M32" s="1160"/>
      <c r="N32" s="1160"/>
      <c r="O32" s="1160"/>
      <c r="P32" s="3571" t="s">
        <v>914</v>
      </c>
      <c r="Q32" s="470" t="str">
        <f t="shared" si="11"/>
        <v>建筑类型</v>
      </c>
      <c r="R32" s="1204" t="s">
        <v>886</v>
      </c>
      <c r="S32" s="1205">
        <f t="shared" si="12"/>
        <v>100</v>
      </c>
      <c r="T32" s="1204" t="s">
        <v>886</v>
      </c>
      <c r="U32" s="1205">
        <f t="shared" si="13"/>
        <v>100</v>
      </c>
      <c r="V32" s="1204" t="s">
        <v>886</v>
      </c>
      <c r="W32" s="1205">
        <f t="shared" si="14"/>
        <v>100</v>
      </c>
      <c r="X32" s="1197"/>
      <c r="Y32" s="3576" t="s">
        <v>914</v>
      </c>
      <c r="Z32" s="1196" t="str">
        <f t="shared" si="15"/>
        <v>建筑类型</v>
      </c>
      <c r="AA32" s="1216">
        <f t="shared" si="3"/>
        <v>1</v>
      </c>
      <c r="AB32" s="1216">
        <f t="shared" si="4"/>
        <v>1</v>
      </c>
      <c r="AC32" s="1216">
        <f t="shared" si="5"/>
        <v>1</v>
      </c>
    </row>
    <row r="33" spans="1:29" s="1016" customFormat="1" ht="15">
      <c r="A33" s="1114"/>
      <c r="B33" s="1051" t="s">
        <v>915</v>
      </c>
      <c r="C33" s="1512">
        <f>'数据-取费表'!B5</f>
        <v>59.11</v>
      </c>
      <c r="D33" s="1053">
        <v>100</v>
      </c>
      <c r="E33" s="1057">
        <v>57.55</v>
      </c>
      <c r="F33" s="1513">
        <f>LOOKUP(E33,103:103,104:104)-LOOKUP(C33,103:103,104:104)+100</f>
        <v>100</v>
      </c>
      <c r="G33" s="1056">
        <v>75.569999999999993</v>
      </c>
      <c r="H33" s="1053">
        <f>LOOKUP(G33,103:103,104:104)-LOOKUP(C33,103:103,104:104)+100</f>
        <v>99</v>
      </c>
      <c r="I33" s="1057">
        <v>61.05</v>
      </c>
      <c r="J33" s="1053">
        <f>LOOKUP(I33,103:103,104:104)-LOOKUP(C33,103:103,104:104)+100</f>
        <v>100</v>
      </c>
      <c r="K33" s="2394"/>
      <c r="L33" s="1170"/>
      <c r="M33" s="1183"/>
      <c r="N33" s="1183"/>
      <c r="O33" s="1183"/>
      <c r="P33" s="3572"/>
      <c r="Q33" s="1548" t="str">
        <f t="shared" si="11"/>
        <v>项目建筑规模</v>
      </c>
      <c r="R33" s="1206" t="s">
        <v>886</v>
      </c>
      <c r="S33" s="1207">
        <f t="shared" si="12"/>
        <v>100</v>
      </c>
      <c r="T33" s="1206" t="s">
        <v>886</v>
      </c>
      <c r="U33" s="1207">
        <f t="shared" si="13"/>
        <v>99</v>
      </c>
      <c r="V33" s="1206" t="s">
        <v>886</v>
      </c>
      <c r="W33" s="1207">
        <f t="shared" si="14"/>
        <v>100</v>
      </c>
      <c r="X33" s="1208"/>
      <c r="Y33" s="3576"/>
      <c r="Z33" s="1217" t="str">
        <f t="shared" si="15"/>
        <v>项目建筑规模</v>
      </c>
      <c r="AA33" s="1216">
        <f t="shared" si="3"/>
        <v>1</v>
      </c>
      <c r="AB33" s="1216">
        <f t="shared" si="4"/>
        <v>1.0101010101010099</v>
      </c>
      <c r="AC33" s="1216">
        <f t="shared" si="5"/>
        <v>1</v>
      </c>
    </row>
    <row r="34" spans="1:29" ht="15">
      <c r="A34" s="1109"/>
      <c r="B34" s="1051" t="s">
        <v>916</v>
      </c>
      <c r="C34" s="1581" t="s">
        <v>917</v>
      </c>
      <c r="D34" s="1062">
        <v>100</v>
      </c>
      <c r="E34" s="1582" t="s">
        <v>917</v>
      </c>
      <c r="F34" s="1511">
        <f>SUMIF(105:105,E34,106:106)-SUMIF(105:105,C34,106:106)+100</f>
        <v>100</v>
      </c>
      <c r="G34" s="1581" t="s">
        <v>917</v>
      </c>
      <c r="H34" s="1062">
        <f>SUMIF(105:105,G34,106:106)-SUMIF(105:105,C34,106:106)+100</f>
        <v>100</v>
      </c>
      <c r="I34" s="1582" t="s">
        <v>917</v>
      </c>
      <c r="J34" s="1062">
        <f>SUMIF(105:105,I34,106:106)-SUMIF(105:105,C34,106:106)+100</f>
        <v>100</v>
      </c>
      <c r="K34" s="2393">
        <v>1</v>
      </c>
      <c r="L34" s="1172"/>
      <c r="M34" s="1160"/>
      <c r="N34" s="1160"/>
      <c r="O34" s="1160"/>
      <c r="P34" s="3572"/>
      <c r="Q34" s="470" t="str">
        <f t="shared" si="11"/>
        <v>建筑结构</v>
      </c>
      <c r="R34" s="1204" t="s">
        <v>886</v>
      </c>
      <c r="S34" s="1205">
        <f t="shared" si="12"/>
        <v>100</v>
      </c>
      <c r="T34" s="1204" t="s">
        <v>886</v>
      </c>
      <c r="U34" s="1205">
        <f t="shared" si="13"/>
        <v>100</v>
      </c>
      <c r="V34" s="1204" t="s">
        <v>886</v>
      </c>
      <c r="W34" s="1205">
        <f t="shared" si="14"/>
        <v>100</v>
      </c>
      <c r="X34" s="1197"/>
      <c r="Y34" s="3576"/>
      <c r="Z34" s="1196" t="str">
        <f t="shared" si="15"/>
        <v>建筑结构</v>
      </c>
      <c r="AA34" s="1216">
        <f t="shared" si="3"/>
        <v>1</v>
      </c>
      <c r="AB34" s="1216">
        <f t="shared" si="4"/>
        <v>1</v>
      </c>
      <c r="AC34" s="1216">
        <f t="shared" si="5"/>
        <v>1</v>
      </c>
    </row>
    <row r="35" spans="1:29" ht="15">
      <c r="A35" s="1109"/>
      <c r="B35" s="1051" t="s">
        <v>918</v>
      </c>
      <c r="C35" s="1110"/>
      <c r="D35" s="1062">
        <v>100</v>
      </c>
      <c r="E35" s="2373"/>
      <c r="F35" s="1511">
        <f>SUMIF(107:107,E35,108:108)-SUMIF(107:107,C35,108:108)+100</f>
        <v>100</v>
      </c>
      <c r="G35" s="1110"/>
      <c r="H35" s="1062">
        <f>SUMIF(107:107,G35,108:108)-SUMIF(107:107,C35,108:108)+100</f>
        <v>100</v>
      </c>
      <c r="I35" s="2373"/>
      <c r="J35" s="1062">
        <f>SUMIF(107:107,I35,108:108)-SUMIF(107:107,C35,108:108)+100</f>
        <v>100</v>
      </c>
      <c r="K35" s="2393"/>
      <c r="L35" s="1172"/>
      <c r="M35" s="1160"/>
      <c r="N35" s="1160"/>
      <c r="O35" s="1160"/>
      <c r="P35" s="3572"/>
      <c r="Q35" s="470" t="str">
        <f t="shared" si="11"/>
        <v>建筑品质</v>
      </c>
      <c r="R35" s="1204" t="s">
        <v>886</v>
      </c>
      <c r="S35" s="1205">
        <f t="shared" si="12"/>
        <v>100</v>
      </c>
      <c r="T35" s="1204" t="s">
        <v>886</v>
      </c>
      <c r="U35" s="1205">
        <f t="shared" si="13"/>
        <v>100</v>
      </c>
      <c r="V35" s="1204" t="s">
        <v>886</v>
      </c>
      <c r="W35" s="1205">
        <f t="shared" si="14"/>
        <v>100</v>
      </c>
      <c r="X35" s="1197"/>
      <c r="Y35" s="3576"/>
      <c r="Z35" s="1196" t="str">
        <f t="shared" si="15"/>
        <v>建筑品质</v>
      </c>
      <c r="AA35" s="1216">
        <f t="shared" si="3"/>
        <v>1</v>
      </c>
      <c r="AB35" s="1216">
        <f t="shared" si="4"/>
        <v>1</v>
      </c>
      <c r="AC35" s="1216">
        <f t="shared" si="5"/>
        <v>1</v>
      </c>
    </row>
    <row r="36" spans="1:29" ht="15">
      <c r="A36" s="1109"/>
      <c r="B36" s="1051" t="s">
        <v>919</v>
      </c>
      <c r="C36" s="1110"/>
      <c r="D36" s="1062">
        <v>100</v>
      </c>
      <c r="E36" s="2373"/>
      <c r="F36" s="1511">
        <f>SUMIF(109:109,E36,110:110)-SUMIF(109:109,C36,110:110)+100</f>
        <v>100</v>
      </c>
      <c r="G36" s="1110"/>
      <c r="H36" s="1062">
        <f>SUMIF(109:109,G36,110:110)-SUMIF(109:109,C36,110:110)+100</f>
        <v>100</v>
      </c>
      <c r="I36" s="2373"/>
      <c r="J36" s="1062">
        <f>SUMIF(109:109,I36,110:110)-SUMIF(109:109,C36,110:110)+100</f>
        <v>100</v>
      </c>
      <c r="K36" s="2393"/>
      <c r="L36" s="1172"/>
      <c r="M36" s="1160"/>
      <c r="N36" s="1160"/>
      <c r="O36" s="1160"/>
      <c r="P36" s="3572"/>
      <c r="Q36" s="470" t="str">
        <f t="shared" si="11"/>
        <v>公共部分装修</v>
      </c>
      <c r="R36" s="1204" t="s">
        <v>886</v>
      </c>
      <c r="S36" s="1205">
        <f t="shared" si="12"/>
        <v>100</v>
      </c>
      <c r="T36" s="1204" t="s">
        <v>886</v>
      </c>
      <c r="U36" s="1205">
        <f t="shared" si="13"/>
        <v>100</v>
      </c>
      <c r="V36" s="1204" t="s">
        <v>886</v>
      </c>
      <c r="W36" s="1205">
        <f t="shared" si="14"/>
        <v>100</v>
      </c>
      <c r="X36" s="1197"/>
      <c r="Y36" s="3576"/>
      <c r="Z36" s="1196" t="str">
        <f t="shared" si="15"/>
        <v>公共部分装修</v>
      </c>
      <c r="AA36" s="1216">
        <f t="shared" si="3"/>
        <v>1</v>
      </c>
      <c r="AB36" s="1216">
        <f t="shared" si="4"/>
        <v>1</v>
      </c>
      <c r="AC36" s="1216">
        <f t="shared" si="5"/>
        <v>1</v>
      </c>
    </row>
    <row r="37" spans="1:29" s="1014" customFormat="1" ht="15">
      <c r="A37" s="1111"/>
      <c r="B37" s="1051" t="s">
        <v>920</v>
      </c>
      <c r="C37" s="1515">
        <f>'数据-取费表'!E20</f>
        <v>0.6</v>
      </c>
      <c r="D37" s="1053">
        <v>100</v>
      </c>
      <c r="E37" s="2376">
        <f>C37</f>
        <v>0.6</v>
      </c>
      <c r="F37" s="1513">
        <f>LOOKUP(E37,112:112,113:113)-LOOKUP(C37,112:112,113:113)+100</f>
        <v>100</v>
      </c>
      <c r="G37" s="2377">
        <f>C37</f>
        <v>0.6</v>
      </c>
      <c r="H37" s="1053">
        <f>LOOKUP(G37,112:112,113:113)-LOOKUP(C37,112:112,113:113)+100</f>
        <v>100</v>
      </c>
      <c r="I37" s="2376">
        <f>C37</f>
        <v>0.6</v>
      </c>
      <c r="J37" s="1053">
        <f>LOOKUP(I37,112:112,113:113)-LOOKUP(C37,112:112,113:113)+100</f>
        <v>100</v>
      </c>
      <c r="K37" s="2393">
        <v>2</v>
      </c>
      <c r="L37" s="1159"/>
      <c r="M37" s="1162"/>
      <c r="N37" s="1162"/>
      <c r="O37" s="1162"/>
      <c r="P37" s="3572"/>
      <c r="Q37" s="1203" t="str">
        <f t="shared" si="11"/>
        <v>成新度</v>
      </c>
      <c r="R37" s="1199" t="s">
        <v>886</v>
      </c>
      <c r="S37" s="1200">
        <f t="shared" si="12"/>
        <v>100</v>
      </c>
      <c r="T37" s="1199" t="s">
        <v>886</v>
      </c>
      <c r="U37" s="1200">
        <f t="shared" si="13"/>
        <v>100</v>
      </c>
      <c r="V37" s="1199" t="s">
        <v>886</v>
      </c>
      <c r="W37" s="1200">
        <f t="shared" si="14"/>
        <v>100</v>
      </c>
      <c r="X37" s="1201"/>
      <c r="Y37" s="3576"/>
      <c r="Z37" s="1215" t="str">
        <f t="shared" si="15"/>
        <v>成新度</v>
      </c>
      <c r="AA37" s="1214">
        <f t="shared" si="3"/>
        <v>1</v>
      </c>
      <c r="AB37" s="1214">
        <f t="shared" si="4"/>
        <v>1</v>
      </c>
      <c r="AC37" s="1214">
        <f t="shared" si="5"/>
        <v>1</v>
      </c>
    </row>
    <row r="38" spans="1:29" ht="15">
      <c r="A38" s="1109"/>
      <c r="B38" s="1051" t="s">
        <v>921</v>
      </c>
      <c r="C38" s="1110" t="s">
        <v>922</v>
      </c>
      <c r="D38" s="1062">
        <v>100</v>
      </c>
      <c r="E38" s="2373" t="s">
        <v>922</v>
      </c>
      <c r="F38" s="1511">
        <f>SUMIF(114:114,E38,115:115)-SUMIF(114:114,C38,115:115)+100</f>
        <v>100</v>
      </c>
      <c r="G38" s="1110" t="s">
        <v>922</v>
      </c>
      <c r="H38" s="1062">
        <f>SUMIF(114:114,G38,115:115)-SUMIF(114:114,C38,115:115)+100</f>
        <v>100</v>
      </c>
      <c r="I38" s="2373" t="s">
        <v>922</v>
      </c>
      <c r="J38" s="1062">
        <f>SUMIF(114:114,I38,115:115)-SUMIF(114:114,C38,115:115)+100</f>
        <v>100</v>
      </c>
      <c r="K38" s="2393">
        <v>1</v>
      </c>
      <c r="L38" s="1172"/>
      <c r="M38" s="1160"/>
      <c r="N38" s="1160"/>
      <c r="O38" s="1160"/>
      <c r="P38" s="3572" t="s">
        <v>914</v>
      </c>
      <c r="Q38" s="470" t="str">
        <f t="shared" si="11"/>
        <v>物业管理</v>
      </c>
      <c r="R38" s="1204" t="s">
        <v>886</v>
      </c>
      <c r="S38" s="1205">
        <f t="shared" si="12"/>
        <v>100</v>
      </c>
      <c r="T38" s="1204" t="s">
        <v>886</v>
      </c>
      <c r="U38" s="1205">
        <f t="shared" si="13"/>
        <v>100</v>
      </c>
      <c r="V38" s="1204" t="s">
        <v>886</v>
      </c>
      <c r="W38" s="1205">
        <f t="shared" si="14"/>
        <v>100</v>
      </c>
      <c r="X38" s="1197"/>
      <c r="Y38" s="3576" t="s">
        <v>914</v>
      </c>
      <c r="Z38" s="1196" t="str">
        <f t="shared" si="15"/>
        <v>物业管理</v>
      </c>
      <c r="AA38" s="1216">
        <f t="shared" si="3"/>
        <v>1</v>
      </c>
      <c r="AB38" s="1216">
        <f t="shared" si="4"/>
        <v>1</v>
      </c>
      <c r="AC38" s="1216">
        <f t="shared" si="5"/>
        <v>1</v>
      </c>
    </row>
    <row r="39" spans="1:29" ht="15">
      <c r="A39" s="1109"/>
      <c r="B39" s="1051" t="s">
        <v>923</v>
      </c>
      <c r="C39" s="1110" t="s">
        <v>901</v>
      </c>
      <c r="D39" s="1062">
        <v>100</v>
      </c>
      <c r="E39" s="2373" t="s">
        <v>901</v>
      </c>
      <c r="F39" s="1511">
        <f>SUMIF(116:116,E39,117:117)-SUMIF(116:116,C39,117:117)+100</f>
        <v>100</v>
      </c>
      <c r="G39" s="1110" t="s">
        <v>901</v>
      </c>
      <c r="H39" s="1062">
        <f>SUMIF(116:116,G39,117:117)-SUMIF(116:116,C39,117:117)+100</f>
        <v>100</v>
      </c>
      <c r="I39" s="2373" t="s">
        <v>901</v>
      </c>
      <c r="J39" s="1062">
        <f>SUMIF(116:116,I39,117:117)-SUMIF(116:116,C39,117:117)+100</f>
        <v>100</v>
      </c>
      <c r="K39" s="2393">
        <v>1</v>
      </c>
      <c r="L39" s="1172"/>
      <c r="M39" s="1160"/>
      <c r="N39" s="1160"/>
      <c r="O39" s="1160"/>
      <c r="P39" s="3572"/>
      <c r="Q39" s="470" t="str">
        <f t="shared" si="11"/>
        <v>市政基础设施</v>
      </c>
      <c r="R39" s="1204" t="s">
        <v>886</v>
      </c>
      <c r="S39" s="1205">
        <f t="shared" si="12"/>
        <v>100</v>
      </c>
      <c r="T39" s="1204" t="s">
        <v>886</v>
      </c>
      <c r="U39" s="1205">
        <f t="shared" si="13"/>
        <v>100</v>
      </c>
      <c r="V39" s="1204" t="s">
        <v>886</v>
      </c>
      <c r="W39" s="1205">
        <f t="shared" si="14"/>
        <v>100</v>
      </c>
      <c r="X39" s="1197"/>
      <c r="Y39" s="3576"/>
      <c r="Z39" s="1196" t="str">
        <f t="shared" si="15"/>
        <v>市政基础设施</v>
      </c>
      <c r="AA39" s="1216">
        <f t="shared" si="3"/>
        <v>1</v>
      </c>
      <c r="AB39" s="1216">
        <f t="shared" si="4"/>
        <v>1</v>
      </c>
      <c r="AC39" s="1216">
        <f t="shared" si="5"/>
        <v>1</v>
      </c>
    </row>
    <row r="40" spans="1:29" ht="15">
      <c r="A40" s="1109"/>
      <c r="B40" s="1051" t="s">
        <v>924</v>
      </c>
      <c r="C40" s="1110"/>
      <c r="D40" s="1062">
        <v>100</v>
      </c>
      <c r="E40" s="2373"/>
      <c r="F40" s="1511">
        <f>SUMIF(118:118,E40,119:119)-SUMIF(118:118,C40,119:119)+100</f>
        <v>100</v>
      </c>
      <c r="G40" s="1110"/>
      <c r="H40" s="1062">
        <f>SUMIF(118:118,G40,119:119)-SUMIF(118:118,C40,119:119)+100</f>
        <v>100</v>
      </c>
      <c r="I40" s="2373"/>
      <c r="J40" s="1062">
        <f>SUMIF(118:118,I40,119:119)-SUMIF(118:118,C40,119:119)+100</f>
        <v>100</v>
      </c>
      <c r="K40" s="2393"/>
      <c r="L40" s="1172"/>
      <c r="M40" s="1160"/>
      <c r="N40" s="1160"/>
      <c r="O40" s="1160"/>
      <c r="P40" s="3572"/>
      <c r="Q40" s="470" t="str">
        <f t="shared" si="11"/>
        <v>房型</v>
      </c>
      <c r="R40" s="1204" t="s">
        <v>886</v>
      </c>
      <c r="S40" s="1205">
        <f t="shared" si="12"/>
        <v>100</v>
      </c>
      <c r="T40" s="1204" t="s">
        <v>886</v>
      </c>
      <c r="U40" s="1205">
        <f t="shared" si="13"/>
        <v>100</v>
      </c>
      <c r="V40" s="1204" t="s">
        <v>886</v>
      </c>
      <c r="W40" s="1205">
        <f t="shared" si="14"/>
        <v>100</v>
      </c>
      <c r="X40" s="1197"/>
      <c r="Y40" s="3576"/>
      <c r="Z40" s="1196" t="str">
        <f t="shared" si="15"/>
        <v>房型</v>
      </c>
      <c r="AA40" s="1216">
        <f t="shared" si="3"/>
        <v>1</v>
      </c>
      <c r="AB40" s="1216">
        <f t="shared" si="4"/>
        <v>1</v>
      </c>
      <c r="AC40" s="1216">
        <f t="shared" si="5"/>
        <v>1</v>
      </c>
    </row>
    <row r="41" spans="1:29" s="1016" customFormat="1" ht="28.5">
      <c r="A41" s="1114"/>
      <c r="B41" s="1051" t="s">
        <v>925</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94"/>
      <c r="L41" s="1170"/>
      <c r="M41" s="1183"/>
      <c r="N41" s="1183"/>
      <c r="O41" s="1183"/>
      <c r="P41" s="3572"/>
      <c r="Q41" s="1548" t="str">
        <f t="shared" si="11"/>
        <v>单套/主力户型建筑面积</v>
      </c>
      <c r="R41" s="1206" t="s">
        <v>886</v>
      </c>
      <c r="S41" s="1207">
        <f t="shared" si="12"/>
        <v>100</v>
      </c>
      <c r="T41" s="1206" t="s">
        <v>886</v>
      </c>
      <c r="U41" s="1207">
        <f t="shared" si="13"/>
        <v>100</v>
      </c>
      <c r="V41" s="1206" t="s">
        <v>886</v>
      </c>
      <c r="W41" s="1207">
        <f t="shared" si="14"/>
        <v>100</v>
      </c>
      <c r="X41" s="1208"/>
      <c r="Y41" s="3576"/>
      <c r="Z41" s="1217" t="str">
        <f t="shared" si="15"/>
        <v>单套/主力户型建筑面积</v>
      </c>
      <c r="AA41" s="1216">
        <f t="shared" si="3"/>
        <v>1</v>
      </c>
      <c r="AB41" s="1216">
        <f t="shared" si="4"/>
        <v>1</v>
      </c>
      <c r="AC41" s="1216">
        <f t="shared" si="5"/>
        <v>1</v>
      </c>
    </row>
    <row r="42" spans="1:29" ht="15">
      <c r="A42" s="1109"/>
      <c r="B42" s="1051" t="s">
        <v>926</v>
      </c>
      <c r="C42" s="1110" t="s">
        <v>927</v>
      </c>
      <c r="D42" s="1062">
        <v>100</v>
      </c>
      <c r="E42" s="2373" t="s">
        <v>928</v>
      </c>
      <c r="F42" s="1511">
        <f>SUMIF(122:122,E42,123:123)-SUMIF(122:122,C42,123:123)+100</f>
        <v>97</v>
      </c>
      <c r="G42" s="1110" t="s">
        <v>927</v>
      </c>
      <c r="H42" s="1062">
        <f>SUMIF(122:122,G42,123:123)-SUMIF(122:122,C42,123:123)+100</f>
        <v>100</v>
      </c>
      <c r="I42" s="2373" t="s">
        <v>927</v>
      </c>
      <c r="J42" s="1062">
        <f>SUMIF(122:122,I42,123:123)-SUMIF(122:122,C42,123:123)+100</f>
        <v>100</v>
      </c>
      <c r="K42" s="2393">
        <v>3</v>
      </c>
      <c r="L42" s="1172"/>
      <c r="M42" s="1160"/>
      <c r="N42" s="1160"/>
      <c r="O42" s="1160"/>
      <c r="P42" s="3572"/>
      <c r="Q42" s="470" t="str">
        <f t="shared" si="11"/>
        <v>内部装修</v>
      </c>
      <c r="R42" s="1204" t="s">
        <v>886</v>
      </c>
      <c r="S42" s="1205">
        <f t="shared" si="12"/>
        <v>97</v>
      </c>
      <c r="T42" s="1204" t="s">
        <v>886</v>
      </c>
      <c r="U42" s="1205">
        <f t="shared" si="13"/>
        <v>100</v>
      </c>
      <c r="V42" s="1204" t="s">
        <v>886</v>
      </c>
      <c r="W42" s="1205">
        <f t="shared" si="14"/>
        <v>100</v>
      </c>
      <c r="X42" s="1197"/>
      <c r="Y42" s="3576"/>
      <c r="Z42" s="1196" t="str">
        <f t="shared" si="15"/>
        <v>内部装修</v>
      </c>
      <c r="AA42" s="1216">
        <f t="shared" si="3"/>
        <v>1.0309278350515501</v>
      </c>
      <c r="AB42" s="1216">
        <f t="shared" si="4"/>
        <v>1</v>
      </c>
      <c r="AC42" s="1216">
        <f t="shared" si="5"/>
        <v>1</v>
      </c>
    </row>
    <row r="43" spans="1:29" ht="15">
      <c r="A43" s="1109"/>
      <c r="B43" s="1051" t="s">
        <v>215</v>
      </c>
      <c r="C43" s="1110" t="s">
        <v>899</v>
      </c>
      <c r="D43" s="1062">
        <v>100</v>
      </c>
      <c r="E43" s="2373" t="s">
        <v>899</v>
      </c>
      <c r="F43" s="1511">
        <f>SUMIF(124:124,E43,125:125)-SUMIF(124:124,C43,125:125)+100</f>
        <v>100</v>
      </c>
      <c r="G43" s="1110" t="s">
        <v>899</v>
      </c>
      <c r="H43" s="1062">
        <f>SUMIF(124:124,G43,125:125)-SUMIF(124:124,C43,125:125)+100</f>
        <v>100</v>
      </c>
      <c r="I43" s="2373" t="s">
        <v>899</v>
      </c>
      <c r="J43" s="1062">
        <f>SUMIF(124:124,I43,125:125)-SUMIF(124:124,C43,125:125)+100</f>
        <v>100</v>
      </c>
      <c r="K43" s="2398">
        <v>1</v>
      </c>
      <c r="L43" s="1172"/>
      <c r="M43" s="1160"/>
      <c r="N43" s="1160"/>
      <c r="O43" s="1160"/>
      <c r="P43" s="3572"/>
      <c r="Q43" s="470" t="str">
        <f t="shared" si="11"/>
        <v>内部装修维护情况</v>
      </c>
      <c r="R43" s="1204" t="s">
        <v>886</v>
      </c>
      <c r="S43" s="1205">
        <f t="shared" si="12"/>
        <v>100</v>
      </c>
      <c r="T43" s="1204" t="s">
        <v>886</v>
      </c>
      <c r="U43" s="1205">
        <f t="shared" si="13"/>
        <v>100</v>
      </c>
      <c r="V43" s="1204" t="s">
        <v>886</v>
      </c>
      <c r="W43" s="1205">
        <f t="shared" si="14"/>
        <v>100</v>
      </c>
      <c r="X43" s="1197"/>
      <c r="Y43" s="3576"/>
      <c r="Z43" s="1196" t="str">
        <f t="shared" si="15"/>
        <v>内部装修维护情况</v>
      </c>
      <c r="AA43" s="1216">
        <f t="shared" si="3"/>
        <v>1</v>
      </c>
      <c r="AB43" s="1216">
        <f t="shared" si="4"/>
        <v>1</v>
      </c>
      <c r="AC43" s="1216">
        <f t="shared" si="5"/>
        <v>1</v>
      </c>
    </row>
    <row r="44" spans="1:29" s="1014" customFormat="1" ht="15">
      <c r="A44" s="1111"/>
      <c r="B44" s="2378"/>
      <c r="C44" s="2379"/>
      <c r="D44" s="1053">
        <v>100</v>
      </c>
      <c r="E44" s="2379"/>
      <c r="F44" s="1513">
        <f>SUMIF(126:126,E44,127:127)-SUMIF(126:126,C44,127:127)+100</f>
        <v>100</v>
      </c>
      <c r="G44" s="2379"/>
      <c r="H44" s="1053">
        <f>SUMIF(126:126,G44,127:127)-SUMIF(126:126,C44,127:127)+100</f>
        <v>100</v>
      </c>
      <c r="I44" s="2379"/>
      <c r="J44" s="1053">
        <f>SUMIF(126:126,I44,127:127)-SUMIF(126:126,C44,127:127)+100</f>
        <v>100</v>
      </c>
      <c r="K44" s="2394"/>
      <c r="L44" s="1159"/>
      <c r="M44" s="1162"/>
      <c r="N44" s="1162"/>
      <c r="O44" s="1162"/>
      <c r="P44" s="3572"/>
      <c r="Q44" s="1203">
        <f t="shared" si="11"/>
        <v>0</v>
      </c>
      <c r="R44" s="1199" t="s">
        <v>886</v>
      </c>
      <c r="S44" s="1200">
        <f t="shared" si="12"/>
        <v>100</v>
      </c>
      <c r="T44" s="1199" t="s">
        <v>886</v>
      </c>
      <c r="U44" s="1200">
        <f t="shared" si="13"/>
        <v>100</v>
      </c>
      <c r="V44" s="1199" t="s">
        <v>886</v>
      </c>
      <c r="W44" s="1200">
        <f t="shared" si="14"/>
        <v>100</v>
      </c>
      <c r="X44" s="1201"/>
      <c r="Y44" s="3576"/>
      <c r="Z44" s="1215">
        <f t="shared" si="15"/>
        <v>0</v>
      </c>
      <c r="AA44" s="1214">
        <f t="shared" si="3"/>
        <v>1</v>
      </c>
      <c r="AB44" s="1214">
        <f t="shared" si="4"/>
        <v>1</v>
      </c>
      <c r="AC44" s="1214">
        <f t="shared" si="5"/>
        <v>1</v>
      </c>
    </row>
    <row r="45" spans="1:29" ht="15">
      <c r="A45" s="1109"/>
      <c r="B45" s="2378"/>
      <c r="C45" s="2380"/>
      <c r="D45" s="1062">
        <v>100</v>
      </c>
      <c r="E45" s="2380"/>
      <c r="F45" s="1511">
        <f>SUMIF(128:128,E45,129:129)-SUMIF(128:128,C45,129:129)+100</f>
        <v>100</v>
      </c>
      <c r="G45" s="2380"/>
      <c r="H45" s="1062">
        <f>SUMIF(128:128,G45,129:129)-SUMIF(128:128,C45,129:129)+100</f>
        <v>100</v>
      </c>
      <c r="I45" s="2380"/>
      <c r="J45" s="1062">
        <f>SUMIF(128:128,I45,129:129)-SUMIF(128:128,C45,129:129)+100</f>
        <v>100</v>
      </c>
      <c r="K45" s="2394"/>
      <c r="L45" s="1172"/>
      <c r="M45" s="1160"/>
      <c r="N45" s="1160"/>
      <c r="O45" s="1160"/>
      <c r="P45" s="3572"/>
      <c r="Q45" s="470">
        <f t="shared" si="11"/>
        <v>0</v>
      </c>
      <c r="R45" s="1204" t="s">
        <v>886</v>
      </c>
      <c r="S45" s="1205">
        <f t="shared" si="12"/>
        <v>100</v>
      </c>
      <c r="T45" s="1204" t="s">
        <v>886</v>
      </c>
      <c r="U45" s="1205">
        <f t="shared" si="13"/>
        <v>100</v>
      </c>
      <c r="V45" s="1204" t="s">
        <v>886</v>
      </c>
      <c r="W45" s="1205">
        <f t="shared" si="14"/>
        <v>100</v>
      </c>
      <c r="X45" s="1197"/>
      <c r="Y45" s="3576"/>
      <c r="Z45" s="1196">
        <f t="shared" si="15"/>
        <v>0</v>
      </c>
      <c r="AA45" s="1216">
        <f t="shared" si="3"/>
        <v>1</v>
      </c>
      <c r="AB45" s="1216">
        <f t="shared" si="4"/>
        <v>1</v>
      </c>
      <c r="AC45" s="1216">
        <f t="shared" si="5"/>
        <v>1</v>
      </c>
    </row>
    <row r="46" spans="1:29" ht="15">
      <c r="A46" s="1517"/>
      <c r="B46" s="2381"/>
      <c r="C46" s="2382"/>
      <c r="D46" s="1068">
        <v>100</v>
      </c>
      <c r="E46" s="2382"/>
      <c r="F46" s="1518">
        <f>SUMIF(130:130,E46,131:131)-SUMIF(130:130,C46,131:131)+100</f>
        <v>100</v>
      </c>
      <c r="G46" s="2382"/>
      <c r="H46" s="1068">
        <f>SUMIF(130:130,G46,131:131)-SUMIF(130:130,C46,131:131)+100</f>
        <v>100</v>
      </c>
      <c r="I46" s="2382"/>
      <c r="J46" s="1068">
        <f>SUMIF(130:130,I46,131:131)-SUMIF(130:130,C46,131:131)+100</f>
        <v>100</v>
      </c>
      <c r="K46" s="2394"/>
      <c r="L46" s="1172"/>
      <c r="M46" s="1160"/>
      <c r="N46" s="1160"/>
      <c r="O46" s="1160"/>
      <c r="P46" s="3573"/>
      <c r="Q46" s="470">
        <f t="shared" si="11"/>
        <v>0</v>
      </c>
      <c r="R46" s="1204" t="s">
        <v>886</v>
      </c>
      <c r="S46" s="1205">
        <f t="shared" si="12"/>
        <v>100</v>
      </c>
      <c r="T46" s="1204" t="s">
        <v>886</v>
      </c>
      <c r="U46" s="1205">
        <f t="shared" si="13"/>
        <v>100</v>
      </c>
      <c r="V46" s="1204" t="s">
        <v>886</v>
      </c>
      <c r="W46" s="1205">
        <f t="shared" si="14"/>
        <v>100</v>
      </c>
      <c r="X46" s="1197"/>
      <c r="Y46" s="3577"/>
      <c r="Z46" s="1196">
        <f t="shared" si="15"/>
        <v>0</v>
      </c>
      <c r="AA46" s="1216">
        <f t="shared" si="3"/>
        <v>1</v>
      </c>
      <c r="AB46" s="1216">
        <f t="shared" si="4"/>
        <v>1</v>
      </c>
      <c r="AC46" s="1216">
        <f t="shared" si="5"/>
        <v>1</v>
      </c>
    </row>
    <row r="47" spans="1:29" ht="15">
      <c r="A47" s="1117" t="s">
        <v>929</v>
      </c>
      <c r="B47" s="1519"/>
      <c r="C47" s="1520" t="s">
        <v>121</v>
      </c>
      <c r="D47" s="1521"/>
      <c r="E47" s="1522">
        <f>案例!F41</f>
        <v>40834</v>
      </c>
      <c r="F47" s="1523"/>
      <c r="G47" s="1524">
        <f>案例!F46</f>
        <v>46796</v>
      </c>
      <c r="H47" s="1525"/>
      <c r="I47" s="1522">
        <f>案例!F50</f>
        <v>42752</v>
      </c>
      <c r="J47" s="1525"/>
      <c r="K47" s="2399"/>
      <c r="L47" s="1188"/>
      <c r="N47" s="1160"/>
      <c r="P47" s="3559" t="str">
        <f>A47</f>
        <v>成交单价（元/平方米）</v>
      </c>
      <c r="Q47" s="3559"/>
      <c r="R47" s="3560">
        <f>E47</f>
        <v>40834</v>
      </c>
      <c r="S47" s="3560"/>
      <c r="T47" s="3560">
        <f>G47</f>
        <v>46796</v>
      </c>
      <c r="U47" s="3560"/>
      <c r="V47" s="3560">
        <f>I47</f>
        <v>42752</v>
      </c>
      <c r="W47" s="3560"/>
      <c r="X47" s="1209"/>
      <c r="Y47" s="1218"/>
      <c r="Z47" s="1209"/>
      <c r="AA47" s="1209"/>
      <c r="AB47" s="1209"/>
      <c r="AC47" s="1209"/>
    </row>
    <row r="48" spans="1:29" ht="15">
      <c r="A48" s="1125" t="s">
        <v>930</v>
      </c>
      <c r="B48" s="1526"/>
      <c r="C48" s="1527">
        <f>R49</f>
        <v>45140</v>
      </c>
      <c r="D48" s="790" t="s">
        <v>931</v>
      </c>
      <c r="E48" s="1528">
        <f>R48</f>
        <v>43172</v>
      </c>
      <c r="F48" s="791"/>
      <c r="G48" s="1527">
        <f>T48</f>
        <v>47513</v>
      </c>
      <c r="H48" s="791"/>
      <c r="I48" s="1528">
        <f>V48</f>
        <v>44736</v>
      </c>
      <c r="J48" s="791"/>
      <c r="K48" s="2400">
        <f>F48+H48+J48</f>
        <v>0</v>
      </c>
      <c r="L48" s="1188"/>
      <c r="P48" s="3559" t="str">
        <f>A48</f>
        <v>比较价值（元/平方米）</v>
      </c>
      <c r="Q48" s="3559"/>
      <c r="R48" s="3560">
        <f>IF(E1="售价",ROUND(PRODUCT(R47,AA7:AA46),0),ROUND(PRODUCT(R47,AA7:AA46),1))</f>
        <v>43172</v>
      </c>
      <c r="S48" s="3560"/>
      <c r="T48" s="3561">
        <f>IF(E1="售价",ROUND(PRODUCT(T47,AB7:AB46),0),ROUND(PRODUCT(T47,AB7:AB46),1))</f>
        <v>47513</v>
      </c>
      <c r="U48" s="3562"/>
      <c r="V48" s="3560">
        <f>IF(E1="售价",ROUND(PRODUCT(V47,AC7:AC46),0),ROUND(PRODUCT(V47,AC7:AC46),1))</f>
        <v>44736</v>
      </c>
      <c r="W48" s="3560"/>
      <c r="X48" s="1209"/>
      <c r="Y48" s="1209"/>
      <c r="Z48" s="1209"/>
      <c r="AA48" s="1209"/>
      <c r="AB48" s="1209"/>
      <c r="AC48" s="1209"/>
    </row>
    <row r="49" spans="1:29" ht="15">
      <c r="A49" s="1129" t="s">
        <v>932</v>
      </c>
      <c r="B49" s="1130"/>
      <c r="C49" s="2383">
        <f>R49</f>
        <v>45140</v>
      </c>
      <c r="D49" s="1529"/>
      <c r="E49" s="1529"/>
      <c r="F49" s="1529"/>
      <c r="G49" s="1529"/>
      <c r="H49" s="1529"/>
      <c r="I49" s="1529"/>
      <c r="J49" s="1529"/>
      <c r="K49" s="2401"/>
      <c r="L49" s="1188"/>
      <c r="P49" s="3563" t="str">
        <f>A49</f>
        <v>估价对象XX用房的比较价值（楼面单价，元/平方米）</v>
      </c>
      <c r="Q49" s="3564"/>
      <c r="R49" s="3565">
        <f>IF(E1="售价",ROUND(IF(D48="简单平均",AVERAGE(R48:V48),R48*F48+T48*H48+V48*J48),0),ROUND(IF(D48="简单平均",AVERAGE(R48:V48),R48*F48+T48*H48+V48*J48),1))</f>
        <v>45140</v>
      </c>
      <c r="S49" s="3565"/>
      <c r="T49" s="3565"/>
      <c r="U49" s="3565"/>
      <c r="V49" s="3565"/>
      <c r="W49" s="3565"/>
      <c r="X49" s="1209"/>
      <c r="Y49" s="1209"/>
      <c r="Z49" s="1209"/>
      <c r="AA49" s="1209"/>
      <c r="AB49" s="1209"/>
      <c r="AC49" s="1209"/>
    </row>
    <row r="50" spans="1:29">
      <c r="G50" s="1132"/>
    </row>
    <row r="52" spans="1:29" ht="13.5" customHeight="1">
      <c r="C52" s="797" t="s">
        <v>933</v>
      </c>
      <c r="D52" s="509"/>
      <c r="E52" s="1133">
        <f>IF(E47&lt;E48,E48/E47-1,E47/E48-1)</f>
        <v>5.7256208061909203E-2</v>
      </c>
      <c r="F52" s="1134" t="str">
        <f>IF(OR(E52&gt;=0.3,E52&lt;=-0.3),"超过30%","")</f>
        <v/>
      </c>
      <c r="G52" s="1133">
        <f>IF(G47&lt;G48,G48/G47-1,G47/G48-1)</f>
        <v>1.5321822377980999E-2</v>
      </c>
      <c r="H52" s="1134" t="str">
        <f>IF(OR(G52&gt;=0.3,G52&lt;=-0.3),"超过30%","")</f>
        <v/>
      </c>
      <c r="I52" s="1133">
        <f>IF(I47&lt;I48,I48/I47-1,I47/I48-1)</f>
        <v>4.6407185628742499E-2</v>
      </c>
      <c r="J52" s="1134" t="str">
        <f>IF(OR(I52&gt;=0.3,I52&lt;=-0.3),"超过30%","")</f>
        <v/>
      </c>
    </row>
    <row r="53" spans="1:29" ht="13.5" customHeight="1">
      <c r="C53" s="797" t="s">
        <v>934</v>
      </c>
      <c r="D53" s="508"/>
      <c r="E53" s="1133">
        <f>IF(E48&lt;G48,G48/E48-1,E48/G48-1)</f>
        <v>0.10055128323913599</v>
      </c>
      <c r="F53" s="1134" t="str">
        <f>IF(OR(E53&gt;=0.2,E53&lt;=-0.2),"超过20%","")</f>
        <v/>
      </c>
      <c r="G53" s="1133">
        <f>IF(G48&lt;I48,I48/G48-1,G48/I48-1)</f>
        <v>6.2075286123032897E-2</v>
      </c>
      <c r="H53" s="1134" t="str">
        <f>IF(OR(G53&gt;=0.2,G53&lt;=-0.2),"超过20%","")</f>
        <v/>
      </c>
      <c r="I53" s="1133">
        <f>IF(I48&lt;E48,E48/I48-1,I48/E48-1)</f>
        <v>3.6227184286111297E-2</v>
      </c>
      <c r="J53" s="1134" t="str">
        <f>IF(OR(I53&gt;=0.2,I53&lt;=-0.2),"超过20%","")</f>
        <v/>
      </c>
    </row>
    <row r="54" spans="1:29" s="1017" customFormat="1" ht="13.5" customHeight="1">
      <c r="C54" s="797" t="s">
        <v>935</v>
      </c>
      <c r="D54" s="508"/>
      <c r="E54" s="1133">
        <f>IF(E47&lt;G47,G47/E47-1,E47/G47-1)</f>
        <v>0.14600577949747801</v>
      </c>
      <c r="F54" s="1134" t="str">
        <f>IF(OR(E54&gt;=0.3,E54&lt;=-0.3),"超过30%","")</f>
        <v/>
      </c>
      <c r="G54" s="1133">
        <f>IF(G47&lt;I47,I47/G47-1,G47/I47-1)</f>
        <v>9.4592065868263506E-2</v>
      </c>
      <c r="H54" s="1134" t="str">
        <f>IF(OR(G54&gt;=0.3,G54&lt;=-0.3),"超过30%","")</f>
        <v/>
      </c>
      <c r="I54" s="1133">
        <f>IF(I47&lt;E47,E47/I47-1,I47/E47-1)</f>
        <v>4.6970661703482401E-2</v>
      </c>
      <c r="J54" s="1134" t="str">
        <f>IF(OR(I54&gt;=0.3,I54&lt;=-0.3),"超过30%","")</f>
        <v/>
      </c>
      <c r="K54" s="1191"/>
      <c r="L54" s="1192"/>
      <c r="P54" s="2402"/>
    </row>
    <row r="55" spans="1:29" s="1017" customFormat="1">
      <c r="B55" s="1135"/>
      <c r="C55" s="1136"/>
      <c r="K55" s="1191"/>
      <c r="L55" s="1192"/>
      <c r="P55" s="2402"/>
    </row>
    <row r="56" spans="1:29">
      <c r="B56" s="1135"/>
      <c r="C56" s="1136"/>
    </row>
    <row r="57" spans="1:29" ht="21">
      <c r="A57" s="1227" t="s">
        <v>936</v>
      </c>
      <c r="B57" s="1209"/>
      <c r="C57" s="1228"/>
      <c r="D57" s="1228"/>
      <c r="E57" s="1228"/>
      <c r="F57" s="1228"/>
      <c r="G57" s="1228"/>
      <c r="H57" s="1228"/>
      <c r="I57" s="1228"/>
      <c r="J57" s="1228"/>
      <c r="K57" s="1542"/>
      <c r="L57" s="2403"/>
      <c r="M57" s="1544"/>
      <c r="N57" s="1544"/>
      <c r="O57" s="1544"/>
      <c r="P57" s="2404"/>
      <c r="Q57" s="1286"/>
    </row>
    <row r="58" spans="1:29" s="1477" customFormat="1" ht="15">
      <c r="A58" s="1530" t="s">
        <v>884</v>
      </c>
      <c r="B58" s="1531"/>
      <c r="C58" s="1532" t="str">
        <f>YEAR(C7)&amp;"-"&amp;MONTH(C7)</f>
        <v>2022-11</v>
      </c>
      <c r="D58" s="1533">
        <f>EDATE(C58,-1)</f>
        <v>44835</v>
      </c>
      <c r="E58" s="1533">
        <f t="shared" ref="E58:O58" si="16">EDATE(D58,-1)</f>
        <v>44805</v>
      </c>
      <c r="F58" s="1533">
        <f t="shared" si="16"/>
        <v>44774</v>
      </c>
      <c r="G58" s="1533">
        <f t="shared" si="16"/>
        <v>44743</v>
      </c>
      <c r="H58" s="1533">
        <f t="shared" si="16"/>
        <v>44713</v>
      </c>
      <c r="I58" s="1533">
        <f t="shared" si="16"/>
        <v>44682</v>
      </c>
      <c r="J58" s="1533">
        <f t="shared" si="16"/>
        <v>44652</v>
      </c>
      <c r="K58" s="1533">
        <f t="shared" si="16"/>
        <v>44621</v>
      </c>
      <c r="L58" s="1533">
        <f t="shared" si="16"/>
        <v>44593</v>
      </c>
      <c r="M58" s="1533">
        <f t="shared" si="16"/>
        <v>44562</v>
      </c>
      <c r="N58" s="1533">
        <f t="shared" si="16"/>
        <v>44531</v>
      </c>
      <c r="O58" s="1533">
        <f t="shared" si="16"/>
        <v>44501</v>
      </c>
      <c r="P58" s="1590"/>
    </row>
    <row r="59" spans="1:29" s="1014" customFormat="1" ht="15">
      <c r="A59" s="1534"/>
      <c r="B59" s="1240"/>
      <c r="C59" s="1242">
        <v>100</v>
      </c>
      <c r="D59" s="1243">
        <v>100</v>
      </c>
      <c r="E59" s="1243">
        <v>99.5</v>
      </c>
      <c r="F59" s="1243">
        <v>99.5</v>
      </c>
      <c r="G59" s="1243">
        <v>99.5</v>
      </c>
      <c r="H59" s="1243">
        <v>99</v>
      </c>
      <c r="I59" s="1243">
        <v>99</v>
      </c>
      <c r="J59" s="1243">
        <v>99</v>
      </c>
      <c r="K59" s="1243">
        <v>98.5</v>
      </c>
      <c r="L59" s="1243">
        <v>98.5</v>
      </c>
      <c r="M59" s="1546">
        <v>98.5</v>
      </c>
      <c r="N59" s="1243">
        <v>98.5</v>
      </c>
      <c r="O59" s="1546"/>
      <c r="P59" s="1591"/>
    </row>
    <row r="60" spans="1:29" s="1014" customFormat="1" ht="15">
      <c r="A60" s="1235" t="s">
        <v>937</v>
      </c>
      <c r="B60" s="1236"/>
      <c r="C60" s="1237"/>
      <c r="D60" s="1238"/>
      <c r="E60" s="1238"/>
      <c r="F60" s="1238"/>
      <c r="G60" s="1238"/>
      <c r="H60" s="1238"/>
      <c r="I60" s="1238"/>
      <c r="J60" s="1238"/>
      <c r="K60" s="1238"/>
      <c r="L60" s="1238"/>
      <c r="M60" s="1287"/>
      <c r="N60" s="1238"/>
      <c r="O60" s="1287"/>
      <c r="P60" s="1591"/>
      <c r="Q60" s="1286"/>
    </row>
    <row r="61" spans="1:29" s="1014" customFormat="1" ht="15">
      <c r="A61" s="1239" t="s">
        <v>887</v>
      </c>
      <c r="B61" s="1240"/>
      <c r="C61" s="1241" t="s">
        <v>888</v>
      </c>
      <c r="D61" s="960"/>
      <c r="E61" s="960"/>
      <c r="F61" s="960"/>
      <c r="G61" s="960"/>
      <c r="H61" s="960"/>
      <c r="I61" s="960"/>
      <c r="J61" s="960"/>
      <c r="K61" s="960"/>
      <c r="L61" s="960"/>
      <c r="M61" s="1289"/>
      <c r="N61" s="2405"/>
      <c r="O61" s="2405"/>
      <c r="P61" s="1592"/>
      <c r="Q61" s="1286"/>
    </row>
    <row r="62" spans="1:29" s="1014" customFormat="1" ht="15">
      <c r="A62" s="1239"/>
      <c r="B62" s="1240"/>
      <c r="C62" s="1535">
        <v>100</v>
      </c>
      <c r="D62" s="1243"/>
      <c r="E62" s="1243"/>
      <c r="F62" s="1243"/>
      <c r="G62" s="1243"/>
      <c r="H62" s="1243"/>
      <c r="I62" s="1243"/>
      <c r="J62" s="1243"/>
      <c r="K62" s="1243"/>
      <c r="L62" s="1243"/>
      <c r="M62" s="1292"/>
      <c r="N62" s="2405"/>
      <c r="O62" s="2405"/>
      <c r="P62" s="1591"/>
      <c r="Q62" s="1286"/>
    </row>
    <row r="63" spans="1:29">
      <c r="A63" s="1244" t="s">
        <v>938</v>
      </c>
      <c r="B63" s="1245" t="s">
        <v>892</v>
      </c>
      <c r="C63" s="1265" t="str">
        <f>C9</f>
        <v>住宅</v>
      </c>
      <c r="D63" s="2384" t="s">
        <v>461</v>
      </c>
      <c r="E63" s="1185"/>
      <c r="F63" s="1185"/>
      <c r="G63" s="1185"/>
      <c r="H63" s="1185"/>
      <c r="I63" s="1185"/>
      <c r="J63" s="1185"/>
      <c r="K63" s="966"/>
      <c r="L63" s="966"/>
      <c r="M63" s="1293"/>
      <c r="N63" s="2406"/>
      <c r="O63" s="2406"/>
      <c r="P63" s="1593"/>
      <c r="Q63" s="1286"/>
    </row>
    <row r="64" spans="1:29" ht="15">
      <c r="A64" s="1246"/>
      <c r="B64" s="1247"/>
      <c r="C64" s="1248">
        <v>100</v>
      </c>
      <c r="D64" s="1248">
        <v>101</v>
      </c>
      <c r="E64" s="1248"/>
      <c r="F64" s="1248"/>
      <c r="G64" s="1248"/>
      <c r="H64" s="1248"/>
      <c r="I64" s="1248"/>
      <c r="J64" s="1248"/>
      <c r="K64" s="1248"/>
      <c r="L64" s="1248"/>
      <c r="M64" s="1296"/>
      <c r="N64" s="2407"/>
      <c r="O64" s="2407"/>
      <c r="P64" s="1593"/>
      <c r="Q64" s="1286"/>
    </row>
    <row r="65" spans="1:17" ht="27">
      <c r="A65" s="1246"/>
      <c r="B65" s="1249" t="s">
        <v>895</v>
      </c>
      <c r="C65" s="1250" t="s">
        <v>939</v>
      </c>
      <c r="D65" s="1250" t="s">
        <v>940</v>
      </c>
      <c r="E65" s="1250" t="s">
        <v>941</v>
      </c>
      <c r="F65" s="1250" t="s">
        <v>942</v>
      </c>
      <c r="G65" s="1250" t="s">
        <v>943</v>
      </c>
      <c r="H65" s="1250" t="s">
        <v>944</v>
      </c>
      <c r="I65" s="1250" t="s">
        <v>945</v>
      </c>
      <c r="J65" s="1250"/>
      <c r="K65" s="973"/>
      <c r="L65" s="973"/>
      <c r="M65" s="1298"/>
      <c r="N65" s="2406"/>
      <c r="O65" s="2406"/>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407"/>
      <c r="O66" s="2407"/>
      <c r="P66" s="1593"/>
      <c r="Q66" s="1286"/>
    </row>
    <row r="67" spans="1:17" ht="15">
      <c r="A67" s="1246"/>
      <c r="B67" s="1253" t="s">
        <v>896</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407"/>
      <c r="O67" s="2407"/>
      <c r="P67" s="1593"/>
      <c r="Q67" s="1286"/>
    </row>
    <row r="68" spans="1:17" ht="15">
      <c r="A68" s="1246"/>
      <c r="B68" s="1255"/>
      <c r="C68" s="1063">
        <v>0</v>
      </c>
      <c r="D68" s="1063">
        <v>1</v>
      </c>
      <c r="E68" s="1063">
        <v>2</v>
      </c>
      <c r="F68" s="1063"/>
      <c r="G68" s="1063"/>
      <c r="H68" s="1063"/>
      <c r="I68" s="1063"/>
      <c r="J68" s="1063"/>
      <c r="K68" s="977"/>
      <c r="L68" s="977"/>
      <c r="M68" s="1300"/>
      <c r="N68" s="2406"/>
      <c r="O68" s="2406"/>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407"/>
      <c r="O69" s="2407"/>
      <c r="P69" s="1593"/>
      <c r="Q69" s="1286"/>
    </row>
    <row r="70" spans="1:17" s="1016" customFormat="1" ht="15">
      <c r="A70" s="1256"/>
      <c r="B70" s="1249">
        <f>B12</f>
        <v>111</v>
      </c>
      <c r="C70" s="1257"/>
      <c r="D70" s="1257"/>
      <c r="E70" s="1257"/>
      <c r="F70" s="1257"/>
      <c r="G70" s="1257"/>
      <c r="H70" s="979"/>
      <c r="I70" s="979"/>
      <c r="J70" s="979"/>
      <c r="K70" s="979"/>
      <c r="L70" s="979"/>
      <c r="M70" s="1301"/>
      <c r="N70" s="2415"/>
      <c r="O70" s="2415"/>
      <c r="P70" s="1598"/>
      <c r="Q70" s="1318"/>
    </row>
    <row r="71" spans="1:17" s="1016" customFormat="1" ht="15">
      <c r="A71" s="1256"/>
      <c r="B71" s="1251"/>
      <c r="C71" s="1258"/>
      <c r="D71" s="1248"/>
      <c r="E71" s="1248"/>
      <c r="F71" s="1248"/>
      <c r="G71" s="1248"/>
      <c r="H71" s="1248"/>
      <c r="I71" s="1248"/>
      <c r="J71" s="1248"/>
      <c r="K71" s="1248"/>
      <c r="L71" s="1248"/>
      <c r="M71" s="1296"/>
      <c r="N71" s="2407"/>
      <c r="O71" s="2407"/>
      <c r="P71" s="1598"/>
      <c r="Q71" s="1318"/>
    </row>
    <row r="72" spans="1:17" s="1016" customFormat="1" ht="15">
      <c r="A72" s="1256"/>
      <c r="B72" s="1249">
        <f>B13</f>
        <v>111</v>
      </c>
      <c r="C72" s="1257"/>
      <c r="D72" s="1257"/>
      <c r="E72" s="1257"/>
      <c r="F72" s="1257"/>
      <c r="G72" s="1257"/>
      <c r="H72" s="979"/>
      <c r="I72" s="979"/>
      <c r="J72" s="979"/>
      <c r="K72" s="979"/>
      <c r="L72" s="979"/>
      <c r="M72" s="1301"/>
      <c r="N72" s="2415"/>
      <c r="O72" s="2415"/>
      <c r="P72" s="1599"/>
      <c r="Q72" s="1319"/>
    </row>
    <row r="73" spans="1:17" s="1016" customFormat="1" ht="15">
      <c r="A73" s="1256"/>
      <c r="B73" s="1251"/>
      <c r="C73" s="1258"/>
      <c r="D73" s="1258"/>
      <c r="E73" s="1258"/>
      <c r="F73" s="1258"/>
      <c r="G73" s="1258"/>
      <c r="H73" s="1259"/>
      <c r="I73" s="1259"/>
      <c r="J73" s="1259"/>
      <c r="K73" s="1259"/>
      <c r="L73" s="1259"/>
      <c r="M73" s="1304"/>
      <c r="N73" s="2415"/>
      <c r="O73" s="2415"/>
      <c r="P73" s="1598"/>
      <c r="Q73" s="1318"/>
    </row>
    <row r="74" spans="1:17" s="1016" customFormat="1" ht="15">
      <c r="A74" s="1256"/>
      <c r="B74" s="1253">
        <f>B14</f>
        <v>111</v>
      </c>
      <c r="C74" s="1257"/>
      <c r="D74" s="1257"/>
      <c r="E74" s="1257"/>
      <c r="F74" s="1257"/>
      <c r="G74" s="960"/>
      <c r="H74" s="984"/>
      <c r="I74" s="984"/>
      <c r="J74" s="984"/>
      <c r="K74" s="984"/>
      <c r="L74" s="984"/>
      <c r="M74" s="1305"/>
      <c r="N74" s="2415"/>
      <c r="O74" s="2415"/>
      <c r="P74" s="1598"/>
      <c r="Q74" s="1318"/>
    </row>
    <row r="75" spans="1:17" s="1016" customFormat="1" ht="15">
      <c r="A75" s="1260"/>
      <c r="B75" s="1261"/>
      <c r="C75" s="1262"/>
      <c r="D75" s="1262"/>
      <c r="E75" s="1262"/>
      <c r="F75" s="1262"/>
      <c r="G75" s="1262"/>
      <c r="H75" s="1263"/>
      <c r="I75" s="1263"/>
      <c r="J75" s="1263"/>
      <c r="K75" s="1263"/>
      <c r="L75" s="1263"/>
      <c r="M75" s="1306"/>
      <c r="N75" s="2415"/>
      <c r="O75" s="2415"/>
      <c r="P75" s="1598"/>
      <c r="Q75" s="1318"/>
    </row>
    <row r="76" spans="1:17">
      <c r="A76" s="1244" t="s">
        <v>897</v>
      </c>
      <c r="B76" s="1245" t="s">
        <v>205</v>
      </c>
      <c r="C76" s="1264" t="s">
        <v>226</v>
      </c>
      <c r="D76" s="1264" t="s">
        <v>238</v>
      </c>
      <c r="E76" s="1264" t="s">
        <v>249</v>
      </c>
      <c r="F76" s="1264" t="s">
        <v>259</v>
      </c>
      <c r="G76" s="1264" t="s">
        <v>266</v>
      </c>
      <c r="H76" s="1265"/>
      <c r="I76" s="1265"/>
      <c r="J76" s="1265"/>
      <c r="K76" s="989"/>
      <c r="L76" s="989"/>
      <c r="M76" s="1307"/>
      <c r="N76" s="2406"/>
      <c r="O76" s="2406"/>
      <c r="P76" s="1593"/>
      <c r="Q76" s="1286"/>
    </row>
    <row r="77" spans="1:17" ht="15">
      <c r="A77" s="1246"/>
      <c r="B77" s="1251"/>
      <c r="C77" s="1252">
        <v>100</v>
      </c>
      <c r="D77" s="1252">
        <f>C77-$K15</f>
        <v>95</v>
      </c>
      <c r="E77" s="1252">
        <f>D77-$K15</f>
        <v>90</v>
      </c>
      <c r="F77" s="1252">
        <f>E77-$K15</f>
        <v>85</v>
      </c>
      <c r="G77" s="1252">
        <f>F77-$K15</f>
        <v>80</v>
      </c>
      <c r="H77" s="1252"/>
      <c r="I77" s="1252"/>
      <c r="J77" s="1252"/>
      <c r="K77" s="1252"/>
      <c r="L77" s="1252"/>
      <c r="M77" s="1299"/>
      <c r="N77" s="2407"/>
      <c r="O77" s="240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406"/>
      <c r="O78" s="2406"/>
      <c r="P78" s="1593"/>
      <c r="Q78" s="1286"/>
    </row>
    <row r="79" spans="1:17" ht="15">
      <c r="A79" s="1246"/>
      <c r="B79" s="1251"/>
      <c r="C79" s="1252">
        <v>100</v>
      </c>
      <c r="D79" s="1252">
        <f>C79-$K17</f>
        <v>97</v>
      </c>
      <c r="E79" s="1252">
        <f>D79-$K17</f>
        <v>94</v>
      </c>
      <c r="F79" s="1252">
        <f>E79-$K17</f>
        <v>91</v>
      </c>
      <c r="G79" s="1252">
        <f>F79-$K17</f>
        <v>88</v>
      </c>
      <c r="H79" s="1252"/>
      <c r="I79" s="1252"/>
      <c r="J79" s="1252"/>
      <c r="K79" s="1252"/>
      <c r="L79" s="1252"/>
      <c r="M79" s="1299"/>
      <c r="N79" s="2407"/>
      <c r="O79" s="240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406"/>
      <c r="O80" s="2406"/>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407"/>
      <c r="O81" s="2407"/>
      <c r="P81" s="1593"/>
      <c r="Q81" s="1286"/>
    </row>
    <row r="82" spans="1:17" ht="15">
      <c r="A82" s="1246"/>
      <c r="B82" s="1253" t="s">
        <v>212</v>
      </c>
      <c r="C82" s="1250" t="s">
        <v>946</v>
      </c>
      <c r="D82" s="1250" t="s">
        <v>947</v>
      </c>
      <c r="E82" s="1250" t="s">
        <v>948</v>
      </c>
      <c r="F82" s="1250" t="s">
        <v>949</v>
      </c>
      <c r="G82" s="1250" t="s">
        <v>950</v>
      </c>
      <c r="H82" s="1250"/>
      <c r="I82" s="1250"/>
      <c r="J82" s="1250"/>
      <c r="K82" s="1250"/>
      <c r="L82" s="1250"/>
      <c r="M82" s="1309"/>
      <c r="N82" s="2407"/>
      <c r="O82" s="2407"/>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407"/>
      <c r="O83" s="2407"/>
      <c r="P83" s="1593"/>
      <c r="Q83" s="1286"/>
    </row>
    <row r="84" spans="1:17" ht="15">
      <c r="A84" s="1246"/>
      <c r="B84" s="1249" t="s">
        <v>902</v>
      </c>
      <c r="C84" s="992" t="s">
        <v>226</v>
      </c>
      <c r="D84" s="992" t="s">
        <v>238</v>
      </c>
      <c r="E84" s="992" t="s">
        <v>249</v>
      </c>
      <c r="F84" s="992" t="s">
        <v>259</v>
      </c>
      <c r="G84" s="992" t="s">
        <v>266</v>
      </c>
      <c r="H84" s="1250"/>
      <c r="I84" s="1250"/>
      <c r="J84" s="1250"/>
      <c r="K84" s="973"/>
      <c r="L84" s="973"/>
      <c r="M84" s="1298"/>
      <c r="N84" s="2406"/>
      <c r="O84" s="2406"/>
      <c r="P84" s="1593"/>
      <c r="Q84" s="1286"/>
    </row>
    <row r="85" spans="1:17" ht="15">
      <c r="A85" s="1246"/>
      <c r="B85" s="1251"/>
      <c r="C85" s="1252">
        <v>100</v>
      </c>
      <c r="D85" s="1252">
        <f>C85-$K23</f>
        <v>99</v>
      </c>
      <c r="E85" s="1252">
        <f>D85-$K23</f>
        <v>98</v>
      </c>
      <c r="F85" s="1252">
        <f>E85-$K23</f>
        <v>97</v>
      </c>
      <c r="G85" s="1252">
        <f>F85-$K23</f>
        <v>96</v>
      </c>
      <c r="H85" s="1252"/>
      <c r="I85" s="1252"/>
      <c r="J85" s="1252"/>
      <c r="K85" s="1252"/>
      <c r="L85" s="1252"/>
      <c r="M85" s="1299"/>
      <c r="N85" s="2407"/>
      <c r="O85" s="2407"/>
      <c r="P85" s="1593"/>
      <c r="Q85" s="1286"/>
    </row>
    <row r="86" spans="1:17" s="1014" customFormat="1" ht="15">
      <c r="A86" s="1266"/>
      <c r="B86" s="1249" t="s">
        <v>903</v>
      </c>
      <c r="C86" s="1257"/>
      <c r="D86" s="1257"/>
      <c r="E86" s="1257"/>
      <c r="F86" s="1257"/>
      <c r="G86" s="1257"/>
      <c r="H86" s="1257"/>
      <c r="I86" s="1257"/>
      <c r="J86" s="1257"/>
      <c r="K86" s="1257"/>
      <c r="L86" s="1257"/>
      <c r="M86" s="1556"/>
      <c r="N86" s="2405"/>
      <c r="O86" s="2405"/>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407"/>
      <c r="O87" s="2407"/>
      <c r="P87" s="1593"/>
      <c r="Q87" s="1286"/>
    </row>
    <row r="88" spans="1:17" s="1014" customFormat="1" ht="15">
      <c r="A88" s="1266"/>
      <c r="B88" s="1249" t="s">
        <v>904</v>
      </c>
      <c r="C88" s="2410" t="s">
        <v>905</v>
      </c>
      <c r="D88" s="2411" t="s">
        <v>906</v>
      </c>
      <c r="E88" s="2411"/>
      <c r="F88" s="2411"/>
      <c r="G88" s="1257"/>
      <c r="H88" s="1257"/>
      <c r="I88" s="1257"/>
      <c r="J88" s="1257"/>
      <c r="K88" s="1257"/>
      <c r="L88" s="1257"/>
      <c r="M88" s="1556"/>
      <c r="N88" s="2405"/>
      <c r="O88" s="2405"/>
      <c r="P88" s="1593"/>
      <c r="Q88" s="1286"/>
    </row>
    <row r="89" spans="1:17" s="1014" customFormat="1" ht="15">
      <c r="A89" s="1266"/>
      <c r="B89" s="1251"/>
      <c r="C89" s="1267">
        <v>100</v>
      </c>
      <c r="D89" s="1252">
        <f t="shared" ref="D89:M89" si="21">C89-$K26</f>
        <v>99</v>
      </c>
      <c r="E89" s="1252">
        <f t="shared" si="21"/>
        <v>98</v>
      </c>
      <c r="F89" s="1252">
        <f t="shared" si="21"/>
        <v>97</v>
      </c>
      <c r="G89" s="1252">
        <f t="shared" si="21"/>
        <v>96</v>
      </c>
      <c r="H89" s="1252">
        <f t="shared" si="21"/>
        <v>95</v>
      </c>
      <c r="I89" s="1252">
        <f t="shared" si="21"/>
        <v>94</v>
      </c>
      <c r="J89" s="1252">
        <f t="shared" si="21"/>
        <v>93</v>
      </c>
      <c r="K89" s="1252">
        <f t="shared" si="21"/>
        <v>92</v>
      </c>
      <c r="L89" s="1252">
        <f t="shared" si="21"/>
        <v>91</v>
      </c>
      <c r="M89" s="1252">
        <f t="shared" si="21"/>
        <v>90</v>
      </c>
      <c r="N89" s="2407"/>
      <c r="O89" s="2407"/>
      <c r="P89" s="1593"/>
      <c r="Q89" s="1286"/>
    </row>
    <row r="90" spans="1:17" s="1016" customFormat="1" ht="15">
      <c r="A90" s="1256"/>
      <c r="B90" s="1249" t="str">
        <f>B27</f>
        <v>楼层</v>
      </c>
      <c r="C90" s="2412" t="s">
        <v>951</v>
      </c>
      <c r="D90" s="2412" t="s">
        <v>952</v>
      </c>
      <c r="E90" s="2412" t="s">
        <v>910</v>
      </c>
      <c r="F90" s="2412" t="s">
        <v>908</v>
      </c>
      <c r="G90" s="2412" t="s">
        <v>909</v>
      </c>
      <c r="H90" s="2413" t="s">
        <v>953</v>
      </c>
      <c r="I90" s="979"/>
      <c r="J90" s="979"/>
      <c r="K90" s="979"/>
      <c r="L90" s="979"/>
      <c r="M90" s="1301"/>
      <c r="N90" s="2415"/>
      <c r="O90" s="2415"/>
      <c r="P90" s="1598"/>
      <c r="Q90" s="1318"/>
    </row>
    <row r="91" spans="1:17" s="1016" customFormat="1" ht="15">
      <c r="A91" s="1256"/>
      <c r="B91" s="1251"/>
      <c r="C91" s="1258">
        <v>98</v>
      </c>
      <c r="D91" s="1258">
        <v>100</v>
      </c>
      <c r="E91" s="1258">
        <v>103</v>
      </c>
      <c r="F91" s="1258">
        <v>102</v>
      </c>
      <c r="G91" s="1258">
        <v>100</v>
      </c>
      <c r="H91" s="1259">
        <v>96</v>
      </c>
      <c r="I91" s="1259"/>
      <c r="J91" s="1259"/>
      <c r="K91" s="1259"/>
      <c r="L91" s="1259"/>
      <c r="M91" s="1304"/>
      <c r="N91" s="2415"/>
      <c r="O91" s="2415"/>
      <c r="P91" s="1598"/>
      <c r="Q91" s="1318"/>
    </row>
    <row r="92" spans="1:17" ht="15">
      <c r="A92" s="1246"/>
      <c r="B92" s="1249">
        <f>B28</f>
        <v>111</v>
      </c>
      <c r="C92" s="1257"/>
      <c r="D92" s="1257"/>
      <c r="E92" s="1257"/>
      <c r="F92" s="1257"/>
      <c r="G92" s="1270"/>
      <c r="H92" s="1270"/>
      <c r="I92" s="1270"/>
      <c r="J92" s="1270"/>
      <c r="K92" s="999"/>
      <c r="L92" s="999"/>
      <c r="M92" s="1312"/>
      <c r="N92" s="2406"/>
      <c r="O92" s="2406"/>
      <c r="P92" s="1593"/>
      <c r="Q92" s="1286"/>
    </row>
    <row r="93" spans="1:17" ht="15">
      <c r="A93" s="1246"/>
      <c r="B93" s="1251"/>
      <c r="C93" s="1258"/>
      <c r="D93" s="1248"/>
      <c r="E93" s="1248"/>
      <c r="F93" s="1248"/>
      <c r="G93" s="1248"/>
      <c r="H93" s="1248"/>
      <c r="I93" s="1248"/>
      <c r="J93" s="1248"/>
      <c r="K93" s="1248"/>
      <c r="L93" s="1248"/>
      <c r="M93" s="1296"/>
      <c r="N93" s="2407"/>
      <c r="O93" s="2407"/>
      <c r="P93" s="1593"/>
      <c r="Q93" s="1286"/>
    </row>
    <row r="94" spans="1:17" ht="15">
      <c r="A94" s="1246"/>
      <c r="B94" s="1249">
        <f>B29</f>
        <v>111</v>
      </c>
      <c r="C94" s="1257"/>
      <c r="D94" s="1257"/>
      <c r="E94" s="1257"/>
      <c r="F94" s="1257"/>
      <c r="G94" s="1270"/>
      <c r="H94" s="1270"/>
      <c r="I94" s="1270"/>
      <c r="J94" s="1270"/>
      <c r="K94" s="999"/>
      <c r="L94" s="999"/>
      <c r="M94" s="1312"/>
      <c r="N94" s="2406"/>
      <c r="O94" s="2406"/>
      <c r="P94" s="1593"/>
      <c r="Q94" s="1286"/>
    </row>
    <row r="95" spans="1:17" ht="15">
      <c r="A95" s="1246"/>
      <c r="B95" s="1251"/>
      <c r="C95" s="1258"/>
      <c r="D95" s="1258"/>
      <c r="E95" s="1258"/>
      <c r="F95" s="1258"/>
      <c r="G95" s="1248"/>
      <c r="H95" s="1248"/>
      <c r="I95" s="1248"/>
      <c r="J95" s="1248"/>
      <c r="K95" s="1248"/>
      <c r="L95" s="1248"/>
      <c r="M95" s="1296"/>
      <c r="N95" s="2407"/>
      <c r="O95" s="2407"/>
      <c r="P95" s="1593"/>
      <c r="Q95" s="1286"/>
    </row>
    <row r="96" spans="1:17" ht="15">
      <c r="A96" s="1246"/>
      <c r="B96" s="1249">
        <f>B30</f>
        <v>111</v>
      </c>
      <c r="C96" s="1257"/>
      <c r="D96" s="1257"/>
      <c r="E96" s="1257"/>
      <c r="F96" s="1257"/>
      <c r="G96" s="1270"/>
      <c r="H96" s="1270"/>
      <c r="I96" s="1270"/>
      <c r="J96" s="1270"/>
      <c r="K96" s="999"/>
      <c r="L96" s="999"/>
      <c r="M96" s="1312"/>
      <c r="N96" s="2406"/>
      <c r="O96" s="2406"/>
      <c r="P96" s="1593"/>
      <c r="Q96" s="1286"/>
    </row>
    <row r="97" spans="1:17" ht="15">
      <c r="A97" s="1246"/>
      <c r="B97" s="1251"/>
      <c r="C97" s="1262"/>
      <c r="D97" s="1262"/>
      <c r="E97" s="1262"/>
      <c r="F97" s="1262"/>
      <c r="G97" s="1248"/>
      <c r="H97" s="1248"/>
      <c r="I97" s="1248"/>
      <c r="J97" s="1248"/>
      <c r="K97" s="1248"/>
      <c r="L97" s="1248"/>
      <c r="M97" s="1296"/>
      <c r="N97" s="2407"/>
      <c r="O97" s="2407"/>
      <c r="P97" s="1593"/>
      <c r="Q97" s="1286"/>
    </row>
    <row r="98" spans="1:17" ht="15">
      <c r="A98" s="1246"/>
      <c r="B98" s="1253">
        <f>B31</f>
        <v>111</v>
      </c>
      <c r="C98" s="1271"/>
      <c r="D98" s="1271"/>
      <c r="E98" s="1271"/>
      <c r="F98" s="1271"/>
      <c r="G98" s="1271"/>
      <c r="H98" s="1271"/>
      <c r="I98" s="1271"/>
      <c r="J98" s="1271"/>
      <c r="K98" s="1002"/>
      <c r="L98" s="1002"/>
      <c r="M98" s="1313"/>
      <c r="N98" s="2406"/>
      <c r="O98" s="2406"/>
      <c r="P98" s="1593"/>
      <c r="Q98" s="1286"/>
    </row>
    <row r="99" spans="1:17" ht="15">
      <c r="A99" s="1554"/>
      <c r="B99" s="1261"/>
      <c r="C99" s="1272"/>
      <c r="D99" s="1272"/>
      <c r="E99" s="1272"/>
      <c r="F99" s="1272"/>
      <c r="G99" s="1272"/>
      <c r="H99" s="1272"/>
      <c r="I99" s="1272"/>
      <c r="J99" s="1272"/>
      <c r="K99" s="1272"/>
      <c r="L99" s="1272"/>
      <c r="M99" s="1314"/>
      <c r="N99" s="2407"/>
      <c r="O99" s="2407"/>
      <c r="P99" s="1593"/>
      <c r="Q99" s="1286"/>
    </row>
    <row r="100" spans="1:17">
      <c r="A100" s="1244" t="s">
        <v>911</v>
      </c>
      <c r="B100" s="1245" t="s">
        <v>912</v>
      </c>
      <c r="C100" s="2384" t="s">
        <v>913</v>
      </c>
      <c r="D100" s="2384"/>
      <c r="E100" s="1185"/>
      <c r="F100" s="1185"/>
      <c r="G100" s="1185"/>
      <c r="H100" s="1185"/>
      <c r="I100" s="1185"/>
      <c r="J100" s="1185"/>
      <c r="K100" s="966"/>
      <c r="L100" s="966"/>
      <c r="M100" s="1293"/>
      <c r="N100" s="2406"/>
      <c r="O100" s="2406"/>
      <c r="P100" s="1593"/>
      <c r="Q100" s="1286"/>
    </row>
    <row r="101" spans="1:17" ht="15">
      <c r="A101" s="1246"/>
      <c r="B101" s="1251"/>
      <c r="C101" s="1252">
        <v>100</v>
      </c>
      <c r="D101" s="1252">
        <f t="shared" ref="D101:M101" si="22">C101-$K32</f>
        <v>95</v>
      </c>
      <c r="E101" s="1252">
        <f t="shared" si="22"/>
        <v>90</v>
      </c>
      <c r="F101" s="1252">
        <f t="shared" si="22"/>
        <v>85</v>
      </c>
      <c r="G101" s="1252">
        <f t="shared" si="22"/>
        <v>80</v>
      </c>
      <c r="H101" s="1252">
        <f t="shared" si="22"/>
        <v>75</v>
      </c>
      <c r="I101" s="1252">
        <f t="shared" si="22"/>
        <v>70</v>
      </c>
      <c r="J101" s="1252">
        <f t="shared" si="22"/>
        <v>65</v>
      </c>
      <c r="K101" s="1252">
        <f t="shared" si="22"/>
        <v>60</v>
      </c>
      <c r="L101" s="1252">
        <f t="shared" si="22"/>
        <v>55</v>
      </c>
      <c r="M101" s="1252">
        <f t="shared" si="22"/>
        <v>50</v>
      </c>
      <c r="N101" s="2407"/>
      <c r="O101" s="2407"/>
      <c r="P101" s="1593"/>
      <c r="Q101" s="1286"/>
    </row>
    <row r="102" spans="1:17" ht="15">
      <c r="A102" s="1246"/>
      <c r="B102" s="1249" t="s">
        <v>915</v>
      </c>
      <c r="C102" s="992" t="str">
        <f>C103&amp;"(含)"&amp;"-"&amp;D103</f>
        <v>0(含)-50</v>
      </c>
      <c r="D102" s="992" t="str">
        <f t="shared" ref="D102:L102" si="23">D103&amp;"(含)"&amp;"-"&amp;E103</f>
        <v>50(含)-75</v>
      </c>
      <c r="E102" s="992" t="str">
        <f t="shared" si="23"/>
        <v>75(含)-95</v>
      </c>
      <c r="F102" s="992" t="str">
        <f t="shared" si="23"/>
        <v>95(含)-120</v>
      </c>
      <c r="G102" s="992" t="str">
        <f t="shared" si="23"/>
        <v>120(含)-</v>
      </c>
      <c r="H102" s="992" t="str">
        <f t="shared" si="23"/>
        <v>(含)-</v>
      </c>
      <c r="I102" s="992" t="str">
        <f t="shared" si="23"/>
        <v>(含)-</v>
      </c>
      <c r="J102" s="992" t="str">
        <f t="shared" si="23"/>
        <v>(含)-</v>
      </c>
      <c r="K102" s="992" t="str">
        <f t="shared" si="23"/>
        <v>(含)-</v>
      </c>
      <c r="L102" s="992" t="str">
        <f t="shared" si="23"/>
        <v>(含)-</v>
      </c>
      <c r="M102" s="992" t="str">
        <f>M103&amp;"(含)"&amp;"-"&amp;P103</f>
        <v>(含)-</v>
      </c>
      <c r="N102" s="2405"/>
      <c r="O102" s="2405"/>
      <c r="P102" s="1593"/>
      <c r="Q102" s="1286"/>
    </row>
    <row r="103" spans="1:17" s="1016" customFormat="1">
      <c r="A103" s="1273"/>
      <c r="B103" s="1274"/>
      <c r="C103" s="1234">
        <v>0</v>
      </c>
      <c r="D103" s="1234">
        <v>50</v>
      </c>
      <c r="E103" s="1234">
        <v>75</v>
      </c>
      <c r="F103" s="1234">
        <v>95</v>
      </c>
      <c r="G103" s="1234">
        <v>120</v>
      </c>
      <c r="H103" s="1234"/>
      <c r="I103" s="1234"/>
      <c r="J103" s="1006"/>
      <c r="K103" s="1006"/>
      <c r="L103" s="1006"/>
      <c r="M103" s="1315"/>
      <c r="N103" s="2415"/>
      <c r="O103" s="2415"/>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407"/>
      <c r="O104" s="2407"/>
      <c r="P104" s="1598"/>
      <c r="Q104" s="1318"/>
    </row>
    <row r="105" spans="1:17">
      <c r="A105" s="1276"/>
      <c r="B105" s="1249" t="s">
        <v>916</v>
      </c>
      <c r="C105" s="2410" t="s">
        <v>917</v>
      </c>
      <c r="D105" s="2410"/>
      <c r="E105" s="2414"/>
      <c r="F105" s="1270"/>
      <c r="G105" s="1270"/>
      <c r="H105" s="1270"/>
      <c r="I105" s="1270"/>
      <c r="J105" s="1270"/>
      <c r="K105" s="999"/>
      <c r="L105" s="999"/>
      <c r="M105" s="1312"/>
      <c r="N105" s="2406"/>
      <c r="O105" s="2406"/>
      <c r="P105" s="1593"/>
      <c r="Q105" s="1286"/>
    </row>
    <row r="106" spans="1:17" ht="15">
      <c r="A106" s="1246"/>
      <c r="B106" s="1251"/>
      <c r="C106" s="1252">
        <v>100</v>
      </c>
      <c r="D106" s="1252">
        <f t="shared" ref="D106:M106" si="24">C106-$K34</f>
        <v>99</v>
      </c>
      <c r="E106" s="1252">
        <f t="shared" si="24"/>
        <v>98</v>
      </c>
      <c r="F106" s="1252">
        <f t="shared" si="24"/>
        <v>97</v>
      </c>
      <c r="G106" s="1252">
        <f t="shared" si="24"/>
        <v>96</v>
      </c>
      <c r="H106" s="1252">
        <f t="shared" si="24"/>
        <v>95</v>
      </c>
      <c r="I106" s="1252">
        <f t="shared" si="24"/>
        <v>94</v>
      </c>
      <c r="J106" s="1252">
        <f t="shared" si="24"/>
        <v>93</v>
      </c>
      <c r="K106" s="1252">
        <f t="shared" si="24"/>
        <v>92</v>
      </c>
      <c r="L106" s="1252">
        <f t="shared" si="24"/>
        <v>91</v>
      </c>
      <c r="M106" s="1252">
        <f t="shared" si="24"/>
        <v>90</v>
      </c>
      <c r="N106" s="2407"/>
      <c r="O106" s="2407"/>
      <c r="P106" s="1593"/>
      <c r="Q106" s="1286"/>
    </row>
    <row r="107" spans="1:17">
      <c r="A107" s="1276"/>
      <c r="B107" s="1249" t="s">
        <v>918</v>
      </c>
      <c r="C107" s="2414" t="s">
        <v>954</v>
      </c>
      <c r="D107" s="1270"/>
      <c r="E107" s="1270"/>
      <c r="F107" s="1270"/>
      <c r="G107" s="1270"/>
      <c r="H107" s="1270"/>
      <c r="I107" s="1270"/>
      <c r="J107" s="1270"/>
      <c r="K107" s="999"/>
      <c r="L107" s="999"/>
      <c r="M107" s="1312"/>
      <c r="N107" s="2406"/>
      <c r="O107" s="2406"/>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407"/>
      <c r="O108" s="2407"/>
      <c r="P108" s="1593"/>
      <c r="Q108" s="1286"/>
    </row>
    <row r="109" spans="1:17">
      <c r="A109" s="1276"/>
      <c r="B109" s="1249" t="s">
        <v>919</v>
      </c>
      <c r="C109" s="1257"/>
      <c r="D109" s="1257"/>
      <c r="E109" s="1257"/>
      <c r="F109" s="1270"/>
      <c r="G109" s="1270"/>
      <c r="H109" s="1270"/>
      <c r="I109" s="1270"/>
      <c r="J109" s="1270"/>
      <c r="K109" s="999"/>
      <c r="L109" s="999"/>
      <c r="M109" s="1312"/>
      <c r="N109" s="2406"/>
      <c r="O109" s="2406"/>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407"/>
      <c r="O110" s="2407"/>
      <c r="P110" s="1593"/>
      <c r="Q110" s="1286"/>
    </row>
    <row r="111" spans="1:17" s="1016" customFormat="1">
      <c r="A111" s="1273"/>
      <c r="B111" s="1249" t="s">
        <v>920</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415"/>
      <c r="O111" s="2415"/>
      <c r="P111" s="1598"/>
      <c r="Q111" s="1318"/>
    </row>
    <row r="112" spans="1:17" s="1016" customFormat="1">
      <c r="A112" s="1273"/>
      <c r="B112" s="1253"/>
      <c r="C112" s="617">
        <v>0.5</v>
      </c>
      <c r="D112" s="617">
        <v>0.6</v>
      </c>
      <c r="E112" s="617">
        <v>0.7</v>
      </c>
      <c r="F112" s="617">
        <v>0.8</v>
      </c>
      <c r="G112" s="617">
        <v>0.9</v>
      </c>
      <c r="H112" s="617">
        <v>1.0001</v>
      </c>
      <c r="I112" s="617"/>
      <c r="J112" s="2416"/>
      <c r="K112" s="2416"/>
      <c r="L112" s="2416"/>
      <c r="M112" s="2417"/>
      <c r="N112" s="2415"/>
      <c r="O112" s="2415"/>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415"/>
      <c r="O113" s="2415"/>
      <c r="P113" s="1598"/>
      <c r="Q113" s="1318"/>
    </row>
    <row r="114" spans="1:17">
      <c r="A114" s="1276"/>
      <c r="B114" s="1249" t="s">
        <v>921</v>
      </c>
      <c r="C114" s="2410" t="s">
        <v>922</v>
      </c>
      <c r="D114" s="2414" t="s">
        <v>955</v>
      </c>
      <c r="E114" s="2414" t="s">
        <v>956</v>
      </c>
      <c r="F114" s="2414"/>
      <c r="G114" s="1270"/>
      <c r="H114" s="1270"/>
      <c r="I114" s="1270"/>
      <c r="J114" s="1270"/>
      <c r="K114" s="999"/>
      <c r="L114" s="999"/>
      <c r="M114" s="1312"/>
      <c r="N114" s="2406"/>
      <c r="O114" s="2406"/>
      <c r="P114" s="1593"/>
      <c r="Q114" s="1286"/>
    </row>
    <row r="115" spans="1:17" ht="15">
      <c r="A115" s="1246"/>
      <c r="B115" s="1251"/>
      <c r="C115" s="1252">
        <v>100</v>
      </c>
      <c r="D115" s="1252">
        <f t="shared" ref="D115:M115" si="27">C115-$K38</f>
        <v>99</v>
      </c>
      <c r="E115" s="1252">
        <f t="shared" si="27"/>
        <v>98</v>
      </c>
      <c r="F115" s="1252">
        <f t="shared" si="27"/>
        <v>97</v>
      </c>
      <c r="G115" s="1252">
        <f t="shared" si="27"/>
        <v>96</v>
      </c>
      <c r="H115" s="1252">
        <f t="shared" si="27"/>
        <v>95</v>
      </c>
      <c r="I115" s="1252">
        <f t="shared" si="27"/>
        <v>94</v>
      </c>
      <c r="J115" s="1252">
        <f t="shared" si="27"/>
        <v>93</v>
      </c>
      <c r="K115" s="1252">
        <f t="shared" si="27"/>
        <v>92</v>
      </c>
      <c r="L115" s="1252">
        <f t="shared" si="27"/>
        <v>91</v>
      </c>
      <c r="M115" s="1252">
        <f t="shared" si="27"/>
        <v>90</v>
      </c>
      <c r="N115" s="2407"/>
      <c r="O115" s="2407"/>
      <c r="P115" s="1593"/>
      <c r="Q115" s="1286"/>
    </row>
    <row r="116" spans="1:17">
      <c r="A116" s="1276"/>
      <c r="B116" s="1249" t="s">
        <v>923</v>
      </c>
      <c r="C116" s="2410" t="s">
        <v>901</v>
      </c>
      <c r="D116" s="2410" t="s">
        <v>957</v>
      </c>
      <c r="E116" s="1257"/>
      <c r="F116" s="1257"/>
      <c r="G116" s="1257"/>
      <c r="H116" s="1270"/>
      <c r="I116" s="1270"/>
      <c r="J116" s="1270"/>
      <c r="K116" s="999"/>
      <c r="L116" s="999"/>
      <c r="M116" s="1312"/>
      <c r="N116" s="2406"/>
      <c r="O116" s="2406"/>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407"/>
      <c r="O117" s="2407"/>
      <c r="P117" s="1593"/>
      <c r="Q117" s="1286"/>
    </row>
    <row r="118" spans="1:17">
      <c r="A118" s="1276"/>
      <c r="B118" s="1249" t="s">
        <v>924</v>
      </c>
      <c r="C118" s="1270"/>
      <c r="D118" s="1270"/>
      <c r="E118" s="1270"/>
      <c r="F118" s="1270"/>
      <c r="G118" s="1270"/>
      <c r="H118" s="1270"/>
      <c r="I118" s="1270"/>
      <c r="J118" s="1270"/>
      <c r="K118" s="999"/>
      <c r="L118" s="999"/>
      <c r="M118" s="1312"/>
      <c r="N118" s="2406"/>
      <c r="O118" s="2406"/>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407"/>
      <c r="O119" s="2407"/>
      <c r="P119" s="1593"/>
      <c r="Q119" s="1286"/>
    </row>
    <row r="120" spans="1:17" s="1016" customFormat="1" ht="27.75">
      <c r="A120" s="1273"/>
      <c r="B120" s="1249" t="s">
        <v>925</v>
      </c>
      <c r="C120" s="1257"/>
      <c r="D120" s="1257"/>
      <c r="E120" s="1257"/>
      <c r="F120" s="1257"/>
      <c r="G120" s="1257"/>
      <c r="H120" s="1257"/>
      <c r="I120" s="1257"/>
      <c r="J120" s="1257"/>
      <c r="K120" s="1257"/>
      <c r="L120" s="1257"/>
      <c r="M120" s="1556"/>
      <c r="N120" s="2415"/>
      <c r="O120" s="2415"/>
      <c r="P120" s="1598"/>
      <c r="Q120" s="1318"/>
    </row>
    <row r="121" spans="1:17" s="1016" customFormat="1" ht="15">
      <c r="A121" s="1256"/>
      <c r="B121" s="1247"/>
      <c r="C121" s="1258"/>
      <c r="D121" s="1248"/>
      <c r="E121" s="1248"/>
      <c r="F121" s="1248"/>
      <c r="G121" s="1248"/>
      <c r="H121" s="1248"/>
      <c r="I121" s="1248"/>
      <c r="J121" s="1248"/>
      <c r="K121" s="1248"/>
      <c r="L121" s="1248"/>
      <c r="M121" s="1248"/>
      <c r="N121" s="2415"/>
      <c r="O121" s="2415"/>
      <c r="P121" s="1598"/>
      <c r="Q121" s="1318"/>
    </row>
    <row r="122" spans="1:17">
      <c r="A122" s="1276"/>
      <c r="B122" s="1249" t="s">
        <v>926</v>
      </c>
      <c r="C122" s="2410" t="s">
        <v>958</v>
      </c>
      <c r="D122" s="2410" t="s">
        <v>927</v>
      </c>
      <c r="E122" s="2410" t="s">
        <v>928</v>
      </c>
      <c r="F122" s="2414" t="s">
        <v>959</v>
      </c>
      <c r="G122" s="1270"/>
      <c r="H122" s="1270"/>
      <c r="I122" s="1270"/>
      <c r="J122" s="1270"/>
      <c r="K122" s="999"/>
      <c r="L122" s="999"/>
      <c r="M122" s="1312"/>
      <c r="N122" s="2406"/>
      <c r="O122" s="2406"/>
      <c r="P122" s="1593"/>
      <c r="Q122" s="1286"/>
    </row>
    <row r="123" spans="1:17" ht="15">
      <c r="A123" s="1246"/>
      <c r="B123" s="1251"/>
      <c r="C123" s="1252">
        <v>100</v>
      </c>
      <c r="D123" s="1252">
        <f t="shared" ref="D123:M123" si="29">C123-$K42</f>
        <v>97</v>
      </c>
      <c r="E123" s="1252">
        <f t="shared" si="29"/>
        <v>94</v>
      </c>
      <c r="F123" s="1252">
        <f t="shared" si="29"/>
        <v>91</v>
      </c>
      <c r="G123" s="1252">
        <f t="shared" si="29"/>
        <v>88</v>
      </c>
      <c r="H123" s="1252">
        <f t="shared" si="29"/>
        <v>85</v>
      </c>
      <c r="I123" s="1252">
        <f t="shared" si="29"/>
        <v>82</v>
      </c>
      <c r="J123" s="1252">
        <f t="shared" si="29"/>
        <v>79</v>
      </c>
      <c r="K123" s="1252">
        <f t="shared" si="29"/>
        <v>76</v>
      </c>
      <c r="L123" s="1252">
        <f t="shared" si="29"/>
        <v>73</v>
      </c>
      <c r="M123" s="1252">
        <f t="shared" si="29"/>
        <v>70</v>
      </c>
      <c r="N123" s="2407"/>
      <c r="O123" s="240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406"/>
      <c r="O124" s="2406"/>
      <c r="P124" s="1598"/>
      <c r="Q124" s="1286"/>
    </row>
    <row r="125" spans="1:17" ht="15">
      <c r="A125" s="1246"/>
      <c r="B125" s="1251"/>
      <c r="C125" s="1252">
        <v>100</v>
      </c>
      <c r="D125" s="1252">
        <f>C125-$K43</f>
        <v>99</v>
      </c>
      <c r="E125" s="1252">
        <f>D125-$K43</f>
        <v>98</v>
      </c>
      <c r="F125" s="1252">
        <f>E125-$K43</f>
        <v>97</v>
      </c>
      <c r="G125" s="1252">
        <f>F125-$K43</f>
        <v>96</v>
      </c>
      <c r="H125" s="1252"/>
      <c r="I125" s="1252"/>
      <c r="J125" s="1252"/>
      <c r="K125" s="1252"/>
      <c r="L125" s="1252"/>
      <c r="M125" s="1299"/>
      <c r="N125" s="2407"/>
      <c r="O125" s="2407"/>
      <c r="P125" s="1593"/>
      <c r="Q125" s="1286"/>
    </row>
    <row r="126" spans="1:17" s="1016" customFormat="1">
      <c r="A126" s="1273"/>
      <c r="B126" s="1249">
        <f>B44</f>
        <v>0</v>
      </c>
      <c r="C126" s="2410" t="s">
        <v>960</v>
      </c>
      <c r="D126" s="2410" t="s">
        <v>961</v>
      </c>
      <c r="E126" s="1257"/>
      <c r="F126" s="1257"/>
      <c r="G126" s="1257"/>
      <c r="H126" s="979"/>
      <c r="I126" s="979"/>
      <c r="J126" s="979"/>
      <c r="K126" s="979"/>
      <c r="L126" s="979"/>
      <c r="M126" s="1301"/>
      <c r="N126" s="2415"/>
      <c r="O126" s="2415"/>
      <c r="P126" s="1598"/>
      <c r="Q126" s="1318"/>
    </row>
    <row r="127" spans="1:17" s="1016" customFormat="1" ht="15">
      <c r="A127" s="1256"/>
      <c r="B127" s="1251"/>
      <c r="C127" s="1258">
        <v>100</v>
      </c>
      <c r="D127" s="1248">
        <v>99.5</v>
      </c>
      <c r="E127" s="1248"/>
      <c r="F127" s="1248"/>
      <c r="G127" s="1258"/>
      <c r="H127" s="1259"/>
      <c r="I127" s="1259"/>
      <c r="J127" s="1259"/>
      <c r="K127" s="1259"/>
      <c r="L127" s="1259"/>
      <c r="M127" s="1304"/>
      <c r="N127" s="2415"/>
      <c r="O127" s="2415"/>
      <c r="P127" s="1598"/>
      <c r="Q127" s="1318"/>
    </row>
    <row r="128" spans="1:17">
      <c r="A128" s="1276"/>
      <c r="B128" s="1249">
        <f>B45</f>
        <v>0</v>
      </c>
      <c r="C128" s="2410" t="s">
        <v>962</v>
      </c>
      <c r="D128" s="2410" t="s">
        <v>963</v>
      </c>
      <c r="E128" s="1257"/>
      <c r="F128" s="1257"/>
      <c r="G128" s="1270"/>
      <c r="H128" s="1270"/>
      <c r="I128" s="1270"/>
      <c r="J128" s="1270"/>
      <c r="K128" s="999"/>
      <c r="L128" s="999"/>
      <c r="M128" s="1312"/>
      <c r="N128" s="2406"/>
      <c r="O128" s="2406"/>
      <c r="P128" s="1593"/>
      <c r="Q128" s="1286"/>
    </row>
    <row r="129" spans="1:17" ht="15">
      <c r="A129" s="1246"/>
      <c r="B129" s="1251"/>
      <c r="C129" s="1258">
        <v>100</v>
      </c>
      <c r="D129" s="1258">
        <v>98</v>
      </c>
      <c r="E129" s="1258"/>
      <c r="F129" s="1258"/>
      <c r="G129" s="1248"/>
      <c r="H129" s="1248"/>
      <c r="I129" s="1248"/>
      <c r="J129" s="1248"/>
      <c r="K129" s="1248"/>
      <c r="L129" s="1248"/>
      <c r="M129" s="1296"/>
      <c r="N129" s="2407"/>
      <c r="O129" s="2407"/>
      <c r="P129" s="1593"/>
      <c r="Q129" s="1286"/>
    </row>
    <row r="130" spans="1:17">
      <c r="A130" s="1276"/>
      <c r="B130" s="1253">
        <f>B46</f>
        <v>0</v>
      </c>
      <c r="C130" s="2410" t="s">
        <v>964</v>
      </c>
      <c r="D130" s="2410" t="s">
        <v>965</v>
      </c>
      <c r="E130" s="1257"/>
      <c r="F130" s="1257"/>
      <c r="G130" s="1271"/>
      <c r="H130" s="1271"/>
      <c r="I130" s="1271"/>
      <c r="J130" s="1271"/>
      <c r="K130" s="960"/>
      <c r="L130" s="960"/>
      <c r="M130" s="1313"/>
      <c r="N130" s="2406"/>
      <c r="O130" s="2406"/>
      <c r="P130" s="1593"/>
      <c r="Q130" s="1286"/>
    </row>
    <row r="131" spans="1:17" ht="15">
      <c r="A131" s="1554"/>
      <c r="B131" s="1261"/>
      <c r="C131" s="1262">
        <v>100</v>
      </c>
      <c r="D131" s="1262">
        <v>99</v>
      </c>
      <c r="E131" s="1262"/>
      <c r="F131" s="1262"/>
      <c r="G131" s="1272"/>
      <c r="H131" s="1272"/>
      <c r="I131" s="1272"/>
      <c r="J131" s="1272"/>
      <c r="K131" s="1272"/>
      <c r="L131" s="1272"/>
      <c r="M131" s="1314"/>
      <c r="N131" s="2407"/>
      <c r="O131" s="2407"/>
      <c r="P131" s="1593"/>
      <c r="Q131" s="1286"/>
    </row>
    <row r="136" spans="1:17">
      <c r="B136" s="2418" t="s">
        <v>966</v>
      </c>
    </row>
    <row r="137" spans="1:17" ht="15">
      <c r="B137" s="2419" t="s">
        <v>967</v>
      </c>
      <c r="C137" s="2420"/>
      <c r="D137" s="2420"/>
      <c r="E137" s="2420"/>
      <c r="F137" s="2420"/>
      <c r="G137" s="2421"/>
      <c r="H137" s="2422"/>
      <c r="I137" s="2446" t="s">
        <v>968</v>
      </c>
      <c r="J137" s="2420"/>
      <c r="K137" s="2447"/>
    </row>
    <row r="138" spans="1:17" ht="15">
      <c r="B138" s="2423"/>
      <c r="C138" s="1142" t="s">
        <v>969</v>
      </c>
      <c r="D138" s="1142" t="s">
        <v>970</v>
      </c>
      <c r="E138" s="2424" t="s">
        <v>971</v>
      </c>
      <c r="F138" s="2425" t="s">
        <v>972</v>
      </c>
      <c r="G138" s="1142" t="s">
        <v>970</v>
      </c>
      <c r="H138" s="2426" t="s">
        <v>971</v>
      </c>
      <c r="I138" s="2448"/>
      <c r="J138" s="1142" t="s">
        <v>973</v>
      </c>
      <c r="K138" s="2426" t="s">
        <v>974</v>
      </c>
    </row>
    <row r="139" spans="1:17" ht="15">
      <c r="B139" s="2427">
        <v>6</v>
      </c>
      <c r="C139" s="2428">
        <v>96</v>
      </c>
      <c r="D139" s="2429" t="s">
        <v>975</v>
      </c>
      <c r="E139" s="2430">
        <v>100</v>
      </c>
      <c r="F139" s="2431">
        <v>102.5</v>
      </c>
      <c r="G139" s="2429" t="s">
        <v>975</v>
      </c>
      <c r="H139" s="2432">
        <v>105</v>
      </c>
      <c r="I139" s="2449" t="s">
        <v>976</v>
      </c>
      <c r="J139" s="2428">
        <v>20</v>
      </c>
      <c r="K139" s="2450">
        <f>C145/(J139-2)</f>
        <v>4.0555555555555596E-3</v>
      </c>
    </row>
    <row r="140" spans="1:17" ht="15">
      <c r="B140" s="2433">
        <v>5</v>
      </c>
      <c r="C140" s="2434">
        <v>100</v>
      </c>
      <c r="D140" s="2434"/>
      <c r="E140" s="2435"/>
      <c r="F140" s="2436">
        <v>102</v>
      </c>
      <c r="G140" s="2434"/>
      <c r="H140" s="2437"/>
      <c r="I140" s="2451" t="s">
        <v>977</v>
      </c>
      <c r="J140" s="2452">
        <f>ROUNDUP((J139-1)/2,0)</f>
        <v>10</v>
      </c>
      <c r="K140" s="2453">
        <v>100</v>
      </c>
    </row>
    <row r="141" spans="1:17" ht="15">
      <c r="B141" s="2433">
        <v>4</v>
      </c>
      <c r="C141" s="2434">
        <v>102</v>
      </c>
      <c r="D141" s="2434"/>
      <c r="E141" s="2435"/>
      <c r="F141" s="2436">
        <v>101.5</v>
      </c>
      <c r="G141" s="2434"/>
      <c r="H141" s="2437"/>
      <c r="I141" s="2451" t="s">
        <v>978</v>
      </c>
      <c r="J141" s="2452">
        <v>1</v>
      </c>
      <c r="K141" s="2454">
        <f>ROUND(100+(J141-J140)*K139*100,1)</f>
        <v>96.4</v>
      </c>
    </row>
    <row r="142" spans="1:17" ht="15">
      <c r="B142" s="2433">
        <v>3</v>
      </c>
      <c r="C142" s="2434">
        <v>103</v>
      </c>
      <c r="D142" s="2434"/>
      <c r="E142" s="2435"/>
      <c r="F142" s="2436">
        <v>101</v>
      </c>
      <c r="G142" s="2434"/>
      <c r="H142" s="2437"/>
      <c r="I142" s="2451" t="s">
        <v>979</v>
      </c>
      <c r="J142" s="2452">
        <f>J139</f>
        <v>20</v>
      </c>
      <c r="K142" s="2455">
        <v>95</v>
      </c>
    </row>
    <row r="143" spans="1:17" ht="15">
      <c r="B143" s="2433">
        <v>2</v>
      </c>
      <c r="C143" s="2434">
        <v>100</v>
      </c>
      <c r="D143" s="2434"/>
      <c r="E143" s="2435"/>
      <c r="F143" s="2436">
        <v>100.5</v>
      </c>
      <c r="G143" s="2434"/>
      <c r="H143" s="2437"/>
      <c r="I143" s="2451" t="s">
        <v>980</v>
      </c>
      <c r="J143" s="2434">
        <v>15</v>
      </c>
      <c r="K143" s="2454">
        <f>ROUND(100+(J143-J140)*K139*100,1)</f>
        <v>102</v>
      </c>
    </row>
    <row r="144" spans="1:17" ht="15">
      <c r="B144" s="2433">
        <v>1</v>
      </c>
      <c r="C144" s="2434">
        <v>98</v>
      </c>
      <c r="D144" s="2438" t="s">
        <v>981</v>
      </c>
      <c r="E144" s="2435">
        <v>102</v>
      </c>
      <c r="F144" s="2439">
        <v>100</v>
      </c>
      <c r="G144" s="2438" t="s">
        <v>981</v>
      </c>
      <c r="H144" s="2437">
        <v>105</v>
      </c>
      <c r="I144" s="2451" t="s">
        <v>980</v>
      </c>
      <c r="J144" s="2434">
        <v>18</v>
      </c>
      <c r="K144" s="2454">
        <f>ROUND(100+(J144-J140)*K139*100,1)</f>
        <v>103.2</v>
      </c>
    </row>
    <row r="145" spans="2:11" ht="15">
      <c r="B145" s="2440" t="s">
        <v>982</v>
      </c>
      <c r="C145" s="2441">
        <f>ROUND(MAX(C139:C144)/MIN(C139:C144)-1,3)</f>
        <v>7.2999999999999995E-2</v>
      </c>
      <c r="D145" s="2442"/>
      <c r="E145" s="2442"/>
      <c r="F145" s="2443" t="s">
        <v>983</v>
      </c>
      <c r="G145" s="2444"/>
      <c r="H145" s="2445"/>
      <c r="I145" s="2456" t="s">
        <v>980</v>
      </c>
      <c r="J145" s="2457">
        <v>8</v>
      </c>
      <c r="K145" s="2458">
        <f>ROUND(100+(J145-J140)*K139*100,1)</f>
        <v>99.2</v>
      </c>
    </row>
    <row r="147" spans="2:11">
      <c r="B147" s="2418" t="s">
        <v>984</v>
      </c>
    </row>
    <row r="148" spans="2:11">
      <c r="B148" s="2418" t="s">
        <v>985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sheetPr codeName="Sheet7">
    <tabColor rgb="FF92D050"/>
    <pageSetUpPr fitToPage="1"/>
  </sheetPr>
  <dimension ref="A1:AK75"/>
  <sheetViews>
    <sheetView view="pageBreakPreview" topLeftCell="A44" zoomScale="80" zoomScaleNormal="60" workbookViewId="0">
      <selection activeCell="J54" sqref="J54"/>
    </sheetView>
  </sheetViews>
  <sheetFormatPr defaultColWidth="9" defaultRowHeight="15"/>
  <cols>
    <col min="1" max="1" width="9" style="2031" customWidth="1"/>
    <col min="2" max="2" width="20.625" style="2115" customWidth="1"/>
    <col min="3" max="3" width="11.875" style="2115"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16" customWidth="1"/>
    <col min="12" max="12" width="18.375" style="2031" customWidth="1"/>
    <col min="13" max="13" width="13" style="2031" customWidth="1"/>
    <col min="14" max="14" width="13.125" style="2114" customWidth="1"/>
    <col min="15" max="15" width="5.25" style="2114" customWidth="1"/>
    <col min="16" max="16" width="24.875" style="2114" customWidth="1"/>
    <col min="17" max="17" width="13.75" style="2117" customWidth="1"/>
    <col min="18" max="18" width="26.125" style="2114" customWidth="1"/>
    <col min="19" max="19" width="1.5" style="2114" customWidth="1"/>
    <col min="20" max="37" width="9" style="2114"/>
    <col min="38" max="16384" width="9" style="2031"/>
  </cols>
  <sheetData>
    <row r="1" spans="1:37" s="2112" customFormat="1" ht="21">
      <c r="A1" s="2118" t="s">
        <v>986</v>
      </c>
      <c r="B1" s="2119"/>
      <c r="C1" s="2120"/>
      <c r="D1" s="2121" t="s">
        <v>97</v>
      </c>
      <c r="E1" s="2122" t="s">
        <v>121</v>
      </c>
      <c r="F1" s="2123"/>
      <c r="G1" s="2124" t="e">
        <f>MATCH(C1,'数据-取费表'!A19:A19,0)+5</f>
        <v>#N/A</v>
      </c>
      <c r="H1" s="2125"/>
      <c r="I1" s="2260"/>
      <c r="J1" s="2260"/>
      <c r="K1" s="2261"/>
      <c r="L1" s="2260"/>
      <c r="M1" s="2260"/>
      <c r="N1" s="2262"/>
      <c r="O1" s="2262"/>
      <c r="P1" s="2262"/>
      <c r="Q1" s="2350"/>
      <c r="R1" s="2262"/>
      <c r="S1" s="2262"/>
      <c r="T1" s="2262"/>
      <c r="U1" s="2262"/>
      <c r="V1" s="2262"/>
      <c r="W1" s="2262"/>
      <c r="X1" s="2262"/>
      <c r="Y1" s="2262"/>
      <c r="Z1" s="2262"/>
      <c r="AA1" s="2262"/>
      <c r="AB1" s="2262"/>
      <c r="AC1" s="2262"/>
      <c r="AD1" s="2262"/>
      <c r="AE1" s="2262"/>
      <c r="AF1" s="2262"/>
      <c r="AG1" s="2262"/>
      <c r="AH1" s="2262"/>
      <c r="AI1" s="2262"/>
      <c r="AJ1" s="2262"/>
      <c r="AK1" s="2262"/>
    </row>
    <row r="2" spans="1:37" ht="18" customHeight="1">
      <c r="A2" s="692" t="s">
        <v>870</v>
      </c>
      <c r="B2" s="2126">
        <f ca="1">IF(C2="元",IF('数据-取费表'!B29="租赁期内按合同租金",C40+L47+J29,C40+L47),ROUND(IF('数据-取费表'!B29="租赁期内按合同租金",(C40+L47+J29)/10000,(C40+L47)/10000),0))</f>
        <v>1176893</v>
      </c>
      <c r="C2" s="2127" t="str">
        <f>'数据-取费表'!B3</f>
        <v>元</v>
      </c>
      <c r="D2" s="1409"/>
      <c r="E2" s="2128"/>
      <c r="F2" s="2128"/>
      <c r="G2" s="2129"/>
      <c r="H2" s="2130"/>
      <c r="I2" s="2130"/>
      <c r="J2" s="2130"/>
      <c r="K2" s="2263"/>
      <c r="L2" s="2130"/>
      <c r="M2" s="2130"/>
    </row>
    <row r="3" spans="1:37" ht="18" customHeight="1">
      <c r="A3" s="2131" t="s">
        <v>871</v>
      </c>
      <c r="B3" s="2132">
        <f ca="1">ROUND(IF('数据-取费表'!B29="租赁期内按合同租金",(C40+L47+J29)/F43,(C40+L47)/F43),0)</f>
        <v>19910</v>
      </c>
      <c r="C3" s="2127" t="s">
        <v>987</v>
      </c>
      <c r="D3" s="1409"/>
      <c r="E3" s="2128"/>
      <c r="F3" s="2128"/>
      <c r="G3" s="2129"/>
      <c r="H3" s="2133" t="s">
        <v>988</v>
      </c>
      <c r="I3" s="2130"/>
      <c r="J3" s="2130"/>
      <c r="K3" s="2263"/>
      <c r="L3" s="2130"/>
      <c r="M3" s="2130"/>
    </row>
    <row r="4" spans="1:37" ht="18" customHeight="1">
      <c r="A4" s="2134" t="s">
        <v>989</v>
      </c>
      <c r="B4" s="2135" t="s">
        <v>990</v>
      </c>
      <c r="C4" s="2135" t="s">
        <v>991</v>
      </c>
      <c r="D4" s="2135" t="s">
        <v>992</v>
      </c>
      <c r="E4" s="2136" t="s">
        <v>993</v>
      </c>
      <c r="F4" s="2137"/>
      <c r="G4" s="2138"/>
      <c r="H4" s="2134" t="s">
        <v>989</v>
      </c>
      <c r="I4" s="2135" t="s">
        <v>990</v>
      </c>
      <c r="J4" s="2135" t="s">
        <v>991</v>
      </c>
      <c r="K4" s="2135" t="s">
        <v>992</v>
      </c>
      <c r="L4" s="2136" t="s">
        <v>993</v>
      </c>
      <c r="M4" s="2137"/>
    </row>
    <row r="5" spans="1:37" ht="18" customHeight="1">
      <c r="A5" s="2139">
        <v>1</v>
      </c>
      <c r="B5" s="2140" t="s">
        <v>994</v>
      </c>
      <c r="C5" s="2141">
        <f ca="1">C6+C10+C12</f>
        <v>45737</v>
      </c>
      <c r="D5" s="2142" t="s">
        <v>995</v>
      </c>
      <c r="E5" s="1409"/>
      <c r="F5" s="2143"/>
      <c r="G5" s="2138"/>
      <c r="H5" s="2139">
        <v>1</v>
      </c>
      <c r="I5" s="2140" t="s">
        <v>994</v>
      </c>
      <c r="J5" s="2141">
        <f ca="1">J6+J10+J12</f>
        <v>0</v>
      </c>
      <c r="K5" s="2264" t="s">
        <v>996</v>
      </c>
      <c r="L5" s="1409"/>
      <c r="M5" s="2143"/>
    </row>
    <row r="6" spans="1:37" ht="18" customHeight="1">
      <c r="A6" s="2144" t="s">
        <v>997</v>
      </c>
      <c r="B6" s="2145" t="s">
        <v>998</v>
      </c>
      <c r="C6" s="2141">
        <f>ROUND(F6*F8*F7*(1-F9),0)</f>
        <v>45680</v>
      </c>
      <c r="D6" s="2146" t="s">
        <v>999</v>
      </c>
      <c r="E6" s="2147" t="s">
        <v>1000</v>
      </c>
      <c r="F6" s="2148">
        <f>'数据-取费表'!B30</f>
        <v>70</v>
      </c>
      <c r="G6" s="2138"/>
      <c r="H6" s="2144" t="s">
        <v>997</v>
      </c>
      <c r="I6" s="2145" t="s">
        <v>998</v>
      </c>
      <c r="J6" s="2141">
        <f>ROUND(M6*M8*M7*(1-M9),0)</f>
        <v>0</v>
      </c>
      <c r="K6" s="2146" t="s">
        <v>999</v>
      </c>
      <c r="L6" s="2147" t="s">
        <v>1000</v>
      </c>
      <c r="M6" s="2148">
        <f>'数据-取费表'!B37</f>
        <v>0</v>
      </c>
    </row>
    <row r="7" spans="1:37" ht="18" customHeight="1">
      <c r="A7" s="2149"/>
      <c r="B7" s="2150"/>
      <c r="C7" s="2151"/>
      <c r="D7" s="2152"/>
      <c r="E7" s="2147" t="s">
        <v>1001</v>
      </c>
      <c r="F7" s="2148">
        <f>IF('数据-取费表'!B42="",IF(D1="仅计算典型户型",'数据-取费表'!E5,'数据-取费表'!B5),'数据-取费表'!B42)</f>
        <v>59.11</v>
      </c>
      <c r="G7" s="2138"/>
      <c r="H7" s="2153"/>
      <c r="I7" s="2150"/>
      <c r="J7" s="2151"/>
      <c r="K7" s="2152"/>
      <c r="L7" s="2147" t="s">
        <v>1001</v>
      </c>
      <c r="M7" s="2148">
        <f>IF('数据-取费表'!B42="",IF(D1="仅计算典型户型",'数据-取费表'!E5,'数据-取费表'!B5),'数据-取费表'!B42)</f>
        <v>59.11</v>
      </c>
    </row>
    <row r="8" spans="1:37" ht="18" customHeight="1">
      <c r="A8" s="2149"/>
      <c r="B8" s="2150"/>
      <c r="C8" s="2151"/>
      <c r="D8" s="2152"/>
      <c r="E8" s="2147" t="s">
        <v>1002</v>
      </c>
      <c r="F8" s="2148">
        <f>'数据-取费表'!B43</f>
        <v>12</v>
      </c>
      <c r="G8" s="2138"/>
      <c r="H8" s="2153"/>
      <c r="I8" s="2150"/>
      <c r="J8" s="2151"/>
      <c r="K8" s="2152"/>
      <c r="L8" s="2147" t="s">
        <v>1003</v>
      </c>
      <c r="M8" s="2148">
        <f>'数据-取费表'!B43</f>
        <v>12</v>
      </c>
    </row>
    <row r="9" spans="1:37" ht="18" customHeight="1">
      <c r="A9" s="2149"/>
      <c r="B9" s="2150"/>
      <c r="C9" s="2151"/>
      <c r="D9" s="2154"/>
      <c r="E9" s="2147" t="s">
        <v>1004</v>
      </c>
      <c r="F9" s="2155">
        <f>'数据-取费表'!B33</f>
        <v>0.08</v>
      </c>
      <c r="G9" s="2138"/>
      <c r="H9" s="2153"/>
      <c r="I9" s="2150"/>
      <c r="J9" s="2265"/>
      <c r="K9" s="2266"/>
      <c r="L9" s="2159" t="s">
        <v>1004</v>
      </c>
      <c r="M9" s="2155">
        <f>'数据-取费表'!B39</f>
        <v>0</v>
      </c>
    </row>
    <row r="10" spans="1:37" ht="18" customHeight="1">
      <c r="A10" s="2144" t="s">
        <v>1005</v>
      </c>
      <c r="B10" s="2156" t="s">
        <v>1006</v>
      </c>
      <c r="C10" s="2157">
        <f ca="1">ROUND(IF(F10="押一",C6/12*F11,IF(F10="押二",C6/12*2*F11,IF(F10="押三",C6/12*3*F11,C11*F11))),0)</f>
        <v>57</v>
      </c>
      <c r="D10" s="2158" t="s">
        <v>1007</v>
      </c>
      <c r="E10" s="2159" t="s">
        <v>1008</v>
      </c>
      <c r="F10" s="2160" t="s">
        <v>1009</v>
      </c>
      <c r="G10" s="2138"/>
      <c r="H10" s="2144" t="s">
        <v>1005</v>
      </c>
      <c r="I10" s="2156" t="s">
        <v>1006</v>
      </c>
      <c r="J10" s="2157">
        <f ca="1">ROUND(IF(M10="押一",J6/12*M11,IF(M10="押二",J6/12*2*M11,IF(M10="押三",J6/12*3*M11,J11*M11))),0)</f>
        <v>0</v>
      </c>
      <c r="K10" s="2146" t="s">
        <v>1007</v>
      </c>
      <c r="L10" s="2159" t="s">
        <v>1008</v>
      </c>
      <c r="M10" s="2160"/>
    </row>
    <row r="11" spans="1:37" s="2113" customFormat="1" ht="18" customHeight="1">
      <c r="A11" s="2161"/>
      <c r="B11" s="2162" t="s">
        <v>1010</v>
      </c>
      <c r="C11" s="2163"/>
      <c r="D11" s="2152"/>
      <c r="E11" s="2159" t="s">
        <v>1011</v>
      </c>
      <c r="F11" s="2164">
        <f ca="1">'数据-取费表'!B31</f>
        <v>1.4999999999999999E-2</v>
      </c>
      <c r="G11" s="2165"/>
      <c r="H11" s="2166"/>
      <c r="I11" s="2162" t="s">
        <v>1012</v>
      </c>
      <c r="J11" s="2163"/>
      <c r="K11" s="2152"/>
      <c r="L11" s="2159" t="s">
        <v>1011</v>
      </c>
      <c r="M11" s="2164">
        <f ca="1">'数据-取费表'!B31</f>
        <v>1.4999999999999999E-2</v>
      </c>
      <c r="N11" s="2267"/>
      <c r="O11" s="2267"/>
      <c r="P11" s="2267"/>
      <c r="Q11" s="2351"/>
      <c r="R11" s="2267"/>
      <c r="S11" s="2267"/>
      <c r="T11" s="2267"/>
      <c r="U11" s="2267"/>
      <c r="V11" s="2267"/>
      <c r="W11" s="2267"/>
      <c r="X11" s="2267"/>
      <c r="Y11" s="2267"/>
      <c r="Z11" s="2267"/>
      <c r="AA11" s="2267"/>
      <c r="AB11" s="2267"/>
      <c r="AC11" s="2267"/>
      <c r="AD11" s="2267"/>
      <c r="AE11" s="2267"/>
      <c r="AF11" s="2267"/>
      <c r="AG11" s="2267"/>
      <c r="AH11" s="2267"/>
      <c r="AI11" s="2267"/>
      <c r="AJ11" s="2267"/>
      <c r="AK11" s="2267"/>
    </row>
    <row r="12" spans="1:37" ht="18" customHeight="1">
      <c r="A12" s="2167" t="s">
        <v>1013</v>
      </c>
      <c r="B12" s="2168" t="s">
        <v>1014</v>
      </c>
      <c r="C12" s="2169"/>
      <c r="D12" s="2170"/>
      <c r="E12" s="2171"/>
      <c r="F12" s="2172"/>
      <c r="G12" s="2138"/>
      <c r="H12" s="2167" t="s">
        <v>1013</v>
      </c>
      <c r="I12" s="2168" t="s">
        <v>1014</v>
      </c>
      <c r="J12" s="2169"/>
      <c r="K12" s="2249"/>
      <c r="L12" s="2171"/>
      <c r="M12" s="2268"/>
    </row>
    <row r="13" spans="1:37" s="2113" customFormat="1" ht="18" customHeight="1">
      <c r="A13" s="2173">
        <v>2</v>
      </c>
      <c r="B13" s="2174" t="s">
        <v>1015</v>
      </c>
      <c r="C13" s="2175">
        <f>ROUND(C29*F13,0)</f>
        <v>140511</v>
      </c>
      <c r="D13" s="2176" t="s">
        <v>1016</v>
      </c>
      <c r="E13" s="2176" t="s">
        <v>1017</v>
      </c>
      <c r="F13" s="2177">
        <f>'数据-取费表'!E20</f>
        <v>0.6</v>
      </c>
      <c r="G13" s="2165"/>
      <c r="H13" s="2173">
        <v>2</v>
      </c>
      <c r="I13" s="2174" t="s">
        <v>1015</v>
      </c>
      <c r="J13" s="2265">
        <f>ROUND(J14*J15,0)</f>
        <v>0</v>
      </c>
      <c r="K13" s="2197" t="s">
        <v>1016</v>
      </c>
      <c r="L13" s="2269"/>
      <c r="M13" s="2270"/>
      <c r="N13" s="2267"/>
      <c r="O13" s="2267"/>
      <c r="P13" s="2267"/>
      <c r="Q13" s="2351"/>
      <c r="R13" s="2267"/>
      <c r="S13" s="2267"/>
      <c r="T13" s="2267"/>
      <c r="U13" s="2267"/>
      <c r="V13" s="2267"/>
      <c r="W13" s="2267"/>
      <c r="X13" s="2267"/>
      <c r="Y13" s="2267"/>
      <c r="Z13" s="2267"/>
      <c r="AA13" s="2267"/>
      <c r="AB13" s="2267"/>
      <c r="AC13" s="2267"/>
      <c r="AD13" s="2267"/>
      <c r="AE13" s="2267"/>
      <c r="AF13" s="2267"/>
      <c r="AG13" s="2267"/>
      <c r="AH13" s="2267"/>
      <c r="AI13" s="2267"/>
      <c r="AJ13" s="2267"/>
      <c r="AK13" s="2267"/>
    </row>
    <row r="14" spans="1:37" s="2113" customFormat="1" ht="18" customHeight="1">
      <c r="A14" s="2178" t="s">
        <v>1018</v>
      </c>
      <c r="B14" s="2147" t="s">
        <v>1019</v>
      </c>
      <c r="C14" s="2179">
        <f>IF(D1="仅计算典型户型",'数据-取费表'!F18,'数据-取费表'!E18)</f>
        <v>147775</v>
      </c>
      <c r="D14" s="2180" t="s">
        <v>1020</v>
      </c>
      <c r="E14" s="2181"/>
      <c r="F14" s="2182"/>
      <c r="G14" s="2165"/>
      <c r="H14" s="2178" t="s">
        <v>997</v>
      </c>
      <c r="I14" s="2147" t="s">
        <v>1021</v>
      </c>
      <c r="J14" s="1657">
        <f>C29</f>
        <v>234185</v>
      </c>
      <c r="K14" s="2259"/>
      <c r="L14" s="2271"/>
      <c r="M14" s="2272"/>
      <c r="N14" s="2267"/>
      <c r="O14" s="2267"/>
      <c r="P14" s="2267"/>
      <c r="Q14" s="2351"/>
      <c r="R14" s="2267"/>
      <c r="S14" s="2267"/>
      <c r="T14" s="2267"/>
      <c r="U14" s="2267"/>
      <c r="V14" s="2267"/>
      <c r="W14" s="2267"/>
      <c r="X14" s="2267"/>
      <c r="Y14" s="2267"/>
      <c r="Z14" s="2267"/>
      <c r="AA14" s="2267"/>
      <c r="AB14" s="2267"/>
      <c r="AC14" s="2267"/>
      <c r="AD14" s="2267"/>
      <c r="AE14" s="2267"/>
      <c r="AF14" s="2267"/>
      <c r="AG14" s="2267"/>
      <c r="AH14" s="2267"/>
      <c r="AI14" s="2267"/>
      <c r="AJ14" s="2267"/>
      <c r="AK14" s="2267"/>
    </row>
    <row r="15" spans="1:37" ht="18" customHeight="1">
      <c r="A15" s="2178" t="s">
        <v>1022</v>
      </c>
      <c r="B15" s="2147" t="s">
        <v>1023</v>
      </c>
      <c r="C15" s="1657">
        <f>ROUND(C14*F15,0)</f>
        <v>4433</v>
      </c>
      <c r="D15" s="2183" t="s">
        <v>1024</v>
      </c>
      <c r="E15" s="2183" t="s">
        <v>1025</v>
      </c>
      <c r="F15" s="2184">
        <f>'数据-取费表'!E21</f>
        <v>0.03</v>
      </c>
      <c r="G15" s="2138"/>
      <c r="H15" s="2185" t="s">
        <v>1005</v>
      </c>
      <c r="I15" s="2171" t="s">
        <v>1017</v>
      </c>
      <c r="J15" s="2273">
        <f>'数据-取费表'!B40</f>
        <v>0</v>
      </c>
      <c r="K15" s="2274"/>
      <c r="L15" s="2275"/>
      <c r="M15" s="2276"/>
    </row>
    <row r="16" spans="1:37" s="2113" customFormat="1" ht="18" customHeight="1">
      <c r="A16" s="2178" t="s">
        <v>1026</v>
      </c>
      <c r="B16" s="2147" t="s">
        <v>1027</v>
      </c>
      <c r="C16" s="1657">
        <f>ROUND(C14*F16,0)</f>
        <v>7389</v>
      </c>
      <c r="D16" s="2147" t="s">
        <v>1024</v>
      </c>
      <c r="E16" s="2147" t="s">
        <v>1025</v>
      </c>
      <c r="F16" s="2186">
        <f>IF('数据-取费表'!B10="住宅",'数据-取费表'!E22,0)</f>
        <v>0.05</v>
      </c>
      <c r="G16" s="2165"/>
      <c r="H16" s="2173" t="s">
        <v>740</v>
      </c>
      <c r="I16" s="2174" t="s">
        <v>1028</v>
      </c>
      <c r="J16" s="2175">
        <f ca="1">ROUND(J17+J22+J23+J24,0)</f>
        <v>1171</v>
      </c>
      <c r="K16" s="2197" t="s">
        <v>1029</v>
      </c>
      <c r="L16" s="2198"/>
      <c r="M16" s="2199"/>
      <c r="N16" s="2267"/>
      <c r="O16" s="2267"/>
      <c r="P16" s="2267"/>
      <c r="Q16" s="2351"/>
      <c r="R16" s="2267"/>
      <c r="S16" s="2267"/>
      <c r="T16" s="2267"/>
      <c r="U16" s="2267"/>
      <c r="V16" s="2267"/>
      <c r="W16" s="2267"/>
      <c r="X16" s="2267"/>
      <c r="Y16" s="2267"/>
      <c r="Z16" s="2267"/>
      <c r="AA16" s="2267"/>
      <c r="AB16" s="2267"/>
      <c r="AC16" s="2267"/>
      <c r="AD16" s="2267"/>
      <c r="AE16" s="2267"/>
      <c r="AF16" s="2267"/>
      <c r="AG16" s="2267"/>
      <c r="AH16" s="2267"/>
      <c r="AI16" s="2267"/>
      <c r="AJ16" s="2267"/>
      <c r="AK16" s="2267"/>
    </row>
    <row r="17" spans="1:37" s="2113" customFormat="1" ht="18" customHeight="1">
      <c r="A17" s="2178" t="s">
        <v>1030</v>
      </c>
      <c r="B17" s="2147" t="s">
        <v>1031</v>
      </c>
      <c r="C17" s="1657">
        <f>ROUND(F17*IF(D1="仅计算典型户型",'数据-取费表'!E5,'数据-取费表'!B5),0)</f>
        <v>11822</v>
      </c>
      <c r="D17" s="2147" t="s">
        <v>1032</v>
      </c>
      <c r="E17" s="2147" t="s">
        <v>1033</v>
      </c>
      <c r="F17" s="2187">
        <f>'数据-取费表'!E23</f>
        <v>200</v>
      </c>
      <c r="G17" s="2165"/>
      <c r="H17" s="2178" t="s">
        <v>997</v>
      </c>
      <c r="I17" s="2147" t="s">
        <v>1034</v>
      </c>
      <c r="J17" s="2201">
        <f>ROUND(IF(AND(项目基本情况!B7="自然人",项目基本情况!B6="北京市"),J6*M17/(1+'数据-取费表'!F30),J18+J19+J20),0)</f>
        <v>0</v>
      </c>
      <c r="K17" s="2180" t="s">
        <v>1035</v>
      </c>
      <c r="L17" s="2202" t="s">
        <v>1036</v>
      </c>
      <c r="M17" s="2203">
        <f>IF(项目基本情况!B7="企业","——",IF('数据-取费表'!B10="住宅",IF(M6*M7*M8/12/(1+'数据-取费表'!F30)&gt;100000,4%,2.5%),IF(M6*M7*M8/12/(1+'数据-取费表'!F30)&gt;100000,12%,7%)))</f>
        <v>2.5000000000000001E-2</v>
      </c>
      <c r="N17" s="2267"/>
      <c r="O17" s="2267"/>
      <c r="P17" s="2267"/>
      <c r="Q17" s="2351"/>
      <c r="R17" s="2267"/>
      <c r="S17" s="2267"/>
      <c r="T17" s="2267"/>
      <c r="U17" s="2267"/>
      <c r="V17" s="2267"/>
      <c r="W17" s="2267"/>
      <c r="X17" s="2267"/>
      <c r="Y17" s="2267"/>
      <c r="Z17" s="2267"/>
      <c r="AA17" s="2267"/>
      <c r="AB17" s="2267"/>
      <c r="AC17" s="2267"/>
      <c r="AD17" s="2267"/>
      <c r="AE17" s="2267"/>
      <c r="AF17" s="2267"/>
      <c r="AG17" s="2267"/>
      <c r="AH17" s="2267"/>
      <c r="AI17" s="2267"/>
      <c r="AJ17" s="2267"/>
      <c r="AK17" s="2267"/>
    </row>
    <row r="18" spans="1:37" ht="18" customHeight="1">
      <c r="A18" s="2178" t="s">
        <v>1037</v>
      </c>
      <c r="B18" s="2147" t="s">
        <v>1038</v>
      </c>
      <c r="C18" s="1657">
        <f>ROUND(C14*F18,0)</f>
        <v>2217</v>
      </c>
      <c r="D18" s="2147" t="s">
        <v>1024</v>
      </c>
      <c r="E18" s="2147" t="s">
        <v>1025</v>
      </c>
      <c r="F18" s="2186">
        <f>'数据-取费表'!E24</f>
        <v>1.4999999999999999E-2</v>
      </c>
      <c r="G18" s="2138"/>
      <c r="H18" s="2178" t="s">
        <v>1018</v>
      </c>
      <c r="I18" s="2147" t="s">
        <v>1039</v>
      </c>
      <c r="J18" s="1657" t="str">
        <f>IF(项目基本情况!B7="自然人","——",ROUND(J6*M18/(1+'数据-取费表'!F30),0))</f>
        <v>——</v>
      </c>
      <c r="K18" s="2202" t="s">
        <v>1040</v>
      </c>
      <c r="L18" s="2147" t="s">
        <v>1025</v>
      </c>
      <c r="M18" s="2186">
        <f>'数据-取费表'!E29</f>
        <v>5.6000000000000001E-2</v>
      </c>
    </row>
    <row r="19" spans="1:37" s="2113" customFormat="1" ht="18" customHeight="1">
      <c r="A19" s="2178" t="s">
        <v>997</v>
      </c>
      <c r="B19" s="2147" t="s">
        <v>1041</v>
      </c>
      <c r="C19" s="1657">
        <f>SUM(C14:C18)</f>
        <v>173636</v>
      </c>
      <c r="D19" s="2188" t="s">
        <v>1042</v>
      </c>
      <c r="E19" s="1659"/>
      <c r="F19" s="2187"/>
      <c r="G19" s="2165"/>
      <c r="H19" s="2178" t="s">
        <v>1022</v>
      </c>
      <c r="I19" s="2147" t="s">
        <v>1043</v>
      </c>
      <c r="J19" s="1657" t="str">
        <f>IF(项目基本情况!B7="自然人","——",IF(K19="按租金收入计税",ROUND(J6*M19/(1+'数据-取费表'!F30),0),ROUND(C29*M19*0.7,0)))</f>
        <v>——</v>
      </c>
      <c r="K19" s="2205"/>
      <c r="L19" s="2147" t="s">
        <v>1025</v>
      </c>
      <c r="M19" s="2186">
        <f>IF(K19="按租金收入计税",'数据-取费表'!E39,'数据-取费表'!E38)</f>
        <v>1.2E-2</v>
      </c>
      <c r="N19" s="2267"/>
      <c r="O19" s="2267"/>
      <c r="P19" s="2267"/>
      <c r="Q19" s="2351"/>
      <c r="R19" s="2267"/>
      <c r="S19" s="2267"/>
      <c r="T19" s="2267"/>
      <c r="U19" s="2267"/>
      <c r="V19" s="2267"/>
      <c r="W19" s="2267"/>
      <c r="X19" s="2267"/>
      <c r="Y19" s="2267"/>
      <c r="Z19" s="2267"/>
      <c r="AA19" s="2267"/>
      <c r="AB19" s="2267"/>
      <c r="AC19" s="2267"/>
      <c r="AD19" s="2267"/>
      <c r="AE19" s="2267"/>
      <c r="AF19" s="2267"/>
      <c r="AG19" s="2267"/>
      <c r="AH19" s="2267"/>
      <c r="AI19" s="2267"/>
      <c r="AJ19" s="2267"/>
      <c r="AK19" s="2267"/>
    </row>
    <row r="20" spans="1:37" s="2113" customFormat="1" ht="18" customHeight="1">
      <c r="A20" s="2178" t="s">
        <v>1005</v>
      </c>
      <c r="B20" s="2147" t="s">
        <v>1044</v>
      </c>
      <c r="C20" s="1657">
        <f>ROUND(C19*F20,0)</f>
        <v>1736</v>
      </c>
      <c r="D20" s="2189" t="s">
        <v>1045</v>
      </c>
      <c r="E20" s="2147" t="s">
        <v>1025</v>
      </c>
      <c r="F20" s="2186">
        <f>'数据-取费表'!E25</f>
        <v>0.01</v>
      </c>
      <c r="G20" s="2165"/>
      <c r="H20" s="2178" t="s">
        <v>1026</v>
      </c>
      <c r="I20" s="2146" t="s">
        <v>1046</v>
      </c>
      <c r="J20" s="2207" t="str">
        <f>IF(项目基本情况!B7="自然人","——",ROUND(M20*M21,0))</f>
        <v>——</v>
      </c>
      <c r="K20" s="2208" t="s">
        <v>1047</v>
      </c>
      <c r="L20" s="2147" t="s">
        <v>1048</v>
      </c>
      <c r="M20" s="2191">
        <f>'数据-取费表'!E40</f>
        <v>0</v>
      </c>
      <c r="N20" s="2267"/>
      <c r="O20" s="2267"/>
      <c r="P20" s="2267"/>
      <c r="Q20" s="2351"/>
      <c r="R20" s="2267"/>
      <c r="S20" s="2267"/>
      <c r="T20" s="2267"/>
      <c r="U20" s="2267"/>
      <c r="V20" s="2267"/>
      <c r="W20" s="2267"/>
      <c r="X20" s="2267"/>
      <c r="Y20" s="2267"/>
      <c r="Z20" s="2267"/>
      <c r="AA20" s="2267"/>
      <c r="AB20" s="2267"/>
      <c r="AC20" s="2267"/>
      <c r="AD20" s="2267"/>
      <c r="AE20" s="2267"/>
      <c r="AF20" s="2267"/>
      <c r="AG20" s="2267"/>
      <c r="AH20" s="2267"/>
      <c r="AI20" s="2267"/>
      <c r="AJ20" s="2267"/>
      <c r="AK20" s="2267"/>
    </row>
    <row r="21" spans="1:37" ht="18" customHeight="1">
      <c r="A21" s="2178" t="s">
        <v>1013</v>
      </c>
      <c r="B21" s="2147" t="s">
        <v>1049</v>
      </c>
      <c r="C21" s="1726">
        <f>F21</f>
        <v>0.01</v>
      </c>
      <c r="D21" s="2189" t="s">
        <v>1050</v>
      </c>
      <c r="E21" s="2147" t="s">
        <v>1051</v>
      </c>
      <c r="F21" s="2186">
        <f>'数据-取费表'!E26</f>
        <v>0.01</v>
      </c>
      <c r="G21" s="2138"/>
      <c r="H21" s="2161"/>
      <c r="I21" s="2154"/>
      <c r="J21" s="1727"/>
      <c r="K21" s="430"/>
      <c r="L21" s="2147" t="s">
        <v>1052</v>
      </c>
      <c r="M21" s="2148">
        <f>IF(D1="仅计算典型户型",'数据-取费表'!E6,'数据-取费表'!B6)</f>
        <v>0</v>
      </c>
    </row>
    <row r="22" spans="1:37" ht="18" customHeight="1">
      <c r="A22" s="2178" t="s">
        <v>1053</v>
      </c>
      <c r="B22" s="2147" t="s">
        <v>1054</v>
      </c>
      <c r="C22" s="1657"/>
      <c r="D22" s="2188" t="str">
        <f>IF(F23&lt;=1,"单利计息。","复利计息。")&amp;"建造成本、管理费用、销售费用产生的利息。"</f>
        <v>复利计息。建造成本、管理费用、销售费用产生的利息。</v>
      </c>
      <c r="E22" s="1659"/>
      <c r="F22" s="2187"/>
      <c r="G22" s="2138"/>
      <c r="H22" s="2178" t="s">
        <v>1005</v>
      </c>
      <c r="I22" s="2147" t="s">
        <v>1055</v>
      </c>
      <c r="J22" s="1657">
        <f>ROUND(J14*M22,0)</f>
        <v>1171</v>
      </c>
      <c r="K22" s="2202" t="s">
        <v>1056</v>
      </c>
      <c r="L22" s="2147" t="s">
        <v>1025</v>
      </c>
      <c r="M22" s="2211">
        <f>'数据-取费表'!B45</f>
        <v>5.0000000000000001E-3</v>
      </c>
    </row>
    <row r="23" spans="1:37" ht="18" customHeight="1">
      <c r="A23" s="2178" t="s">
        <v>1018</v>
      </c>
      <c r="B23" s="2147" t="s">
        <v>1057</v>
      </c>
      <c r="C23" s="1657">
        <f>IF('数据-取费表'!B24&lt;=1,ROUND(C19*F24*F23/2,0)+ROUND(C20*F24*F23/2,0),ROUND(C19*(POWER((1+F24),F23/2)-1),0)+ROUND(C20*(POWER((1+F24),F23/2)-1),0))</f>
        <v>8330</v>
      </c>
      <c r="D23" s="2190" t="str">
        <f>IF(F23&lt;=1,"(建造成本+管理费用)×利率×(建设周期÷2)","(建造成本+管理费用)×((1+利率)^(建设周期÷2)-1)")</f>
        <v>(建造成本+管理费用)×((1+利率)^(建设周期÷2)-1)</v>
      </c>
      <c r="E23" s="2147" t="s">
        <v>1058</v>
      </c>
      <c r="F23" s="2191">
        <f>'数据-取费表'!B22</f>
        <v>2</v>
      </c>
      <c r="G23" s="2138"/>
      <c r="H23" s="2178" t="s">
        <v>1013</v>
      </c>
      <c r="I23" s="2147" t="s">
        <v>1059</v>
      </c>
      <c r="J23" s="1657">
        <f>ROUND(J13*M23,0)</f>
        <v>0</v>
      </c>
      <c r="K23" s="2202" t="s">
        <v>1060</v>
      </c>
      <c r="L23" s="2147" t="s">
        <v>1025</v>
      </c>
      <c r="M23" s="2212">
        <f>'数据-取费表'!B46</f>
        <v>1E-3</v>
      </c>
    </row>
    <row r="24" spans="1:37" s="2113" customFormat="1" ht="18" customHeight="1">
      <c r="A24" s="2178" t="s">
        <v>1022</v>
      </c>
      <c r="B24" s="2147" t="s">
        <v>1061</v>
      </c>
      <c r="C24" s="1657">
        <f>ROUND(IF('数据-取费表'!B24&lt;=1,F21*F24*F23/2,F21*(POWER((1+F24),F23/2)-1)),4)</f>
        <v>5.0000000000000001E-4</v>
      </c>
      <c r="D24" s="2190" t="str">
        <f>IF(F23&lt;=1,"销售费用×利率×(建设周期÷2)","销售费用×((1+利率)^(建设周期÷2)-1)")</f>
        <v>销售费用×((1+利率)^(建设周期÷2)-1)</v>
      </c>
      <c r="E24" s="2147" t="s">
        <v>1062</v>
      </c>
      <c r="F24" s="2192">
        <f>'数据-取费表'!E27</f>
        <v>4.7500000000000001E-2</v>
      </c>
      <c r="G24" s="2165"/>
      <c r="H24" s="2185" t="s">
        <v>1053</v>
      </c>
      <c r="I24" s="2171" t="s">
        <v>1044</v>
      </c>
      <c r="J24" s="2193">
        <f ca="1">ROUND(J5*M24,0)</f>
        <v>0</v>
      </c>
      <c r="K24" s="2194" t="s">
        <v>1063</v>
      </c>
      <c r="L24" s="2171" t="s">
        <v>1025</v>
      </c>
      <c r="M24" s="2172">
        <f>'数据-取费表'!B47</f>
        <v>5.0000000000000001E-3</v>
      </c>
      <c r="N24" s="2267"/>
      <c r="O24" s="2267"/>
      <c r="P24" s="2267"/>
      <c r="Q24" s="2351"/>
      <c r="R24" s="2267"/>
      <c r="S24" s="2267"/>
      <c r="T24" s="2267"/>
      <c r="U24" s="2267"/>
      <c r="V24" s="2267"/>
      <c r="W24" s="2267"/>
      <c r="X24" s="2267"/>
      <c r="Y24" s="2267"/>
      <c r="Z24" s="2267"/>
      <c r="AA24" s="2267"/>
      <c r="AB24" s="2267"/>
      <c r="AC24" s="2267"/>
      <c r="AD24" s="2267"/>
      <c r="AE24" s="2267"/>
      <c r="AF24" s="2267"/>
      <c r="AG24" s="2267"/>
      <c r="AH24" s="2267"/>
      <c r="AI24" s="2267"/>
      <c r="AJ24" s="2267"/>
      <c r="AK24" s="2267"/>
    </row>
    <row r="25" spans="1:37" s="2113" customFormat="1" ht="18" customHeight="1">
      <c r="A25" s="2178" t="s">
        <v>1064</v>
      </c>
      <c r="B25" s="2147" t="s">
        <v>1065</v>
      </c>
      <c r="C25" s="1657"/>
      <c r="D25" s="2188" t="s">
        <v>1066</v>
      </c>
      <c r="E25" s="1659"/>
      <c r="F25" s="2187"/>
      <c r="G25" s="2165"/>
      <c r="H25" s="2173" t="s">
        <v>743</v>
      </c>
      <c r="I25" s="2213" t="s">
        <v>1067</v>
      </c>
      <c r="J25" s="2175">
        <f ca="1">J5-J16</f>
        <v>-1171</v>
      </c>
      <c r="K25" s="2214" t="s">
        <v>1068</v>
      </c>
      <c r="L25" s="2215"/>
      <c r="M25" s="2216"/>
      <c r="N25" s="2267"/>
      <c r="O25" s="2267"/>
      <c r="P25" s="2267"/>
      <c r="Q25" s="2351"/>
      <c r="R25" s="2267"/>
      <c r="S25" s="2267"/>
      <c r="T25" s="2267"/>
      <c r="U25" s="2267"/>
      <c r="V25" s="2267"/>
      <c r="W25" s="2267"/>
      <c r="X25" s="2267"/>
      <c r="Y25" s="2267"/>
      <c r="Z25" s="2267"/>
      <c r="AA25" s="2267"/>
      <c r="AB25" s="2267"/>
      <c r="AC25" s="2267"/>
      <c r="AD25" s="2267"/>
      <c r="AE25" s="2267"/>
      <c r="AF25" s="2267"/>
      <c r="AG25" s="2267"/>
      <c r="AH25" s="2267"/>
      <c r="AI25" s="2267"/>
      <c r="AJ25" s="2267"/>
      <c r="AK25" s="2267"/>
    </row>
    <row r="26" spans="1:37" ht="18" customHeight="1">
      <c r="A26" s="2178" t="s">
        <v>1018</v>
      </c>
      <c r="B26" s="2147" t="s">
        <v>1069</v>
      </c>
      <c r="C26" s="1657">
        <f>ROUND((C19+C20)*F26,0)</f>
        <v>35074</v>
      </c>
      <c r="D26" s="2189" t="s">
        <v>1070</v>
      </c>
      <c r="E26" s="2159" t="s">
        <v>1071</v>
      </c>
      <c r="F26" s="2155">
        <f>'数据-取费表'!E28</f>
        <v>0.2</v>
      </c>
      <c r="G26" s="2114"/>
      <c r="H26" s="2139" t="s">
        <v>769</v>
      </c>
      <c r="I26" s="2140" t="s">
        <v>1072</v>
      </c>
      <c r="J26" s="2141">
        <f ca="1">IF(J5&lt;&gt;0,ROUND(J25*(1-((1+M28)/(1+M26))^M27)/(M26-M28),0),0)</f>
        <v>0</v>
      </c>
      <c r="K26" s="2208" t="s">
        <v>1073</v>
      </c>
      <c r="L26" s="2147" t="s">
        <v>1074</v>
      </c>
      <c r="M26" s="2155">
        <f>'数据-取费表'!B16</f>
        <v>0.04</v>
      </c>
    </row>
    <row r="27" spans="1:37" ht="18" customHeight="1">
      <c r="A27" s="2178" t="s">
        <v>1022</v>
      </c>
      <c r="B27" s="2147" t="s">
        <v>1075</v>
      </c>
      <c r="C27" s="1657">
        <f>ROUND(F21*F26,4)</f>
        <v>2E-3</v>
      </c>
      <c r="D27" s="2189" t="s">
        <v>1076</v>
      </c>
      <c r="E27" s="2183"/>
      <c r="F27" s="2184"/>
      <c r="G27" s="2114"/>
      <c r="H27" s="2153"/>
      <c r="I27" s="2150"/>
      <c r="J27" s="2151"/>
      <c r="K27" s="2218" t="s">
        <v>1077</v>
      </c>
      <c r="L27" s="2147" t="s">
        <v>1078</v>
      </c>
      <c r="M27" s="2277" t="str">
        <f>'数据-取费表'!B41</f>
        <v>——</v>
      </c>
    </row>
    <row r="28" spans="1:37" ht="18" customHeight="1">
      <c r="A28" s="2178" t="s">
        <v>1079</v>
      </c>
      <c r="B28" s="2147" t="s">
        <v>1080</v>
      </c>
      <c r="C28" s="1657">
        <f>ROUND(F28/(1+'数据-取费表'!F30),4)</f>
        <v>5.33E-2</v>
      </c>
      <c r="D28" s="2189" t="s">
        <v>1081</v>
      </c>
      <c r="E28" s="2147" t="s">
        <v>1025</v>
      </c>
      <c r="F28" s="2186">
        <f>'数据-取费表'!E29</f>
        <v>5.6000000000000001E-2</v>
      </c>
      <c r="G28" s="2114"/>
      <c r="H28" s="2166"/>
      <c r="I28" s="2222"/>
      <c r="J28" s="2175"/>
      <c r="K28" s="430"/>
      <c r="L28" s="2147" t="s">
        <v>1082</v>
      </c>
      <c r="M28" s="2155">
        <f>'数据-取费表'!B38</f>
        <v>0</v>
      </c>
    </row>
    <row r="29" spans="1:37" ht="18" customHeight="1">
      <c r="A29" s="2185" t="s">
        <v>1083</v>
      </c>
      <c r="B29" s="2171" t="s">
        <v>1084</v>
      </c>
      <c r="C29" s="2193">
        <f>ROUND((C19+C20+C23+C26)/(1-F21-C24-C27-C28),0)</f>
        <v>234185</v>
      </c>
      <c r="D29" s="2194"/>
      <c r="E29" s="2171"/>
      <c r="F29" s="2195"/>
      <c r="G29" s="2114"/>
      <c r="H29" s="2196" t="s">
        <v>1085</v>
      </c>
      <c r="I29" s="2223" t="s">
        <v>1086</v>
      </c>
      <c r="J29" s="2224">
        <f ca="1">ROUND(J26/(1+F40)^F41,0)</f>
        <v>0</v>
      </c>
      <c r="K29" s="2225" t="s">
        <v>1087</v>
      </c>
      <c r="L29" s="2226"/>
      <c r="M29" s="2227">
        <f>IF(D1="仅计算典型户型",'数据-取费表'!E5,'数据-取费表'!B5)</f>
        <v>59.11</v>
      </c>
    </row>
    <row r="30" spans="1:37" ht="18" customHeight="1">
      <c r="A30" s="2173" t="s">
        <v>740</v>
      </c>
      <c r="B30" s="2174" t="s">
        <v>1028</v>
      </c>
      <c r="C30" s="2175">
        <f ca="1">ROUND(C31+C36+C37+C38,0)</f>
        <v>2629</v>
      </c>
      <c r="D30" s="2197" t="s">
        <v>1029</v>
      </c>
      <c r="E30" s="2198"/>
      <c r="F30" s="2199"/>
      <c r="G30" s="2114"/>
      <c r="H30" s="2200"/>
      <c r="I30" s="2278"/>
      <c r="J30" s="2279"/>
      <c r="K30" s="2280"/>
      <c r="L30" s="2281"/>
      <c r="M30" s="2282"/>
    </row>
    <row r="31" spans="1:37" ht="18" customHeight="1">
      <c r="A31" s="2178" t="s">
        <v>997</v>
      </c>
      <c r="B31" s="2147" t="s">
        <v>1034</v>
      </c>
      <c r="C31" s="2201">
        <f>ROUND(IF(AND(项目基本情况!B7="自然人",项目基本情况!B6="北京市"),C6*F31/(1+'数据-取费表'!F30),C32+C33+C34),0)</f>
        <v>1088</v>
      </c>
      <c r="D31" s="2180" t="s">
        <v>1035</v>
      </c>
      <c r="E31" s="2202" t="s">
        <v>1036</v>
      </c>
      <c r="F31" s="2203">
        <f>IF(项目基本情况!B7="企业","——",IF('数据-取费表'!B10="住宅",IF(F6*F7*F8/12/(1+'数据-取费表'!F30)&gt;100000,4%,2.5%),IF(F6*F7*F8/12/(1+'数据-取费表'!F30)&gt;100000,12%,7%)))</f>
        <v>2.5000000000000001E-2</v>
      </c>
      <c r="G31" s="2114"/>
      <c r="H31" s="2200"/>
      <c r="I31" s="2278"/>
      <c r="J31" s="2279"/>
      <c r="K31" s="2280"/>
      <c r="L31" s="2281"/>
      <c r="M31" s="2282"/>
    </row>
    <row r="32" spans="1:37" ht="18" customHeight="1">
      <c r="A32" s="2178" t="s">
        <v>1018</v>
      </c>
      <c r="B32" s="2147" t="s">
        <v>1039</v>
      </c>
      <c r="C32" s="1657" t="str">
        <f>IF(项目基本情况!B7="自然人","——",ROUND(C6*F32/(1+'数据-取费表'!F30),0))</f>
        <v>——</v>
      </c>
      <c r="D32" s="2202" t="s">
        <v>1040</v>
      </c>
      <c r="E32" s="2147" t="s">
        <v>1025</v>
      </c>
      <c r="F32" s="2192">
        <f>'数据-取费表'!E29</f>
        <v>5.6000000000000001E-2</v>
      </c>
      <c r="G32" s="2114"/>
      <c r="H32" s="2204"/>
      <c r="I32" s="2283"/>
      <c r="J32" s="2284"/>
      <c r="K32" s="2285"/>
      <c r="L32" s="2286"/>
      <c r="M32" s="2287"/>
    </row>
    <row r="33" spans="1:18" ht="18" customHeight="1">
      <c r="A33" s="2178" t="s">
        <v>1022</v>
      </c>
      <c r="B33" s="2147" t="s">
        <v>1043</v>
      </c>
      <c r="C33" s="1657" t="str">
        <f>IF(项目基本情况!B7="自然人","——",IF(D33="按租金收入计税",ROUND(C6*F33/(1+'数据-取费表'!F30),0),IF(D33="按房产原值计税",ROUND(C29*F33*0.7,0),'数据-取费表'!B44)))</f>
        <v>——</v>
      </c>
      <c r="D33" s="2205" t="s">
        <v>1088</v>
      </c>
      <c r="E33" s="2147" t="s">
        <v>1025</v>
      </c>
      <c r="F33" s="2186">
        <f>IF(D33="按票据","——",IF(D33="按租金收入计税",'数据-取费表'!E39,'数据-取费表'!E38))</f>
        <v>0.12</v>
      </c>
      <c r="G33" s="2114"/>
      <c r="H33" s="2206"/>
      <c r="I33" s="2288" t="s">
        <v>1089</v>
      </c>
      <c r="J33" s="2289"/>
      <c r="K33" s="2290"/>
      <c r="L33" s="2206"/>
      <c r="M33" s="2206"/>
    </row>
    <row r="34" spans="1:18" ht="18" customHeight="1">
      <c r="A34" s="2144" t="s">
        <v>1026</v>
      </c>
      <c r="B34" s="2146" t="s">
        <v>1046</v>
      </c>
      <c r="C34" s="2207" t="str">
        <f>IF(项目基本情况!B7="自然人","——",ROUND(F34*F35,0))</f>
        <v>——</v>
      </c>
      <c r="D34" s="2208" t="s">
        <v>1047</v>
      </c>
      <c r="E34" s="2147" t="s">
        <v>1048</v>
      </c>
      <c r="F34" s="2191">
        <f>'数据-取费表'!E40</f>
        <v>0</v>
      </c>
      <c r="G34" s="2114"/>
      <c r="H34" s="2200"/>
      <c r="I34" s="1145" t="s">
        <v>1090</v>
      </c>
      <c r="J34" s="2291">
        <f>ROUND(C13*J35,0)</f>
        <v>10538</v>
      </c>
      <c r="K34" s="2292"/>
      <c r="L34" s="2293"/>
      <c r="M34" s="2293"/>
    </row>
    <row r="35" spans="1:18" ht="24.6" customHeight="1">
      <c r="A35" s="2209"/>
      <c r="B35" s="2154"/>
      <c r="C35" s="1727"/>
      <c r="D35" s="430"/>
      <c r="E35" s="2147" t="s">
        <v>1052</v>
      </c>
      <c r="F35" s="2148">
        <f>IF(D1="仅计算典型户型",'数据-取费表'!E6,'数据-取费表'!B6)</f>
        <v>0</v>
      </c>
      <c r="G35" s="2114" t="s">
        <v>1091</v>
      </c>
      <c r="H35" s="2200"/>
      <c r="I35" s="2294" t="s">
        <v>1092</v>
      </c>
      <c r="J35" s="2295">
        <f>'数据-取费表'!B18</f>
        <v>7.4999999999999997E-2</v>
      </c>
      <c r="K35" s="2290"/>
      <c r="L35" s="2206"/>
      <c r="M35" s="2206"/>
    </row>
    <row r="36" spans="1:18" ht="18" customHeight="1">
      <c r="A36" s="2210" t="s">
        <v>1005</v>
      </c>
      <c r="B36" s="2147" t="s">
        <v>1055</v>
      </c>
      <c r="C36" s="1657">
        <f>ROUND(C29*F36,0)</f>
        <v>1171</v>
      </c>
      <c r="D36" s="2202" t="s">
        <v>1093</v>
      </c>
      <c r="E36" s="2147" t="s">
        <v>1025</v>
      </c>
      <c r="F36" s="2211">
        <f>'数据-取费表'!B45</f>
        <v>5.0000000000000001E-3</v>
      </c>
      <c r="G36" s="2114"/>
      <c r="H36" s="2206"/>
      <c r="I36" s="2296" t="s">
        <v>1094</v>
      </c>
      <c r="J36" s="2297"/>
      <c r="K36" s="2298"/>
      <c r="L36" s="2206"/>
      <c r="M36" s="2206"/>
    </row>
    <row r="37" spans="1:18" ht="18" customHeight="1">
      <c r="A37" s="2178" t="s">
        <v>1013</v>
      </c>
      <c r="B37" s="2147" t="s">
        <v>1059</v>
      </c>
      <c r="C37" s="1657">
        <f>ROUND(C13*F37,0)</f>
        <v>141</v>
      </c>
      <c r="D37" s="2202" t="s">
        <v>1060</v>
      </c>
      <c r="E37" s="2147" t="s">
        <v>1025</v>
      </c>
      <c r="F37" s="2212">
        <f>'数据-取费表'!B46</f>
        <v>1E-3</v>
      </c>
      <c r="G37" s="2114"/>
      <c r="H37" s="2206"/>
      <c r="I37" s="2100" t="s">
        <v>1095</v>
      </c>
      <c r="J37" s="2299"/>
      <c r="K37" s="2298"/>
      <c r="L37" s="2206"/>
      <c r="M37" s="2206"/>
    </row>
    <row r="38" spans="1:18" ht="18" customHeight="1">
      <c r="A38" s="2185" t="s">
        <v>1053</v>
      </c>
      <c r="B38" s="2171" t="s">
        <v>1044</v>
      </c>
      <c r="C38" s="2193">
        <f ca="1">ROUND(C5*F38,0)</f>
        <v>229</v>
      </c>
      <c r="D38" s="2194" t="s">
        <v>1063</v>
      </c>
      <c r="E38" s="2171" t="s">
        <v>1025</v>
      </c>
      <c r="F38" s="2172">
        <f>'数据-取费表'!B47</f>
        <v>5.0000000000000001E-3</v>
      </c>
      <c r="G38" s="2114"/>
      <c r="H38" s="2206"/>
      <c r="I38" s="1145" t="s">
        <v>1096</v>
      </c>
      <c r="J38" s="2103">
        <f ca="1">ROUND(J34/C39,3)</f>
        <v>0.24399999999999999</v>
      </c>
      <c r="K38" s="2300"/>
      <c r="L38" s="2206"/>
      <c r="M38" s="2206"/>
    </row>
    <row r="39" spans="1:18" ht="18" customHeight="1">
      <c r="A39" s="2173" t="s">
        <v>743</v>
      </c>
      <c r="B39" s="2213" t="s">
        <v>1067</v>
      </c>
      <c r="C39" s="2175">
        <f ca="1">C5-C30</f>
        <v>43108</v>
      </c>
      <c r="D39" s="2214" t="s">
        <v>1068</v>
      </c>
      <c r="E39" s="2215"/>
      <c r="F39" s="2216"/>
      <c r="G39" s="2114"/>
      <c r="H39" s="2206"/>
      <c r="I39" s="1145" t="s">
        <v>1097</v>
      </c>
      <c r="J39" s="2103">
        <f ca="1">1-J38</f>
        <v>0.75600000000000001</v>
      </c>
      <c r="K39" s="2300"/>
      <c r="L39" s="2206"/>
      <c r="M39" s="2206"/>
    </row>
    <row r="40" spans="1:18" s="2114" customFormat="1" ht="18" customHeight="1">
      <c r="A40" s="2139" t="s">
        <v>769</v>
      </c>
      <c r="B40" s="2140" t="s">
        <v>1098</v>
      </c>
      <c r="C40" s="2141">
        <f ca="1">ROUND(C39*(1-((1+F42)/(1+F40))^F41)/(F40-F42),0)</f>
        <v>1176893</v>
      </c>
      <c r="D40" s="2208" t="s">
        <v>1073</v>
      </c>
      <c r="E40" s="2147" t="s">
        <v>1074</v>
      </c>
      <c r="F40" s="2155">
        <f>'数据-取费表'!B16</f>
        <v>0.04</v>
      </c>
      <c r="H40" s="2217"/>
      <c r="I40" s="2100" t="s">
        <v>1099</v>
      </c>
      <c r="J40" s="2101"/>
      <c r="K40" s="2300"/>
      <c r="L40" s="2217"/>
      <c r="M40" s="2217"/>
      <c r="Q40" s="2117"/>
    </row>
    <row r="41" spans="1:18" s="2114" customFormat="1" ht="18" customHeight="1">
      <c r="A41" s="2153"/>
      <c r="B41" s="2150"/>
      <c r="C41" s="2151"/>
      <c r="D41" s="2218" t="s">
        <v>1077</v>
      </c>
      <c r="E41" s="2219" t="s">
        <v>1100</v>
      </c>
      <c r="F41" s="2220">
        <f>IF('数据-取费表'!B29="租赁期内按合同租金",'数据-取费表'!B35,IF(E41="收益年期(n)",'数据-取费表'!B34,'数据-取费表'!B13))</f>
        <v>33</v>
      </c>
      <c r="H41" s="2221"/>
      <c r="I41" s="2102" t="s">
        <v>1101</v>
      </c>
      <c r="J41" s="2103">
        <f ca="1">ROUND(C13/C40,3)</f>
        <v>0.11899999999999999</v>
      </c>
      <c r="K41" s="2298"/>
      <c r="L41" s="2221"/>
      <c r="M41" s="2221"/>
      <c r="Q41" s="2117"/>
    </row>
    <row r="42" spans="1:18" s="2114" customFormat="1" ht="18" customHeight="1">
      <c r="A42" s="2166"/>
      <c r="B42" s="2222"/>
      <c r="C42" s="2175"/>
      <c r="D42" s="430"/>
      <c r="E42" s="2147" t="s">
        <v>1082</v>
      </c>
      <c r="F42" s="2155">
        <f>'数据-取费表'!B32</f>
        <v>0.03</v>
      </c>
      <c r="H42" s="2221"/>
      <c r="I42" s="2102" t="s">
        <v>1102</v>
      </c>
      <c r="J42" s="2104">
        <f ca="1">1-J41</f>
        <v>0.88100000000000001</v>
      </c>
      <c r="K42" s="2298"/>
      <c r="L42" s="2221"/>
      <c r="M42" s="2221"/>
      <c r="Q42" s="2117"/>
    </row>
    <row r="43" spans="1:18" s="2114" customFormat="1" ht="18" customHeight="1">
      <c r="A43" s="2196" t="s">
        <v>1085</v>
      </c>
      <c r="B43" s="2223" t="s">
        <v>1103</v>
      </c>
      <c r="C43" s="2224">
        <f ca="1">ROUND(C40/F43,0)</f>
        <v>19910</v>
      </c>
      <c r="D43" s="2225" t="s">
        <v>1104</v>
      </c>
      <c r="E43" s="2226" t="s">
        <v>1105</v>
      </c>
      <c r="F43" s="2227">
        <f>IF(D1="仅计算典型户型",'数据-取费表'!E5,'数据-取费表'!B5)</f>
        <v>59.11</v>
      </c>
      <c r="G43" s="2228"/>
      <c r="H43" s="2221"/>
      <c r="I43" s="2221"/>
      <c r="J43" s="2221"/>
      <c r="K43" s="2298"/>
      <c r="L43" s="2221"/>
      <c r="M43" s="2221"/>
      <c r="O43" s="2301" t="s">
        <v>1106</v>
      </c>
      <c r="P43" s="2302"/>
      <c r="Q43" s="2317"/>
      <c r="R43" s="2302"/>
    </row>
    <row r="44" spans="1:18" s="2114" customFormat="1" ht="18" customHeight="1">
      <c r="A44" s="2015"/>
      <c r="B44" s="2015"/>
      <c r="C44" s="2229"/>
      <c r="D44" s="2015"/>
      <c r="E44" s="2015"/>
      <c r="F44" s="2015"/>
      <c r="G44" s="2228"/>
      <c r="K44" s="2303"/>
      <c r="O44" s="2304" t="s">
        <v>1107</v>
      </c>
      <c r="P44" s="2305" t="s">
        <v>1108</v>
      </c>
      <c r="Q44" s="2352" t="s">
        <v>1109</v>
      </c>
      <c r="R44" s="2353" t="s">
        <v>1110</v>
      </c>
    </row>
    <row r="45" spans="1:18" s="2114" customFormat="1" ht="18" customHeight="1">
      <c r="A45" s="2015"/>
      <c r="B45" s="2015"/>
      <c r="C45" s="2229"/>
      <c r="D45" s="2015"/>
      <c r="E45" s="2015"/>
      <c r="F45" s="2015"/>
      <c r="G45" s="2230"/>
      <c r="K45" s="2303"/>
      <c r="O45" s="2306" t="s">
        <v>1111</v>
      </c>
      <c r="P45" s="2307" t="s">
        <v>1112</v>
      </c>
      <c r="Q45" s="2354">
        <f ca="1">C40+J29</f>
        <v>1176893</v>
      </c>
      <c r="R45" s="2355" t="s">
        <v>1113</v>
      </c>
    </row>
    <row r="46" spans="1:18" s="2114" customFormat="1" ht="18" customHeight="1">
      <c r="A46" s="2015"/>
      <c r="D46" s="2015"/>
      <c r="E46" s="2015"/>
      <c r="F46" s="2015"/>
      <c r="K46" s="2303"/>
      <c r="O46" s="2306" t="s">
        <v>1114</v>
      </c>
      <c r="P46" s="2307" t="s">
        <v>1115</v>
      </c>
      <c r="Q46" s="2354" t="str">
        <f>J61</f>
        <v>0</v>
      </c>
      <c r="R46" s="2355" t="s">
        <v>1116</v>
      </c>
    </row>
    <row r="47" spans="1:18" s="2114" customFormat="1" ht="21">
      <c r="A47" s="2231" t="s">
        <v>1117</v>
      </c>
      <c r="C47" s="2232">
        <f ca="1">IF(C2="元",C69-C40,ROUND((C69-C40)/10000,0))</f>
        <v>-1200703</v>
      </c>
      <c r="D47" s="2233" t="str">
        <f>C2</f>
        <v>元</v>
      </c>
      <c r="E47" s="2015"/>
      <c r="F47" s="2015"/>
      <c r="I47" s="2308" t="s">
        <v>1118</v>
      </c>
      <c r="J47" s="2309"/>
      <c r="K47" s="2310"/>
      <c r="L47" s="2311">
        <f>IF(M48="住宅",0,IF(L49&gt;J52,L61,J61))</f>
        <v>0</v>
      </c>
      <c r="O47" s="2312" t="s">
        <v>1119</v>
      </c>
      <c r="P47" s="2307" t="s">
        <v>1120</v>
      </c>
      <c r="Q47" s="2354">
        <f>C29</f>
        <v>234185</v>
      </c>
      <c r="R47" s="2355" t="s">
        <v>1113</v>
      </c>
    </row>
    <row r="48" spans="1:18" s="2114" customFormat="1">
      <c r="A48" s="2134" t="s">
        <v>989</v>
      </c>
      <c r="B48" s="2135" t="s">
        <v>990</v>
      </c>
      <c r="C48" s="2135" t="s">
        <v>991</v>
      </c>
      <c r="D48" s="2135" t="s">
        <v>992</v>
      </c>
      <c r="E48" s="2234" t="s">
        <v>993</v>
      </c>
      <c r="F48" s="2235"/>
      <c r="I48" s="2313" t="s">
        <v>1121</v>
      </c>
      <c r="J48" s="2314" t="s">
        <v>917</v>
      </c>
      <c r="K48" s="2315" t="s">
        <v>1122</v>
      </c>
      <c r="L48" s="2316">
        <f>'数据-取费表'!B11</f>
        <v>70</v>
      </c>
      <c r="M48" s="2317" t="str">
        <f>IF('数据-取费表'!B10="住宅","住宅","非住宅")</f>
        <v>住宅</v>
      </c>
      <c r="O48" s="2312" t="s">
        <v>1123</v>
      </c>
      <c r="P48" s="2307" t="s">
        <v>1124</v>
      </c>
      <c r="Q48" s="2356" t="e">
        <f>J59</f>
        <v>#VALUE!</v>
      </c>
      <c r="R48" s="2355"/>
    </row>
    <row r="49" spans="1:18" s="2114" customFormat="1">
      <c r="A49" s="2236" t="s">
        <v>1125</v>
      </c>
      <c r="B49" s="2140" t="s">
        <v>994</v>
      </c>
      <c r="C49" s="2237">
        <f ca="1">C50+C54+C56</f>
        <v>0</v>
      </c>
      <c r="D49" s="2238"/>
      <c r="E49" s="2239"/>
      <c r="F49" s="2187"/>
      <c r="I49" s="2318" t="s">
        <v>1126</v>
      </c>
      <c r="J49" s="2319" t="s">
        <v>1127</v>
      </c>
      <c r="K49" s="2320" t="s">
        <v>1128</v>
      </c>
      <c r="L49" s="2321">
        <f>'数据-取费表'!B13</f>
        <v>33</v>
      </c>
      <c r="O49" s="2312" t="s">
        <v>1129</v>
      </c>
      <c r="P49" s="2307" t="s">
        <v>1130</v>
      </c>
      <c r="Q49" s="2356">
        <f>J53</f>
        <v>0</v>
      </c>
      <c r="R49" s="2355"/>
    </row>
    <row r="50" spans="1:18" s="2114" customFormat="1">
      <c r="A50" s="2240" t="s">
        <v>997</v>
      </c>
      <c r="B50" s="2145" t="s">
        <v>1131</v>
      </c>
      <c r="C50" s="2141">
        <f>ROUND(F50*F52*F51*(1-F53),0)</f>
        <v>0</v>
      </c>
      <c r="D50" s="2241" t="s">
        <v>1132</v>
      </c>
      <c r="E50" s="2242" t="s">
        <v>1133</v>
      </c>
      <c r="F50" s="2243"/>
      <c r="I50" s="2318" t="s">
        <v>1134</v>
      </c>
      <c r="J50" s="2321">
        <f>'数据-取费表'!B27</f>
        <v>1987</v>
      </c>
      <c r="K50" s="2322" t="s">
        <v>1135</v>
      </c>
      <c r="L50" s="2323"/>
      <c r="O50" s="2312" t="s">
        <v>1136</v>
      </c>
      <c r="P50" s="2307" t="s">
        <v>1137</v>
      </c>
      <c r="Q50" s="2354">
        <f>J54</f>
        <v>33</v>
      </c>
      <c r="R50" s="2355" t="s">
        <v>1138</v>
      </c>
    </row>
    <row r="51" spans="1:18" s="2114" customFormat="1">
      <c r="A51" s="2153"/>
      <c r="B51" s="2150"/>
      <c r="C51" s="2151"/>
      <c r="D51" s="2152"/>
      <c r="E51" s="2183" t="s">
        <v>1001</v>
      </c>
      <c r="F51" s="2244">
        <f>F7</f>
        <v>59.11</v>
      </c>
      <c r="I51" s="2318" t="s">
        <v>1139</v>
      </c>
      <c r="J51" s="2324">
        <f>SUMPRODUCT((I64:I66=J48)*(J63:L63=J49)*(J64:L66))</f>
        <v>60</v>
      </c>
      <c r="K51" s="2322" t="s">
        <v>1140</v>
      </c>
      <c r="L51" s="2323"/>
      <c r="O51" s="2306" t="s">
        <v>1141</v>
      </c>
      <c r="P51" s="2307" t="str">
        <f>IF(C2="元","收益价值(元)","收益价值(万元)")</f>
        <v>收益价值(元)</v>
      </c>
      <c r="Q51" s="2354">
        <f ca="1">ROUND(IF(C2="元",Q45+Q46,(Q45+Q46)/10000),0)</f>
        <v>1176893</v>
      </c>
      <c r="R51" s="2355" t="s">
        <v>1142</v>
      </c>
    </row>
    <row r="52" spans="1:18" s="2114" customFormat="1" ht="15.75">
      <c r="A52" s="2153"/>
      <c r="B52" s="2150"/>
      <c r="C52" s="2151"/>
      <c r="D52" s="2152"/>
      <c r="E52" s="2147" t="s">
        <v>1003</v>
      </c>
      <c r="F52" s="2148">
        <f>F8</f>
        <v>12</v>
      </c>
      <c r="I52" s="2325" t="s">
        <v>1143</v>
      </c>
      <c r="J52" s="2326">
        <f>IF(J50="",J51,J50+J51-YEAR('数据-取费表'!B2))</f>
        <v>25</v>
      </c>
      <c r="K52" s="2327" t="s">
        <v>1144</v>
      </c>
      <c r="L52" s="2328">
        <f ca="1">ROUND(-PV('数据-取费表'!B15,J52,(C40-C13*J35)),0)</f>
        <v>19223292</v>
      </c>
      <c r="O52" s="2301" t="s">
        <v>1145</v>
      </c>
      <c r="P52" s="2302"/>
      <c r="Q52" s="2317"/>
      <c r="R52" s="2302"/>
    </row>
    <row r="53" spans="1:18" s="2114" customFormat="1">
      <c r="A53" s="2166"/>
      <c r="B53" s="2222"/>
      <c r="C53" s="2175"/>
      <c r="D53" s="2154"/>
      <c r="E53" s="2147" t="s">
        <v>1004</v>
      </c>
      <c r="F53" s="2245"/>
      <c r="I53" s="2329" t="s">
        <v>1146</v>
      </c>
      <c r="J53" s="2330"/>
      <c r="K53" s="2329" t="s">
        <v>1147</v>
      </c>
      <c r="L53" s="2330"/>
      <c r="O53" s="2304" t="s">
        <v>1107</v>
      </c>
      <c r="P53" s="2305" t="s">
        <v>1108</v>
      </c>
      <c r="Q53" s="2352" t="s">
        <v>1109</v>
      </c>
      <c r="R53" s="2353" t="s">
        <v>1110</v>
      </c>
    </row>
    <row r="54" spans="1:18" s="2114" customFormat="1" ht="29.25" customHeight="1">
      <c r="A54" s="2144" t="s">
        <v>1005</v>
      </c>
      <c r="B54" s="2156" t="s">
        <v>1006</v>
      </c>
      <c r="C54" s="2157">
        <f ca="1">ROUND(IF(F54="押一",C50/12*F11,IF(F54="押二",C50/12*2*F11,IF(F54="押三",C50/12*3*F11,C55*F11))),0)</f>
        <v>0</v>
      </c>
      <c r="D54" s="2158" t="s">
        <v>1007</v>
      </c>
      <c r="E54" s="2159" t="s">
        <v>1008</v>
      </c>
      <c r="F54" s="2160"/>
      <c r="I54" s="2331" t="s">
        <v>1148</v>
      </c>
      <c r="J54" s="2332">
        <f>IF(M48="住宅",IF(E1="——",MAX(J52,L49),MAX(J52,L49-'数据-取费表'!B26)),IF(E1="——",MIN(J52,L49),MIN(J52,L49-'数据-取费表'!B26)))</f>
        <v>33</v>
      </c>
      <c r="K54" s="3592" t="s">
        <v>1149</v>
      </c>
      <c r="L54" s="3593"/>
      <c r="O54" s="2306" t="s">
        <v>1111</v>
      </c>
      <c r="P54" s="2307" t="s">
        <v>1112</v>
      </c>
      <c r="Q54" s="2354">
        <f ca="1">C40+J29</f>
        <v>1176893</v>
      </c>
      <c r="R54" s="2355" t="s">
        <v>1113</v>
      </c>
    </row>
    <row r="55" spans="1:18" s="2114" customFormat="1" ht="19.5">
      <c r="A55" s="2144"/>
      <c r="B55" s="2246" t="s">
        <v>1012</v>
      </c>
      <c r="C55" s="2163"/>
      <c r="D55" s="2241"/>
      <c r="E55" s="2247"/>
      <c r="F55" s="2248"/>
      <c r="I55" s="221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3"/>
      <c r="K55" s="2333"/>
      <c r="L55" s="2333"/>
      <c r="O55" s="2306" t="s">
        <v>1114</v>
      </c>
      <c r="P55" s="2307" t="s">
        <v>1150</v>
      </c>
      <c r="Q55" s="2354">
        <f>L61</f>
        <v>0</v>
      </c>
      <c r="R55" s="2355" t="s">
        <v>1151</v>
      </c>
    </row>
    <row r="56" spans="1:18" s="2114" customFormat="1" ht="19.5">
      <c r="A56" s="2167" t="s">
        <v>1013</v>
      </c>
      <c r="B56" s="2168" t="s">
        <v>1014</v>
      </c>
      <c r="C56" s="2169"/>
      <c r="D56" s="2249"/>
      <c r="E56" s="2250"/>
      <c r="F56" s="2251"/>
      <c r="I56" s="2334" t="s">
        <v>1152</v>
      </c>
      <c r="J56" s="2335" t="e">
        <f>ROUND(IF(J48="钢混",J58/J51,1-(1-2%)*(J51-J58)/J51),3)</f>
        <v>#VALUE!</v>
      </c>
      <c r="K56" s="2336" t="s">
        <v>1153</v>
      </c>
      <c r="L56" s="2337"/>
      <c r="O56" s="2312" t="s">
        <v>1119</v>
      </c>
      <c r="P56" s="2307" t="s">
        <v>1154</v>
      </c>
      <c r="Q56" s="2354">
        <f>IF(L56="比较法",L50,IF(L56="基准地价",L51,0))</f>
        <v>0</v>
      </c>
      <c r="R56" s="2355" t="s">
        <v>1113</v>
      </c>
    </row>
    <row r="57" spans="1:18" s="2114" customFormat="1" ht="42.75">
      <c r="A57" s="2173">
        <v>2</v>
      </c>
      <c r="B57" s="2174" t="s">
        <v>1015</v>
      </c>
      <c r="C57" s="2252">
        <f>C13</f>
        <v>140511</v>
      </c>
      <c r="D57" s="2253"/>
      <c r="E57" s="2254"/>
      <c r="F57" s="2255"/>
      <c r="I57" s="2338" t="s">
        <v>1155</v>
      </c>
      <c r="J57" s="2339"/>
      <c r="K57" s="2318" t="s">
        <v>1156</v>
      </c>
      <c r="L57" s="2321">
        <f>IF(L49&lt;J52,"——",L49-J52)</f>
        <v>8</v>
      </c>
      <c r="O57" s="2312" t="s">
        <v>1123</v>
      </c>
      <c r="P57" s="2307" t="s">
        <v>1157</v>
      </c>
      <c r="Q57" s="2356">
        <f>L53</f>
        <v>0</v>
      </c>
      <c r="R57" s="2355"/>
    </row>
    <row r="58" spans="1:18" s="2114" customFormat="1" ht="28.5">
      <c r="A58" s="2256"/>
      <c r="B58" s="2147" t="s">
        <v>1084</v>
      </c>
      <c r="C58" s="2072">
        <f>C29</f>
        <v>234185</v>
      </c>
      <c r="D58" s="2253"/>
      <c r="E58" s="2254"/>
      <c r="F58" s="2255"/>
      <c r="I58" s="2340" t="s">
        <v>1158</v>
      </c>
      <c r="J58" s="2341" t="str">
        <f>IF(OR(M48="住宅",J52&lt;L49,J57="是"),"——",J52-L49)</f>
        <v>——</v>
      </c>
      <c r="K58" s="2318" t="s">
        <v>1159</v>
      </c>
      <c r="L58" s="2321">
        <f ca="1">IF(L49&lt;J52,"——",IF(L56="比较法",L50,IF(L56="基准地价",L51,L52)))</f>
        <v>19223292</v>
      </c>
      <c r="O58" s="2312" t="s">
        <v>1129</v>
      </c>
      <c r="P58" s="2307" t="s">
        <v>1160</v>
      </c>
      <c r="Q58" s="2354" t="e">
        <f>L59</f>
        <v>#DIV/0!</v>
      </c>
      <c r="R58" s="2355" t="s">
        <v>1161</v>
      </c>
    </row>
    <row r="59" spans="1:18" s="2114" customFormat="1" ht="28.5">
      <c r="A59" s="2257" t="s">
        <v>740</v>
      </c>
      <c r="B59" s="2258" t="s">
        <v>1028</v>
      </c>
      <c r="C59" s="1612">
        <f ca="1">ROUND(C60+C65+C66+C67,0)</f>
        <v>1312</v>
      </c>
      <c r="D59" s="2259" t="s">
        <v>1029</v>
      </c>
      <c r="E59" s="1659"/>
      <c r="F59" s="2187"/>
      <c r="I59" s="2340" t="s">
        <v>1162</v>
      </c>
      <c r="J59" s="2342" t="e">
        <f>IF(J56&lt;0.4,0.4,J56)</f>
        <v>#VALUE!</v>
      </c>
      <c r="K59" s="2327" t="s">
        <v>1163</v>
      </c>
      <c r="L59" s="2321" t="e">
        <f>ROUND(POWER(1+L53,L48-L49)*(POWER(1+L53,L49)-1)/(POWER(1+L53,L48)-1),4)</f>
        <v>#DIV/0!</v>
      </c>
      <c r="O59" s="2312" t="s">
        <v>1136</v>
      </c>
      <c r="P59" s="2307" t="str">
        <f>K60</f>
        <v>建筑物剩余耐用年限下的土地年期修正系数Kn</v>
      </c>
      <c r="Q59" s="2354" t="e">
        <f>L60</f>
        <v>#DIV/0!</v>
      </c>
      <c r="R59" s="2355" t="s">
        <v>1164</v>
      </c>
    </row>
    <row r="60" spans="1:18" s="2114" customFormat="1" ht="28.5">
      <c r="A60" s="2178" t="s">
        <v>1165</v>
      </c>
      <c r="B60" s="2147" t="s">
        <v>1034</v>
      </c>
      <c r="C60" s="2201">
        <f>ROUND(IF(AND(项目基本情况!B7="自然人",项目基本情况!B6="北京市"),C50*F60/(1+'数据-取费表'!F30),C61+C62+C63),0)</f>
        <v>0</v>
      </c>
      <c r="D60" s="2180" t="s">
        <v>1035</v>
      </c>
      <c r="E60" s="2202" t="s">
        <v>1036</v>
      </c>
      <c r="F60" s="2203">
        <f>IF(项目基本情况!B7="企业","——",IF('数据-取费表'!B10="住宅",IF(F50*F51*F52/12/(1+'数据-取费表'!F30)&gt;100000,4%,2.5%),IF(F50*F51*F52/12/(1+'数据-取费表'!F30)&gt;100000,12%,7%)))</f>
        <v>2.5000000000000001E-2</v>
      </c>
      <c r="I60" s="2340" t="s">
        <v>1166</v>
      </c>
      <c r="J60" s="2341" t="str">
        <f>IF(OR(M48="住宅",J52&lt;L49,J57="是"),"——",ROUND(C29*J59,0))</f>
        <v>——</v>
      </c>
      <c r="K60" s="232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21" t="e">
        <f>ROUND(IF(E1="在建（套用方法）",M60,IF(E1="土地（套用方法）",N60,POWER(1+L53,L48-J52)*(POWER(1+L53,J52)-1)/(POWER(1+L53,L48)-1))),4)</f>
        <v>#DIV/0!</v>
      </c>
      <c r="M60" s="2302" t="e">
        <f>ROUND(POWER(1+L53,L48-(J52+'数据-取费表'!B26))*(POWER(1+L53,(J52+'数据-取费表'!B26))-1)/(POWER(1+L53,L48)-1),4)</f>
        <v>#DIV/0!</v>
      </c>
      <c r="N60" s="2302" t="e">
        <f>ROUND(POWER(1+L53,L48-(J52+'数据-取费表'!B22))*(POWER(1+L53,(J52+'数据-取费表'!B22))-1)/(POWER(1+L53,L48)-1),4)</f>
        <v>#DIV/0!</v>
      </c>
      <c r="O60" s="2306" t="s">
        <v>1141</v>
      </c>
      <c r="P60" s="2307" t="str">
        <f>IF(C2="元","收益价值(元)","收益价值(万元)")</f>
        <v>收益价值(元)</v>
      </c>
      <c r="Q60" s="2354">
        <f ca="1">ROUND(IF(C2="元",Q54+Q55,(Q54+Q55)/10000),0)</f>
        <v>1176893</v>
      </c>
      <c r="R60" s="2355" t="s">
        <v>1142</v>
      </c>
    </row>
    <row r="61" spans="1:18" s="2114" customFormat="1" ht="15.75">
      <c r="A61" s="2178" t="s">
        <v>1167</v>
      </c>
      <c r="B61" s="2147" t="s">
        <v>1039</v>
      </c>
      <c r="C61" s="1657" t="str">
        <f>IF(项目基本情况!B7="自然人","——",ROUND(C49*F61/(1+'数据-取费表'!F30),0))</f>
        <v>——</v>
      </c>
      <c r="D61" s="2202" t="s">
        <v>1168</v>
      </c>
      <c r="E61" s="2147" t="s">
        <v>1025</v>
      </c>
      <c r="F61" s="2192">
        <f t="shared" ref="F61:F67" si="0">F32</f>
        <v>5.6000000000000001E-2</v>
      </c>
      <c r="I61" s="2343" t="s">
        <v>1169</v>
      </c>
      <c r="J61" s="2344" t="str">
        <f>IF(OR(M48="住宅",J52&lt;L49,J57="是"),"0",ROUND(J60/(1+J53)^J54,0))</f>
        <v>0</v>
      </c>
      <c r="K61" s="2345" t="s">
        <v>1170</v>
      </c>
      <c r="L61" s="2344">
        <f>IF(OR(M48="住宅",L49&lt;J52),0,ROUND(L58*(L59/L60-1),0))</f>
        <v>0</v>
      </c>
      <c r="O61" s="2301" t="s">
        <v>1171</v>
      </c>
      <c r="P61" s="2302"/>
      <c r="Q61" s="2317"/>
      <c r="R61" s="2302"/>
    </row>
    <row r="62" spans="1:18" s="2114" customFormat="1">
      <c r="A62" s="2178" t="s">
        <v>1172</v>
      </c>
      <c r="B62" s="2147" t="s">
        <v>1043</v>
      </c>
      <c r="C62" s="1657" t="str">
        <f>IF(项目基本情况!B7="自然人","——",IF(D62="按租金收入计税",ROUND(C50*F62/(1+'数据-取费表'!F30),0),IF(D62="按房产原值计税",ROUND(C58*F62*0.7,0),'数据-取费表'!B44)))</f>
        <v>——</v>
      </c>
      <c r="D62" s="2205" t="s">
        <v>1173</v>
      </c>
      <c r="E62" s="2147" t="s">
        <v>1025</v>
      </c>
      <c r="F62" s="2186">
        <f t="shared" si="0"/>
        <v>0.12</v>
      </c>
      <c r="O62" s="2304" t="s">
        <v>1107</v>
      </c>
      <c r="P62" s="2305" t="s">
        <v>1108</v>
      </c>
      <c r="Q62" s="2352" t="s">
        <v>1109</v>
      </c>
      <c r="R62" s="2353" t="s">
        <v>1110</v>
      </c>
    </row>
    <row r="63" spans="1:18" s="2114" customFormat="1">
      <c r="A63" s="2240" t="s">
        <v>1174</v>
      </c>
      <c r="B63" s="2146" t="s">
        <v>1046</v>
      </c>
      <c r="C63" s="2207" t="str">
        <f>IF(项目基本情况!B7="自然人","——",ROUND(F63*F64,0))</f>
        <v>——</v>
      </c>
      <c r="D63" s="2208" t="s">
        <v>1047</v>
      </c>
      <c r="E63" s="2147" t="s">
        <v>1048</v>
      </c>
      <c r="F63" s="2191">
        <f t="shared" si="0"/>
        <v>0</v>
      </c>
      <c r="I63" s="2346" t="s">
        <v>1175</v>
      </c>
      <c r="J63" s="2347" t="s">
        <v>1176</v>
      </c>
      <c r="K63" s="2347" t="s">
        <v>1177</v>
      </c>
      <c r="L63" s="2347" t="s">
        <v>1178</v>
      </c>
      <c r="M63" s="2348" t="s">
        <v>1179</v>
      </c>
      <c r="O63" s="2306" t="s">
        <v>1111</v>
      </c>
      <c r="P63" s="2307" t="s">
        <v>1112</v>
      </c>
      <c r="Q63" s="2354">
        <f ca="1">C40+J29</f>
        <v>1176893</v>
      </c>
      <c r="R63" s="2355" t="s">
        <v>1113</v>
      </c>
    </row>
    <row r="64" spans="1:18" s="2114" customFormat="1" ht="19.5">
      <c r="A64" s="2161"/>
      <c r="B64" s="2154"/>
      <c r="C64" s="1727"/>
      <c r="D64" s="430"/>
      <c r="E64" s="2147" t="s">
        <v>1052</v>
      </c>
      <c r="F64" s="2148">
        <f t="shared" si="0"/>
        <v>0</v>
      </c>
      <c r="I64" s="2346" t="s">
        <v>1180</v>
      </c>
      <c r="J64" s="2347">
        <v>70</v>
      </c>
      <c r="K64" s="2347">
        <v>50</v>
      </c>
      <c r="L64" s="2347">
        <v>80</v>
      </c>
      <c r="M64" s="2349">
        <v>0.02</v>
      </c>
      <c r="O64" s="2306" t="s">
        <v>1114</v>
      </c>
      <c r="P64" s="2307" t="s">
        <v>1150</v>
      </c>
      <c r="Q64" s="2354">
        <f>L61</f>
        <v>0</v>
      </c>
      <c r="R64" s="2355" t="s">
        <v>1151</v>
      </c>
    </row>
    <row r="65" spans="1:18" s="2114" customFormat="1" ht="22.5">
      <c r="A65" s="2178" t="s">
        <v>1181</v>
      </c>
      <c r="B65" s="2147" t="s">
        <v>1055</v>
      </c>
      <c r="C65" s="1657">
        <f>ROUND(C58*F65,0)</f>
        <v>1171</v>
      </c>
      <c r="D65" s="2202" t="s">
        <v>1093</v>
      </c>
      <c r="E65" s="2147" t="s">
        <v>1025</v>
      </c>
      <c r="F65" s="2211">
        <f t="shared" si="0"/>
        <v>5.0000000000000001E-3</v>
      </c>
      <c r="I65" s="2346" t="s">
        <v>1182</v>
      </c>
      <c r="J65" s="2347">
        <v>50</v>
      </c>
      <c r="K65" s="2347">
        <v>35</v>
      </c>
      <c r="L65" s="2347">
        <v>60</v>
      </c>
      <c r="M65" s="2348">
        <v>0</v>
      </c>
      <c r="O65" s="2312" t="s">
        <v>1119</v>
      </c>
      <c r="P65" s="2307" t="s">
        <v>1154</v>
      </c>
      <c r="Q65" s="2361">
        <f ca="1">L52</f>
        <v>19223292</v>
      </c>
      <c r="R65" s="2362" t="s">
        <v>1183</v>
      </c>
    </row>
    <row r="66" spans="1:18" s="2114" customFormat="1" ht="19.5">
      <c r="A66" s="2178" t="s">
        <v>1184</v>
      </c>
      <c r="B66" s="2147" t="s">
        <v>1059</v>
      </c>
      <c r="C66" s="1657">
        <f>ROUND(C57*F66,0)</f>
        <v>141</v>
      </c>
      <c r="D66" s="2202" t="s">
        <v>1060</v>
      </c>
      <c r="E66" s="2147" t="s">
        <v>1025</v>
      </c>
      <c r="F66" s="2212">
        <f t="shared" si="0"/>
        <v>1E-3</v>
      </c>
      <c r="I66" s="2346" t="s">
        <v>1185</v>
      </c>
      <c r="J66" s="2347">
        <v>40</v>
      </c>
      <c r="K66" s="2347">
        <v>30</v>
      </c>
      <c r="L66" s="2347">
        <v>50</v>
      </c>
      <c r="M66" s="2349">
        <v>0.02</v>
      </c>
      <c r="O66" s="2312" t="s">
        <v>1123</v>
      </c>
      <c r="P66" s="2360" t="s">
        <v>1186</v>
      </c>
      <c r="Q66" s="2354">
        <f ca="1">ROUND(Q67-Q68*Q69,0)</f>
        <v>32570</v>
      </c>
      <c r="R66" s="2355"/>
    </row>
    <row r="67" spans="1:18" s="2114" customFormat="1">
      <c r="A67" s="2178" t="s">
        <v>1187</v>
      </c>
      <c r="B67" s="2147" t="s">
        <v>1044</v>
      </c>
      <c r="C67" s="1657">
        <f ca="1">ROUND(C49*F67,0)</f>
        <v>0</v>
      </c>
      <c r="D67" s="2202" t="s">
        <v>1063</v>
      </c>
      <c r="E67" s="2147" t="s">
        <v>1025</v>
      </c>
      <c r="F67" s="2155">
        <f t="shared" si="0"/>
        <v>5.0000000000000001E-3</v>
      </c>
      <c r="O67" s="2312" t="s">
        <v>1188</v>
      </c>
      <c r="P67" s="2360" t="s">
        <v>1189</v>
      </c>
      <c r="Q67" s="2354">
        <f ca="1">C39</f>
        <v>43108</v>
      </c>
      <c r="R67" s="2355" t="s">
        <v>1113</v>
      </c>
    </row>
    <row r="68" spans="1:18">
      <c r="A68" s="2257" t="s">
        <v>743</v>
      </c>
      <c r="B68" s="2357" t="s">
        <v>1067</v>
      </c>
      <c r="C68" s="1612">
        <f ca="1">C49-C59</f>
        <v>-1312</v>
      </c>
      <c r="D68" s="2180" t="s">
        <v>1068</v>
      </c>
      <c r="E68" s="2358"/>
      <c r="F68" s="2359"/>
      <c r="H68" s="2114"/>
      <c r="I68" s="2114"/>
      <c r="J68" s="2114"/>
      <c r="K68" s="2114"/>
      <c r="L68" s="2114"/>
      <c r="M68" s="2114"/>
      <c r="O68" s="2312" t="s">
        <v>1190</v>
      </c>
      <c r="P68" s="2360" t="s">
        <v>1191</v>
      </c>
      <c r="Q68" s="2354">
        <f>C13</f>
        <v>140511</v>
      </c>
      <c r="R68" s="2355" t="s">
        <v>1113</v>
      </c>
    </row>
    <row r="69" spans="1:18">
      <c r="A69" s="2139" t="s">
        <v>769</v>
      </c>
      <c r="B69" s="2140" t="s">
        <v>1098</v>
      </c>
      <c r="C69" s="2141">
        <f ca="1">ROUND(C68*(1-((1+F71)/(1+F69))^F70)/(F69-F71),0)</f>
        <v>-23810</v>
      </c>
      <c r="D69" s="2208" t="s">
        <v>1073</v>
      </c>
      <c r="E69" s="2147" t="s">
        <v>1074</v>
      </c>
      <c r="F69" s="2155">
        <f>F40</f>
        <v>0.04</v>
      </c>
      <c r="H69" s="2114"/>
      <c r="I69" s="2114"/>
      <c r="J69" s="2114"/>
      <c r="K69" s="2114"/>
      <c r="L69" s="2114"/>
      <c r="M69" s="2114"/>
      <c r="O69" s="2312" t="s">
        <v>1192</v>
      </c>
      <c r="P69" s="2360" t="s">
        <v>1193</v>
      </c>
      <c r="Q69" s="2356">
        <f>J35</f>
        <v>7.4999999999999997E-2</v>
      </c>
      <c r="R69" s="2355"/>
    </row>
    <row r="70" spans="1:18">
      <c r="A70" s="2153"/>
      <c r="B70" s="2150"/>
      <c r="C70" s="2151"/>
      <c r="D70" s="2218" t="s">
        <v>1077</v>
      </c>
      <c r="E70" s="2147" t="s">
        <v>1078</v>
      </c>
      <c r="F70" s="2277">
        <f>F41</f>
        <v>33</v>
      </c>
      <c r="H70" s="2114"/>
      <c r="I70" s="2114"/>
      <c r="J70" s="2114"/>
      <c r="K70" s="2114"/>
      <c r="L70" s="2114"/>
      <c r="M70" s="2114"/>
      <c r="O70" s="2312" t="s">
        <v>1129</v>
      </c>
      <c r="P70" s="2307" t="s">
        <v>1157</v>
      </c>
      <c r="Q70" s="2356">
        <f>L53</f>
        <v>0</v>
      </c>
      <c r="R70" s="2355"/>
    </row>
    <row r="71" spans="1:18" ht="19.5">
      <c r="A71" s="2166"/>
      <c r="B71" s="2222"/>
      <c r="C71" s="2175"/>
      <c r="D71" s="430"/>
      <c r="E71" s="2147" t="s">
        <v>1082</v>
      </c>
      <c r="F71" s="2245"/>
      <c r="H71" s="2114"/>
      <c r="M71" s="2114"/>
      <c r="O71" s="2312" t="s">
        <v>1136</v>
      </c>
      <c r="P71" s="2307" t="s">
        <v>1160</v>
      </c>
      <c r="Q71" s="2354" t="e">
        <f>L59</f>
        <v>#DIV/0!</v>
      </c>
      <c r="R71" s="2355" t="s">
        <v>1161</v>
      </c>
    </row>
    <row r="72" spans="1:18">
      <c r="A72" s="2196" t="s">
        <v>1085</v>
      </c>
      <c r="B72" s="2223" t="s">
        <v>1103</v>
      </c>
      <c r="C72" s="2224">
        <f ca="1">ROUND(C69/F72,0)</f>
        <v>-403</v>
      </c>
      <c r="D72" s="2225" t="s">
        <v>1104</v>
      </c>
      <c r="E72" s="2226" t="s">
        <v>1105</v>
      </c>
      <c r="F72" s="2227">
        <f>F43</f>
        <v>59.11</v>
      </c>
      <c r="O72" s="2312" t="s">
        <v>1194</v>
      </c>
      <c r="P72" s="2307" t="str">
        <f>K60</f>
        <v>建筑物剩余耐用年限下的土地年期修正系数Kn</v>
      </c>
      <c r="Q72" s="2354" t="e">
        <f>L60</f>
        <v>#DIV/0!</v>
      </c>
      <c r="R72" s="2355" t="s">
        <v>1164</v>
      </c>
    </row>
    <row r="73" spans="1:18">
      <c r="A73" s="2114"/>
      <c r="B73" s="2117"/>
      <c r="C73" s="2117"/>
      <c r="D73" s="2114"/>
      <c r="E73" s="2114"/>
      <c r="F73" s="2114"/>
      <c r="O73" s="2306" t="s">
        <v>1141</v>
      </c>
      <c r="P73" s="2307" t="str">
        <f>IF(C2="元","收益价值(元)","收益价值(万元)")</f>
        <v>收益价值(元)</v>
      </c>
      <c r="Q73" s="2354">
        <f ca="1">ROUND(IF(C2="元",Q63+Q64,(Q63+Q64)/10000),0)</f>
        <v>1176893</v>
      </c>
      <c r="R73" s="2355" t="s">
        <v>1142</v>
      </c>
    </row>
    <row r="74" spans="1:18">
      <c r="A74" s="2114"/>
      <c r="B74" s="2117"/>
      <c r="C74" s="2117"/>
      <c r="D74" s="2114"/>
      <c r="E74" s="2114"/>
      <c r="F74" s="2114"/>
    </row>
    <row r="75" spans="1:18">
      <c r="A75" s="2114"/>
      <c r="B75" s="2117"/>
      <c r="C75" s="2117"/>
      <c r="D75" s="2114"/>
      <c r="E75" s="2114"/>
      <c r="F75" s="2114"/>
    </row>
  </sheetData>
  <sheetProtection password="CEE9" sheet="1" objects="1" scenarios="1" formatCells="0" formatColumns="0" formatRows="0"/>
  <mergeCells count="1">
    <mergeCell ref="K54:L54"/>
  </mergeCells>
  <phoneticPr fontId="211"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sheetPr codeName="Sheet29"/>
  <dimension ref="B38:J51"/>
  <sheetViews>
    <sheetView tabSelected="1" topLeftCell="A31" workbookViewId="0">
      <selection activeCell="B47" sqref="B47"/>
    </sheetView>
  </sheetViews>
  <sheetFormatPr defaultColWidth="9" defaultRowHeight="13.5"/>
  <cols>
    <col min="4" max="4" width="9" style="2105"/>
    <col min="10" max="10" width="11.5"/>
  </cols>
  <sheetData>
    <row r="38" spans="2:10">
      <c r="B38" t="s">
        <v>690</v>
      </c>
      <c r="C38" t="s">
        <v>1195</v>
      </c>
      <c r="D38" s="2105" t="s">
        <v>907</v>
      </c>
      <c r="E38" t="s">
        <v>1196</v>
      </c>
      <c r="F38" t="s">
        <v>99</v>
      </c>
      <c r="G38" t="s">
        <v>1197</v>
      </c>
      <c r="H38" t="s">
        <v>1198</v>
      </c>
      <c r="I38" t="s">
        <v>1199</v>
      </c>
      <c r="J38" t="s">
        <v>1200</v>
      </c>
    </row>
    <row r="39" spans="2:10">
      <c r="B39">
        <v>1</v>
      </c>
      <c r="C39">
        <v>79.38</v>
      </c>
      <c r="D39" s="2105" t="s">
        <v>953</v>
      </c>
      <c r="E39" t="s">
        <v>905</v>
      </c>
      <c r="F39">
        <v>39620</v>
      </c>
      <c r="G39" t="s">
        <v>1201</v>
      </c>
      <c r="H39" t="s">
        <v>917</v>
      </c>
      <c r="J39" s="2110">
        <v>44852</v>
      </c>
    </row>
    <row r="40" spans="2:10">
      <c r="B40">
        <v>2</v>
      </c>
      <c r="C40">
        <v>42.93</v>
      </c>
      <c r="D40" s="2105" t="s">
        <v>953</v>
      </c>
      <c r="E40" t="s">
        <v>905</v>
      </c>
      <c r="F40">
        <v>45190</v>
      </c>
      <c r="G40" t="s">
        <v>1202</v>
      </c>
      <c r="H40" t="s">
        <v>917</v>
      </c>
      <c r="J40" s="2110">
        <v>44842</v>
      </c>
    </row>
    <row r="41" spans="2:10">
      <c r="B41" s="3313">
        <v>3</v>
      </c>
      <c r="C41" s="2106">
        <v>57.55</v>
      </c>
      <c r="D41" s="2107" t="s">
        <v>909</v>
      </c>
      <c r="E41" s="2106" t="s">
        <v>905</v>
      </c>
      <c r="F41" s="2106">
        <v>40834</v>
      </c>
      <c r="G41" s="2106" t="s">
        <v>1202</v>
      </c>
      <c r="H41" s="2106" t="s">
        <v>917</v>
      </c>
      <c r="I41" s="2106"/>
      <c r="J41" s="2111">
        <v>44756</v>
      </c>
    </row>
    <row r="42" spans="2:10">
      <c r="B42">
        <v>4</v>
      </c>
      <c r="C42">
        <v>55.6</v>
      </c>
      <c r="D42" s="2105" t="s">
        <v>951</v>
      </c>
      <c r="E42" t="s">
        <v>906</v>
      </c>
      <c r="F42">
        <v>50000</v>
      </c>
      <c r="G42" t="s">
        <v>1202</v>
      </c>
      <c r="H42" t="s">
        <v>917</v>
      </c>
      <c r="I42" t="s">
        <v>1203</v>
      </c>
      <c r="J42" s="2110">
        <v>44755</v>
      </c>
    </row>
    <row r="43" spans="2:10">
      <c r="B43">
        <v>5</v>
      </c>
      <c r="C43">
        <v>54.38</v>
      </c>
      <c r="D43" s="2105" t="s">
        <v>953</v>
      </c>
      <c r="E43" t="s">
        <v>906</v>
      </c>
      <c r="F43">
        <v>38065</v>
      </c>
      <c r="G43" t="s">
        <v>1202</v>
      </c>
      <c r="H43" t="s">
        <v>917</v>
      </c>
      <c r="J43" s="2110">
        <v>44687</v>
      </c>
    </row>
    <row r="44" spans="2:10">
      <c r="B44">
        <v>6</v>
      </c>
      <c r="C44">
        <v>61.05</v>
      </c>
      <c r="D44" s="2105" t="s">
        <v>953</v>
      </c>
      <c r="E44" t="s">
        <v>905</v>
      </c>
      <c r="F44">
        <v>38821</v>
      </c>
      <c r="G44" t="s">
        <v>1202</v>
      </c>
      <c r="H44" t="s">
        <v>917</v>
      </c>
      <c r="J44" s="2110">
        <v>44667</v>
      </c>
    </row>
    <row r="45" spans="2:10">
      <c r="B45" s="3313">
        <v>7</v>
      </c>
      <c r="C45" s="2108">
        <v>57.55</v>
      </c>
      <c r="D45" s="2109" t="s">
        <v>910</v>
      </c>
      <c r="E45" s="2108" t="s">
        <v>905</v>
      </c>
      <c r="F45" s="2108">
        <v>49279</v>
      </c>
      <c r="G45" s="2108" t="s">
        <v>1202</v>
      </c>
      <c r="H45" s="2108" t="s">
        <v>917</v>
      </c>
      <c r="I45" s="2108"/>
      <c r="J45" s="2110">
        <v>44653</v>
      </c>
    </row>
    <row r="46" spans="2:10">
      <c r="B46" s="2106">
        <v>8</v>
      </c>
      <c r="C46" s="2106">
        <v>75.569999999999993</v>
      </c>
      <c r="D46" s="2107" t="s">
        <v>910</v>
      </c>
      <c r="E46" s="2106" t="s">
        <v>905</v>
      </c>
      <c r="F46" s="2106">
        <v>46796</v>
      </c>
      <c r="G46" s="2106" t="s">
        <v>1201</v>
      </c>
      <c r="H46" s="2106" t="s">
        <v>917</v>
      </c>
      <c r="I46" s="2106"/>
      <c r="J46" s="2111">
        <v>44646</v>
      </c>
    </row>
    <row r="47" spans="2:10">
      <c r="B47" s="3313">
        <v>9</v>
      </c>
      <c r="C47" s="2108">
        <v>59.36</v>
      </c>
      <c r="D47" s="2109" t="s">
        <v>909</v>
      </c>
      <c r="E47" s="2108" t="s">
        <v>1204</v>
      </c>
      <c r="F47" s="2108">
        <v>47170</v>
      </c>
      <c r="G47" s="2108" t="s">
        <v>1201</v>
      </c>
      <c r="H47" s="2108" t="s">
        <v>917</v>
      </c>
      <c r="I47" s="2108"/>
      <c r="J47" s="2110">
        <v>44629</v>
      </c>
    </row>
    <row r="48" spans="2:10">
      <c r="B48">
        <v>10</v>
      </c>
      <c r="C48">
        <v>61.05</v>
      </c>
      <c r="D48" s="2105" t="s">
        <v>953</v>
      </c>
      <c r="E48" t="s">
        <v>905</v>
      </c>
      <c r="F48">
        <v>38657</v>
      </c>
      <c r="G48" t="s">
        <v>1201</v>
      </c>
      <c r="H48" t="s">
        <v>917</v>
      </c>
      <c r="J48" s="2110">
        <v>44629</v>
      </c>
    </row>
    <row r="49" spans="2:10">
      <c r="B49">
        <v>11</v>
      </c>
      <c r="C49">
        <v>39.54</v>
      </c>
      <c r="D49" s="2105" t="s">
        <v>951</v>
      </c>
      <c r="E49" t="s">
        <v>905</v>
      </c>
      <c r="F49">
        <v>52479</v>
      </c>
      <c r="G49" t="s">
        <v>1202</v>
      </c>
      <c r="H49" t="s">
        <v>917</v>
      </c>
      <c r="I49" t="s">
        <v>1203</v>
      </c>
      <c r="J49" s="2110">
        <v>44622</v>
      </c>
    </row>
    <row r="50" spans="2:10">
      <c r="B50" s="2106">
        <v>12</v>
      </c>
      <c r="C50" s="2106">
        <v>61.05</v>
      </c>
      <c r="D50" s="2107" t="s">
        <v>909</v>
      </c>
      <c r="E50" s="2106" t="s">
        <v>906</v>
      </c>
      <c r="F50" s="2106">
        <v>42752</v>
      </c>
      <c r="G50" s="2106" t="s">
        <v>1201</v>
      </c>
      <c r="H50" s="2106" t="s">
        <v>917</v>
      </c>
      <c r="I50" s="2106"/>
      <c r="J50" s="2111">
        <v>44608</v>
      </c>
    </row>
    <row r="51" spans="2:10">
      <c r="B51">
        <v>13</v>
      </c>
      <c r="C51">
        <v>57.66</v>
      </c>
      <c r="D51" s="2105" t="s">
        <v>951</v>
      </c>
      <c r="E51" t="s">
        <v>905</v>
      </c>
      <c r="F51">
        <v>43965</v>
      </c>
      <c r="G51" t="s">
        <v>959</v>
      </c>
      <c r="H51" t="s">
        <v>917</v>
      </c>
      <c r="J51" s="2110">
        <v>44526</v>
      </c>
    </row>
  </sheetData>
  <phoneticPr fontId="211"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sheetPr codeName="Sheet3">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7"/>
      <c r="B1" s="3278"/>
    </row>
    <row r="2" spans="1:7">
      <c r="A2" s="3277"/>
      <c r="B2" s="3278"/>
    </row>
    <row r="3" spans="1:7">
      <c r="A3" s="3277"/>
      <c r="B3" s="3278"/>
    </row>
    <row r="4" spans="1:7">
      <c r="A4" s="3277"/>
      <c r="B4" s="3278"/>
    </row>
    <row r="5" spans="1:7">
      <c r="A5" s="3277"/>
      <c r="B5" s="3278"/>
    </row>
    <row r="6" spans="1:7">
      <c r="A6" s="3277"/>
      <c r="B6" s="3278"/>
    </row>
    <row r="7" spans="1:7">
      <c r="A7" s="3277"/>
      <c r="B7" s="3278"/>
    </row>
    <row r="8" spans="1:7">
      <c r="A8" s="3279" t="s">
        <v>71</v>
      </c>
      <c r="B8" s="3280" t="s">
        <v>72</v>
      </c>
      <c r="C8" s="3281"/>
    </row>
    <row r="9" spans="1:7">
      <c r="A9" s="3277"/>
      <c r="B9" s="3282" t="str">
        <f>项目基本情况!B1</f>
        <v>北京市预评估</v>
      </c>
      <c r="C9" s="3283"/>
      <c r="D9" s="3284"/>
      <c r="E9" s="3284"/>
      <c r="F9" s="3284"/>
      <c r="G9" s="3284"/>
    </row>
    <row r="10" spans="1:7">
      <c r="A10" s="3277"/>
      <c r="B10" s="3285"/>
      <c r="C10" s="3283"/>
      <c r="D10" s="3284"/>
      <c r="E10" s="3284"/>
      <c r="F10" s="3284"/>
      <c r="G10" s="3284"/>
    </row>
    <row r="11" spans="1:7">
      <c r="A11" s="3279" t="s">
        <v>71</v>
      </c>
      <c r="B11" s="3280" t="s">
        <v>73</v>
      </c>
      <c r="C11" s="3281"/>
    </row>
    <row r="12" spans="1:7">
      <c r="A12" s="3277"/>
      <c r="B12" s="3286" t="str">
        <f>项目基本情况!B4</f>
        <v>xx</v>
      </c>
      <c r="C12" s="3281"/>
    </row>
    <row r="13" spans="1:7">
      <c r="A13" s="3277"/>
      <c r="B13" s="3280"/>
      <c r="C13" s="3281"/>
    </row>
    <row r="14" spans="1:7">
      <c r="A14" s="3279" t="s">
        <v>71</v>
      </c>
      <c r="B14" s="3280" t="s">
        <v>74</v>
      </c>
      <c r="C14" s="3281"/>
    </row>
    <row r="15" spans="1:7">
      <c r="A15" s="3277"/>
      <c r="B15" s="3286" t="s">
        <v>75</v>
      </c>
      <c r="C15" s="3281"/>
    </row>
    <row r="16" spans="1:7">
      <c r="A16" s="3277"/>
      <c r="B16" s="3280"/>
      <c r="C16" s="3281"/>
    </row>
    <row r="17" spans="1:5">
      <c r="A17" s="3279" t="s">
        <v>71</v>
      </c>
      <c r="B17" s="3280" t="s">
        <v>76</v>
      </c>
      <c r="C17" s="3281"/>
    </row>
    <row r="18" spans="1:5" s="3276" customFormat="1">
      <c r="A18" s="3287"/>
      <c r="B18" s="3286" t="str">
        <f>CONCATENATE(项目基本情况!B3,"（注册号:",项目基本情况!C3,"）、",项目基本情况!D3,"（注册号:",项目基本情况!E3,")")</f>
        <v>（注册号:0）、（注册号:0)</v>
      </c>
      <c r="C18" s="3288"/>
      <c r="E18" s="3288"/>
    </row>
    <row r="19" spans="1:5">
      <c r="A19" s="3277"/>
      <c r="B19" s="3280"/>
      <c r="C19" s="3281"/>
    </row>
    <row r="20" spans="1:5">
      <c r="A20" s="3279" t="s">
        <v>71</v>
      </c>
      <c r="B20" s="3280" t="s">
        <v>77</v>
      </c>
      <c r="C20" s="3281"/>
    </row>
    <row r="21" spans="1:5">
      <c r="A21" s="3277"/>
      <c r="B21" s="3286" t="str">
        <f>"康正预评字"&amp;项目基本情况!G1&amp;"号"</f>
        <v>康正预评字号</v>
      </c>
    </row>
    <row r="22" spans="1:5">
      <c r="A22" s="3277"/>
      <c r="B22" s="3278"/>
    </row>
    <row r="23" spans="1:5">
      <c r="B23" s="3289"/>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1205</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870</v>
      </c>
      <c r="B2" s="2032">
        <f>IF(D2="——",IF(C2="元",C52,ROUND(C52/10000,0)),IF(C2="元",C52,ROUND(C52/10000,0))-E2)</f>
        <v>686549</v>
      </c>
      <c r="C2" s="1330" t="str">
        <f>'数据-取费表'!B3</f>
        <v>元</v>
      </c>
      <c r="D2" s="2033" t="s">
        <v>121</v>
      </c>
      <c r="E2" s="2034" t="e">
        <f ca="1">SUMIF(INDIRECT("'"&amp;G2&amp;"'"&amp;"!A:A"),"承租人权益价值",INDIRECT("'"&amp;G2&amp;"'"&amp;"!c:c"))</f>
        <v>#REF!</v>
      </c>
      <c r="F2" s="2035" t="str">
        <f>C2</f>
        <v>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871</v>
      </c>
      <c r="B3" s="1939">
        <f>ROUND(C52/IF(B1="仅计算典型户型",'数据-取费表'!E5,'数据-取费表'!B5),0)</f>
        <v>11615</v>
      </c>
      <c r="C3" s="1330" t="s">
        <v>1206</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1207</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1208</v>
      </c>
      <c r="B5" s="2042" t="s">
        <v>1209</v>
      </c>
      <c r="C5" s="2043">
        <f>C6+C7+C8</f>
        <v>389476</v>
      </c>
      <c r="D5" s="2043" t="s">
        <v>1210</v>
      </c>
      <c r="E5" s="2044" t="s">
        <v>1211</v>
      </c>
      <c r="F5" s="2044" t="s">
        <v>724</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1212</v>
      </c>
      <c r="B6" s="2047" t="s">
        <v>1213</v>
      </c>
      <c r="C6" s="2048">
        <f>ROUND(6394*'数据-取费表'!B5,0)</f>
        <v>377949</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1214</v>
      </c>
      <c r="B7" s="2047" t="s">
        <v>1215</v>
      </c>
      <c r="C7" s="2052">
        <f>ROUND(C6*F7,0)</f>
        <v>11527</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1216</v>
      </c>
      <c r="B8" s="2047" t="s">
        <v>1217</v>
      </c>
      <c r="C8" s="2052">
        <f>IF(G8="已包含在土地购买价格中","0",'数据-取费表'!E13)</f>
        <v>0</v>
      </c>
      <c r="D8" s="2054"/>
      <c r="E8" s="2052"/>
      <c r="F8" s="2053"/>
      <c r="G8" s="2055" t="s">
        <v>1218</v>
      </c>
    </row>
    <row r="9" spans="1:123" s="2024" customFormat="1" ht="13.5" customHeight="1">
      <c r="A9" s="2056" t="s">
        <v>1219</v>
      </c>
      <c r="B9" s="2057" t="s">
        <v>1220</v>
      </c>
      <c r="C9" s="2058">
        <f>ROUND(D9*E9,0)</f>
        <v>9458</v>
      </c>
      <c r="D9" s="2059">
        <f>IF('数据-取费表'!B10="住宅",IF(B1="仅计算典型户型",'数据-取费表'!E5,'数据-取费表'!B5),0)</f>
        <v>59.11</v>
      </c>
      <c r="E9" s="2058">
        <f>'数据-取费表'!E11</f>
        <v>160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1221</v>
      </c>
      <c r="B10" s="2057" t="s">
        <v>1222</v>
      </c>
      <c r="C10" s="2058">
        <f>ROUND(D10*E10,0)</f>
        <v>0</v>
      </c>
      <c r="D10" s="2059">
        <f>IF('数据-取费表'!B10&lt;&gt;"住宅",IF(B1="仅计算典型户型",'数据-取费表'!E5,'数据-取费表'!B5),0)</f>
        <v>0</v>
      </c>
      <c r="E10" s="2058">
        <f>'数据-取费表'!E12</f>
        <v>200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1223</v>
      </c>
      <c r="B11" s="2047" t="s">
        <v>1224</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1225</v>
      </c>
      <c r="B12" s="2047" t="s">
        <v>761</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1226</v>
      </c>
      <c r="B13" s="2047" t="s">
        <v>1227</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1228</v>
      </c>
      <c r="B14" s="2047" t="s">
        <v>1217</v>
      </c>
      <c r="C14" s="2043"/>
      <c r="D14" s="2052"/>
      <c r="E14" s="2050"/>
      <c r="F14" s="2050"/>
      <c r="G14" s="2051" t="s">
        <v>1229</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1230</v>
      </c>
      <c r="B15" s="2047" t="s">
        <v>1231</v>
      </c>
      <c r="C15" s="2052"/>
      <c r="D15" s="2052"/>
      <c r="E15" s="2050"/>
      <c r="F15" s="2050"/>
      <c r="G15" s="2051" t="s">
        <v>1232</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1233</v>
      </c>
      <c r="B16" s="2047" t="s">
        <v>1217</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1234</v>
      </c>
      <c r="B17" s="2047" t="s">
        <v>1235</v>
      </c>
      <c r="C17" s="2062"/>
      <c r="D17" s="2062"/>
      <c r="E17" s="2062"/>
      <c r="F17" s="2062"/>
      <c r="G17" s="2051" t="s">
        <v>1232</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1236</v>
      </c>
      <c r="B18" s="2047" t="s">
        <v>1237</v>
      </c>
      <c r="C18" s="2052">
        <v>0</v>
      </c>
      <c r="D18" s="2052"/>
      <c r="E18" s="2050"/>
      <c r="F18" s="2053">
        <v>3.0499999999999999E-2</v>
      </c>
      <c r="G18" s="2051" t="s">
        <v>1238</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1239</v>
      </c>
      <c r="B19" s="2042" t="s">
        <v>1240</v>
      </c>
      <c r="C19" s="2043" t="str">
        <f>IF(G19="已包含在土地取得成本中","0",ROUND(D19*E19,0))</f>
        <v>0</v>
      </c>
      <c r="D19" s="2063">
        <f>IF(B1="仅计算典型户型",'数据-取费表'!E5,'数据-取费表'!B5)</f>
        <v>59.11</v>
      </c>
      <c r="E19" s="2043">
        <f>'数据-取费表'!E15</f>
        <v>200</v>
      </c>
      <c r="F19" s="2064"/>
      <c r="G19" s="2055" t="s">
        <v>1241</v>
      </c>
    </row>
    <row r="20" spans="1:123" s="2024" customFormat="1" ht="13.5" customHeight="1">
      <c r="A20" s="2041" t="s">
        <v>1242</v>
      </c>
      <c r="B20" s="2042" t="s">
        <v>1243</v>
      </c>
      <c r="C20" s="2065">
        <f>ROUND((C5+C19)*F20,0)</f>
        <v>3895</v>
      </c>
      <c r="D20" s="2065"/>
      <c r="E20" s="2065"/>
      <c r="F20" s="2066">
        <f>'数据-取费表'!E25</f>
        <v>0.01</v>
      </c>
      <c r="G20" s="2067" t="s">
        <v>1244</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1245</v>
      </c>
      <c r="B21" s="2042" t="s">
        <v>1246</v>
      </c>
      <c r="C21" s="2068">
        <f>F21</f>
        <v>0.01</v>
      </c>
      <c r="D21" s="2069" t="s">
        <v>1247</v>
      </c>
      <c r="E21" s="2065"/>
      <c r="F21" s="2066">
        <f>'数据-取费表'!E26</f>
        <v>0.01</v>
      </c>
      <c r="G21" s="2067" t="s">
        <v>1248</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1249</v>
      </c>
      <c r="B22" s="2042" t="s">
        <v>1250</v>
      </c>
      <c r="C22" s="2070">
        <f>ROUND(SUM(C23:C25),0)</f>
        <v>38064</v>
      </c>
      <c r="D22" s="2068">
        <f>C26</f>
        <v>5.0000000000000001E-4</v>
      </c>
      <c r="E22" s="2069" t="s">
        <v>1247</v>
      </c>
      <c r="F22" s="2066">
        <f>'数据-取费表'!E27</f>
        <v>4.7500000000000001E-2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1212</v>
      </c>
      <c r="B23" s="2047" t="s">
        <v>1251</v>
      </c>
      <c r="C23" s="2071">
        <f>ROUND(IF('数据-取费表'!B24&lt;=1,C5*F22*'数据-取费表'!B25,C5*(POWER((1+F22),'数据-取费表'!B25)-1)),0)</f>
        <v>37879</v>
      </c>
      <c r="D23" s="2072"/>
      <c r="E23" s="2072"/>
      <c r="F23" s="2073"/>
      <c r="G23" s="2074" t="s">
        <v>1252</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1214</v>
      </c>
      <c r="B24" s="2047" t="s">
        <v>1253</v>
      </c>
      <c r="C24" s="2071">
        <f>ROUND(IF('数据-取费表'!B24&lt;=1,C19*F22*('数据-取费表'!B21/2+'数据-取费表'!B23),C19*(POWER((1+F22),('数据-取费表'!B21/2+'数据-取费表'!B23))-1)),0)</f>
        <v>0</v>
      </c>
      <c r="D24" s="2072"/>
      <c r="E24" s="2072"/>
      <c r="F24" s="2073"/>
      <c r="G24" s="2074" t="s">
        <v>1254</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1216</v>
      </c>
      <c r="B25" s="2047" t="s">
        <v>1255</v>
      </c>
      <c r="C25" s="2071">
        <f>ROUND(IF('数据-取费表'!B24&lt;=1,C20*F22*'数据-取费表'!B25/2,C20*(POWER((1+F22),'数据-取费表'!B25/2)-1)),0)</f>
        <v>185</v>
      </c>
      <c r="D25" s="2072"/>
      <c r="E25" s="2075"/>
      <c r="F25" s="2073"/>
      <c r="G25" s="2076" t="s">
        <v>1256</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1257</v>
      </c>
      <c r="B26" s="2047" t="s">
        <v>1258</v>
      </c>
      <c r="C26" s="2072">
        <f>ROUND(IF('数据-取费表'!B24&lt;=1,F21*F22*'数据-取费表'!B25/2,F21*(POWER((1+F22),'数据-取费表'!B25/2)-1)),4)</f>
        <v>5.0000000000000001E-4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1259</v>
      </c>
      <c r="B27" s="2079" t="s">
        <v>1260</v>
      </c>
      <c r="C27" s="2043">
        <f>C28</f>
        <v>78674</v>
      </c>
      <c r="D27" s="2068">
        <f>C29</f>
        <v>2E-3</v>
      </c>
      <c r="E27" s="2069" t="s">
        <v>1247</v>
      </c>
      <c r="F27" s="2064">
        <f>'数据-取费表'!E28</f>
        <v>0.2</v>
      </c>
      <c r="G27" s="2080" t="s">
        <v>1261</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1212</v>
      </c>
      <c r="B28" s="2081" t="s">
        <v>1262</v>
      </c>
      <c r="C28" s="2052">
        <f>ROUND((C5+C19+C20)*F27*'数据-取费表'!B23/'数据-取费表'!B22,0)</f>
        <v>78674</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1214</v>
      </c>
      <c r="B29" s="2081" t="s">
        <v>1263</v>
      </c>
      <c r="C29" s="2072">
        <f>ROUND(C21*F27*'数据-取费表'!B23/'数据-取费表'!B22,4)</f>
        <v>2E-3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1264</v>
      </c>
      <c r="B30" s="2042" t="s">
        <v>1265</v>
      </c>
      <c r="C30" s="2068">
        <f>ROUND(F30/(1+'数据-取费表'!F30),4)</f>
        <v>5.33E-2</v>
      </c>
      <c r="D30" s="2069" t="s">
        <v>1247</v>
      </c>
      <c r="E30" s="2075"/>
      <c r="F30" s="2066">
        <f>'数据-取费表'!E29</f>
        <v>5.6000000000000001E-2</v>
      </c>
      <c r="G30" s="2067" t="s">
        <v>1266</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1267</v>
      </c>
      <c r="C31" s="2043">
        <f>ROUND((C5+C19+C20+C22+C27)/(1-C21-D22-D27-C30),0)</f>
        <v>546038</v>
      </c>
      <c r="D31" s="2063"/>
      <c r="E31" s="2043"/>
      <c r="F31" s="2082"/>
      <c r="G31" s="2067" t="s">
        <v>1268</v>
      </c>
    </row>
    <row r="32" spans="1:123" s="2023" customFormat="1" ht="15.75">
      <c r="A32" s="2083" t="s">
        <v>1269</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1208</v>
      </c>
      <c r="B33" s="2042" t="s">
        <v>1270</v>
      </c>
      <c r="C33" s="2070">
        <f>SUM(C34:C38)</f>
        <v>173636</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1212</v>
      </c>
      <c r="B34" s="2047" t="s">
        <v>1271</v>
      </c>
      <c r="C34" s="2052">
        <f>IF(B1="仅计算典型户型",'数据-取费表'!F18,'数据-取费表'!E18)</f>
        <v>147775</v>
      </c>
      <c r="D34" s="2049"/>
      <c r="E34" s="2052"/>
      <c r="F34" s="2087" t="str">
        <f>IF('数据-取费表'!B26=0,"",'数据-取费表'!E20)</f>
        <v/>
      </c>
      <c r="G34" s="2051"/>
    </row>
    <row r="35" spans="1:123" ht="13.5" customHeight="1">
      <c r="A35" s="2046" t="s">
        <v>1214</v>
      </c>
      <c r="B35" s="2047" t="s">
        <v>1272</v>
      </c>
      <c r="C35" s="2052">
        <f>ROUND(C34*F35,0)</f>
        <v>4433</v>
      </c>
      <c r="D35" s="2052"/>
      <c r="E35" s="2052"/>
      <c r="F35" s="2088">
        <f>'数据-取费表'!E21</f>
        <v>0.03</v>
      </c>
      <c r="G35" s="2051" t="s">
        <v>1273</v>
      </c>
    </row>
    <row r="36" spans="1:123" ht="24">
      <c r="A36" s="2046" t="s">
        <v>1216</v>
      </c>
      <c r="B36" s="2047" t="s">
        <v>1274</v>
      </c>
      <c r="C36" s="2052">
        <f>ROUND(IF('数据-取费表'!B10="住宅",C34*F36,0),0)</f>
        <v>7389</v>
      </c>
      <c r="D36" s="2052"/>
      <c r="E36" s="2052"/>
      <c r="F36" s="2088">
        <f>'数据-取费表'!E22</f>
        <v>0.05</v>
      </c>
      <c r="G36" s="2089" t="s">
        <v>1275</v>
      </c>
    </row>
    <row r="37" spans="1:123" s="2026" customFormat="1" ht="13.5" customHeight="1">
      <c r="A37" s="2046" t="s">
        <v>1257</v>
      </c>
      <c r="B37" s="2047" t="s">
        <v>1276</v>
      </c>
      <c r="C37" s="2052">
        <f>ROUND(E37*D37,0)</f>
        <v>11822</v>
      </c>
      <c r="D37" s="2049">
        <f>IF(B1="仅计算典型户型",'数据-取费表'!E5,'数据-取费表'!B5)</f>
        <v>59.11</v>
      </c>
      <c r="E37" s="2052">
        <f>'数据-取费表'!E23</f>
        <v>200</v>
      </c>
      <c r="F37" s="2088"/>
      <c r="G37" s="2090" t="s">
        <v>1277</v>
      </c>
    </row>
    <row r="38" spans="1:123" ht="13.5" customHeight="1">
      <c r="A38" s="2046" t="s">
        <v>1278</v>
      </c>
      <c r="B38" s="2047" t="s">
        <v>761</v>
      </c>
      <c r="C38" s="2052">
        <f>ROUND(C34*F38,0)</f>
        <v>2217</v>
      </c>
      <c r="D38" s="2052"/>
      <c r="E38" s="2052"/>
      <c r="F38" s="2088">
        <f>'数据-取费表'!E24</f>
        <v>1.4999999999999999E-2</v>
      </c>
      <c r="G38" s="2051" t="s">
        <v>1273</v>
      </c>
    </row>
    <row r="39" spans="1:123" s="2024" customFormat="1" ht="13.5" customHeight="1">
      <c r="A39" s="2041" t="s">
        <v>1239</v>
      </c>
      <c r="B39" s="2042" t="s">
        <v>1243</v>
      </c>
      <c r="C39" s="2065">
        <f>ROUND(C33*F20,0)</f>
        <v>1736</v>
      </c>
      <c r="D39" s="2065"/>
      <c r="E39" s="2065"/>
      <c r="F39" s="2091">
        <f>F20</f>
        <v>0.01</v>
      </c>
      <c r="G39" s="2067" t="s">
        <v>1279</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1242</v>
      </c>
      <c r="B40" s="2042" t="s">
        <v>1246</v>
      </c>
      <c r="C40" s="2092">
        <f>F21</f>
        <v>0.01</v>
      </c>
      <c r="D40" s="2069" t="s">
        <v>1280</v>
      </c>
      <c r="E40" s="2065"/>
      <c r="F40" s="2091">
        <f>F21</f>
        <v>0.01</v>
      </c>
      <c r="G40" s="2067" t="s">
        <v>1281</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1245</v>
      </c>
      <c r="B41" s="2042" t="s">
        <v>1250</v>
      </c>
      <c r="C41" s="2065">
        <f>ROUND(SUM(C42:C43),0)</f>
        <v>8330</v>
      </c>
      <c r="D41" s="2068">
        <f>C44</f>
        <v>5.0000000000000001E-4</v>
      </c>
      <c r="E41" s="2069" t="s">
        <v>1280</v>
      </c>
      <c r="F41" s="2091">
        <f>F22</f>
        <v>4.7500000000000001E-2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1212</v>
      </c>
      <c r="B42" s="2047" t="s">
        <v>1251</v>
      </c>
      <c r="C42" s="2072">
        <f>ROUND(IF('数据-取费表'!B24&lt;=1,C33*F22*'数据-取费表'!B23/2,C33*(POWER((1+F22),'数据-取费表'!B23/2)-1)),0)</f>
        <v>8248</v>
      </c>
      <c r="D42" s="2072"/>
      <c r="E42" s="2072"/>
      <c r="F42" s="2073"/>
      <c r="G42" s="3594" t="s">
        <v>1282</v>
      </c>
    </row>
    <row r="43" spans="1:123" ht="13.5" customHeight="1">
      <c r="A43" s="2046" t="s">
        <v>1214</v>
      </c>
      <c r="B43" s="2047" t="s">
        <v>1253</v>
      </c>
      <c r="C43" s="2072">
        <f>ROUND(IF('数据-取费表'!B24&lt;=1,C39*F22*'数据-取费表'!B23/2,C39*(POWER((1+F22),'数据-取费表'!B23/2)-1)),0)</f>
        <v>82</v>
      </c>
      <c r="D43" s="2072"/>
      <c r="E43" s="2072"/>
      <c r="F43" s="2073"/>
      <c r="G43" s="3595"/>
    </row>
    <row r="44" spans="1:123" ht="13.5" customHeight="1">
      <c r="A44" s="2046" t="s">
        <v>1216</v>
      </c>
      <c r="B44" s="2047" t="s">
        <v>1255</v>
      </c>
      <c r="C44" s="2072">
        <f>ROUND(IF('数据-取费表'!B24&lt;=1,C40*F22*'数据-取费表'!B23/2,C40*(POWER((1+F22),'数据-取费表'!B23/2)-1)),4)</f>
        <v>5.0000000000000001E-4</v>
      </c>
      <c r="D44" s="2072"/>
      <c r="E44" s="2072"/>
      <c r="F44" s="2073"/>
      <c r="G44" s="3596"/>
    </row>
    <row r="45" spans="1:123" s="2024" customFormat="1" ht="13.5" customHeight="1">
      <c r="A45" s="2041" t="s">
        <v>1249</v>
      </c>
      <c r="B45" s="2079" t="s">
        <v>1260</v>
      </c>
      <c r="C45" s="2043">
        <f>C46</f>
        <v>35074</v>
      </c>
      <c r="D45" s="2068">
        <f>C47</f>
        <v>2E-3</v>
      </c>
      <c r="E45" s="2069" t="s">
        <v>1280</v>
      </c>
      <c r="F45" s="2093">
        <f>F27</f>
        <v>0.2</v>
      </c>
      <c r="G45" s="2080" t="s">
        <v>1283</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1212</v>
      </c>
      <c r="B46" s="2081" t="s">
        <v>1284</v>
      </c>
      <c r="C46" s="2052">
        <f>ROUND((C33+C39)*F27,0)</f>
        <v>35074</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1214</v>
      </c>
      <c r="B47" s="2081" t="s">
        <v>1285</v>
      </c>
      <c r="C47" s="2072">
        <f>ROUND(C40*F27,4)</f>
        <v>2E-3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1259</v>
      </c>
      <c r="B48" s="2042" t="s">
        <v>1265</v>
      </c>
      <c r="C48" s="2092">
        <f>ROUND(F30/(1+'数据-取费表'!F30),4)</f>
        <v>5.33E-2</v>
      </c>
      <c r="D48" s="2069" t="s">
        <v>1280</v>
      </c>
      <c r="E48" s="2065"/>
      <c r="F48" s="2091">
        <f>F30</f>
        <v>5.6000000000000001E-2</v>
      </c>
      <c r="G48" s="2067" t="s">
        <v>1286</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1264</v>
      </c>
      <c r="B49" s="2042" t="s">
        <v>1287</v>
      </c>
      <c r="C49" s="2065">
        <f>ROUND((C33+C39+C41+C45)/(1-C40-D41-D45-C48),0)</f>
        <v>234185</v>
      </c>
      <c r="D49" s="2065"/>
      <c r="E49" s="2065"/>
      <c r="F49" s="2095"/>
      <c r="G49" s="2067" t="s">
        <v>1288</v>
      </c>
    </row>
    <row r="50" spans="1:123" s="2026" customFormat="1" ht="24">
      <c r="A50" s="2078" t="s">
        <v>1289</v>
      </c>
      <c r="B50" s="2042" t="s">
        <v>1290</v>
      </c>
      <c r="C50" s="2065"/>
      <c r="D50" s="2065"/>
      <c r="E50" s="2065"/>
      <c r="F50" s="2095">
        <f>IF('数据-取费表'!B26=0,'数据-取费表'!E20,1)</f>
        <v>0.6</v>
      </c>
      <c r="G50" s="2080" t="s">
        <v>1291</v>
      </c>
    </row>
    <row r="51" spans="1:123" ht="16.5" customHeight="1">
      <c r="A51" s="2078" t="s">
        <v>1292</v>
      </c>
      <c r="B51" s="2042" t="s">
        <v>1293</v>
      </c>
      <c r="C51" s="2065">
        <f>ROUND(C49*F50,0)</f>
        <v>140511</v>
      </c>
      <c r="D51" s="2065"/>
      <c r="E51" s="2065"/>
      <c r="F51" s="2095"/>
      <c r="G51" s="2067" t="s">
        <v>1294</v>
      </c>
    </row>
    <row r="52" spans="1:123" s="2023" customFormat="1" ht="15.75">
      <c r="A52" s="2096" t="s">
        <v>1295</v>
      </c>
      <c r="B52" s="2097"/>
      <c r="C52" s="2098">
        <f>C31+C51</f>
        <v>686549</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1296</v>
      </c>
      <c r="C55" s="2101"/>
    </row>
    <row r="56" spans="1:123">
      <c r="B56" s="2102" t="s">
        <v>1101</v>
      </c>
      <c r="C56" s="2103">
        <f>ROUND(C51/C52,3)</f>
        <v>0.20499999999999999</v>
      </c>
    </row>
    <row r="57" spans="1:123">
      <c r="B57" s="2102" t="s">
        <v>1102</v>
      </c>
      <c r="C57" s="2104">
        <f>1-C56</f>
        <v>0.79500000000000004</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1297</v>
      </c>
      <c r="B1" s="1935"/>
      <c r="C1" s="1936" t="s">
        <v>1298</v>
      </c>
      <c r="D1" s="1937"/>
      <c r="E1" s="1938"/>
      <c r="F1" s="1938"/>
      <c r="G1" s="1938"/>
      <c r="H1" s="1938"/>
      <c r="I1" s="1938"/>
      <c r="J1" s="1938"/>
      <c r="K1" s="1938"/>
    </row>
    <row r="2" spans="1:33" s="1920" customFormat="1" ht="18" customHeight="1">
      <c r="A2" s="692" t="s">
        <v>870</v>
      </c>
      <c r="B2" s="1939">
        <f>IF(C2="元",C32,ROUND(C32/10000,0))</f>
        <v>0</v>
      </c>
      <c r="C2" s="1940" t="str">
        <f>'数据-取费表'!B3</f>
        <v>元</v>
      </c>
      <c r="D2" s="1938"/>
      <c r="E2" s="1938"/>
      <c r="F2" s="1938"/>
      <c r="G2" s="1938"/>
      <c r="H2" s="1938"/>
      <c r="I2" s="1938"/>
      <c r="J2" s="1938"/>
      <c r="K2" s="1938"/>
    </row>
    <row r="3" spans="1:33" s="1920" customFormat="1" ht="18" customHeight="1">
      <c r="A3" s="697" t="s">
        <v>871</v>
      </c>
      <c r="B3" s="1939" t="e">
        <f>ROUND(C32/IF(C1="仅计算典型户型",'数据-取费表'!E5,'数据-取费表'!B5),0)</f>
        <v>#DIV/0!</v>
      </c>
      <c r="C3" s="1940" t="s">
        <v>1299</v>
      </c>
      <c r="D3" s="1938"/>
      <c r="E3" s="1938"/>
      <c r="F3" s="1938"/>
      <c r="G3" s="1938"/>
      <c r="H3" s="1938"/>
      <c r="I3" s="1938"/>
      <c r="J3" s="1938"/>
      <c r="K3" s="1938"/>
    </row>
    <row r="4" spans="1:33" s="1921" customFormat="1" ht="16.5" customHeight="1">
      <c r="A4" s="1941" t="s">
        <v>1300</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1301</v>
      </c>
      <c r="B5" s="1945" t="s">
        <v>1302</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997</v>
      </c>
      <c r="B6" s="1948" t="s">
        <v>814</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1005</v>
      </c>
      <c r="B7" s="1948" t="s">
        <v>357</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1013</v>
      </c>
      <c r="B8" s="1948" t="s">
        <v>1303</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1304</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1301</v>
      </c>
      <c r="B10" s="1956" t="s">
        <v>1302</v>
      </c>
      <c r="C10" s="1957" t="s">
        <v>1305</v>
      </c>
      <c r="D10" s="1958" t="s">
        <v>1306</v>
      </c>
      <c r="E10" s="1958" t="s">
        <v>1307</v>
      </c>
      <c r="F10" s="1958" t="s">
        <v>1308</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1111</v>
      </c>
      <c r="B11" s="1961" t="s">
        <v>1309</v>
      </c>
      <c r="C11" s="1962">
        <f>IF(C1="仅计算典型户型",'数据-取费表'!F18,'数据-取费表'!E18)</f>
        <v>0</v>
      </c>
      <c r="D11" s="1963"/>
      <c r="E11" s="1614"/>
      <c r="F11" s="1964">
        <f>1-'数据-取费表'!E20</f>
        <v>0.4</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1114</v>
      </c>
      <c r="B12" s="1961" t="s">
        <v>1023</v>
      </c>
      <c r="C12" s="1657">
        <f>ROUND(C11*F12,0)</f>
        <v>0</v>
      </c>
      <c r="D12" s="1963"/>
      <c r="E12" s="1614"/>
      <c r="F12" s="1965">
        <f>'数据-取费表'!E21</f>
        <v>0.03</v>
      </c>
      <c r="G12" s="1956" t="s">
        <v>1310</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1141</v>
      </c>
      <c r="B13" s="1961" t="s">
        <v>1027</v>
      </c>
      <c r="C13" s="1657">
        <f>ROUND(IF('数据-取费表'!B10="住宅",C11*F13,0),0)</f>
        <v>0</v>
      </c>
      <c r="D13" s="1963"/>
      <c r="E13" s="1614"/>
      <c r="F13" s="1965">
        <f>'数据-取费表'!E22</f>
        <v>0.05</v>
      </c>
      <c r="G13" s="1956" t="s">
        <v>1311</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1312</v>
      </c>
      <c r="B14" s="1961" t="s">
        <v>1313</v>
      </c>
      <c r="C14" s="1657">
        <f>ROUND(D14*E14*F11,0)</f>
        <v>0</v>
      </c>
      <c r="D14" s="1963">
        <f>IF(C1="仅计算典型户型",'数据-取费表'!E5,'数据-取费表'!B5)</f>
        <v>0</v>
      </c>
      <c r="E14" s="1657">
        <f>'数据-取费表'!E23</f>
        <v>200</v>
      </c>
      <c r="F14" s="1965"/>
      <c r="G14" s="1956" t="s">
        <v>1314</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1315</v>
      </c>
      <c r="B15" s="1961" t="s">
        <v>1038</v>
      </c>
      <c r="C15" s="1966">
        <f>ROUND(C11*F15,0)</f>
        <v>0</v>
      </c>
      <c r="D15" s="1967"/>
      <c r="E15" s="1966"/>
      <c r="F15" s="1968">
        <f>'数据-取费表'!E24</f>
        <v>1.4999999999999999E-2</v>
      </c>
      <c r="G15" s="1948" t="s">
        <v>1316</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1018</v>
      </c>
      <c r="B16" s="1961" t="s">
        <v>1317</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1022</v>
      </c>
      <c r="B17" s="1961" t="s">
        <v>1318</v>
      </c>
      <c r="C17" s="1657">
        <f>ROUND(D17*E17,0)</f>
        <v>0</v>
      </c>
      <c r="D17" s="1963">
        <f>IF(C1="仅计算典型户型",'数据-取费表'!E5,'数据-取费表'!B5)</f>
        <v>0</v>
      </c>
      <c r="E17" s="1657">
        <f>'数据-取费表'!E16</f>
        <v>0</v>
      </c>
      <c r="F17" s="1967"/>
      <c r="G17" s="1948" t="s">
        <v>1319</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1026</v>
      </c>
      <c r="B18" s="1961" t="s">
        <v>1320</v>
      </c>
      <c r="C18" s="1657">
        <f>C19+C20-'数据-取费表'!E13</f>
        <v>0</v>
      </c>
      <c r="D18" s="1963"/>
      <c r="E18" s="1657"/>
      <c r="F18" s="1965"/>
      <c r="G18" s="1948" t="s">
        <v>1321</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1111</v>
      </c>
      <c r="B19" s="1961" t="s">
        <v>1322</v>
      </c>
      <c r="C19" s="1657">
        <f>ROUND(D19*E19,0)</f>
        <v>0</v>
      </c>
      <c r="D19" s="1963">
        <f>IF('数据-取费表'!B10="住宅",IF(C1="仅计算典型户型",'数据-取费表'!E5,'数据-取费表'!B5),0)</f>
        <v>0</v>
      </c>
      <c r="E19" s="1657">
        <f>'数据-取费表'!E11</f>
        <v>160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1114</v>
      </c>
      <c r="B20" s="1961" t="s">
        <v>1323</v>
      </c>
      <c r="C20" s="1657">
        <f>ROUND(D20*E20,0)</f>
        <v>0</v>
      </c>
      <c r="D20" s="1963">
        <f>IF('数据-取费表'!B10&lt;&gt;"住宅",IF(C1="仅计算典型户型",'数据-取费表'!E5,'数据-取费表'!B5),0)</f>
        <v>0</v>
      </c>
      <c r="E20" s="1657">
        <f>'数据-取费表'!E12</f>
        <v>200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997</v>
      </c>
      <c r="B21" s="1972" t="s">
        <v>1324</v>
      </c>
      <c r="C21" s="1973">
        <f>C16+C17+C18</f>
        <v>0</v>
      </c>
      <c r="D21" s="1974"/>
      <c r="E21" s="1975"/>
      <c r="F21" s="1975"/>
      <c r="G21" s="1948" t="s">
        <v>1325</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1005</v>
      </c>
      <c r="B22" s="1972" t="s">
        <v>1326</v>
      </c>
      <c r="C22" s="1973">
        <f>ROUND(C21*F22,0)</f>
        <v>0</v>
      </c>
      <c r="D22" s="1975"/>
      <c r="E22" s="1975"/>
      <c r="F22" s="1976">
        <f>'数据-取费表'!E25</f>
        <v>0.01</v>
      </c>
      <c r="G22" s="1956" t="s">
        <v>1327</v>
      </c>
      <c r="H22" s="1959"/>
      <c r="I22" s="1959"/>
      <c r="J22" s="1959"/>
      <c r="K22" s="2014"/>
      <c r="L22" s="1927"/>
      <c r="M22" s="1927"/>
      <c r="N22" s="1927"/>
    </row>
    <row r="23" spans="1:33" s="1925" customFormat="1" ht="13.5" customHeight="1">
      <c r="A23" s="1947" t="s">
        <v>1013</v>
      </c>
      <c r="B23" s="1972" t="s">
        <v>1328</v>
      </c>
      <c r="C23" s="1973">
        <f>ROUND(C4*F23*F11,0)</f>
        <v>0</v>
      </c>
      <c r="D23" s="1975"/>
      <c r="E23" s="1975"/>
      <c r="F23" s="1976">
        <f>'数据-取费表'!E26</f>
        <v>0.01</v>
      </c>
      <c r="G23" s="1956" t="s">
        <v>1329</v>
      </c>
      <c r="H23" s="1959"/>
      <c r="I23" s="1959"/>
      <c r="J23" s="1959"/>
      <c r="K23" s="2014"/>
    </row>
    <row r="24" spans="1:33" s="1925" customFormat="1" ht="13.5" customHeight="1">
      <c r="A24" s="1947" t="s">
        <v>1053</v>
      </c>
      <c r="B24" s="1972" t="s">
        <v>1330</v>
      </c>
      <c r="C24" s="1977">
        <f>ROUND(F24/(1+'数据-取费表'!F30),4)</f>
        <v>2.9000000000000001E-2</v>
      </c>
      <c r="D24" s="1978" t="s">
        <v>1331</v>
      </c>
      <c r="E24" s="1978"/>
      <c r="F24" s="1976">
        <f>'数据-取费表'!E36+'数据-取费表'!E37</f>
        <v>3.0499999999999999E-2</v>
      </c>
      <c r="G24" s="1956" t="s">
        <v>1332</v>
      </c>
      <c r="H24" s="1979"/>
      <c r="I24" s="1979"/>
      <c r="J24" s="1979"/>
      <c r="K24" s="2019"/>
    </row>
    <row r="25" spans="1:33" s="1927" customFormat="1" ht="13.5" customHeight="1">
      <c r="A25" s="1947" t="s">
        <v>1064</v>
      </c>
      <c r="B25" s="1974" t="s">
        <v>1333</v>
      </c>
      <c r="C25" s="1980">
        <f>C27</f>
        <v>0</v>
      </c>
      <c r="D25" s="1977">
        <f>C26</f>
        <v>0</v>
      </c>
      <c r="E25" s="1981" t="s">
        <v>1331</v>
      </c>
      <c r="F25" s="1982">
        <f>'数据-取费表'!E27</f>
        <v>4.7500000000000001E-2</v>
      </c>
      <c r="G25" s="1948" t="s">
        <v>1334</v>
      </c>
      <c r="H25" s="1979"/>
      <c r="I25" s="1979"/>
      <c r="J25" s="1979"/>
      <c r="K25" s="2019"/>
    </row>
    <row r="26" spans="1:33" s="1928" customFormat="1" ht="13.5" customHeight="1">
      <c r="A26" s="1960" t="s">
        <v>1018</v>
      </c>
      <c r="B26" s="1983" t="s">
        <v>1335</v>
      </c>
      <c r="C26" s="1984">
        <f>ROUND(IF('数据-取费表'!B24&lt;=1,(1+C24)*F25*'数据-取费表'!B26,(1+C24)*(POWER((1+F25),'数据-取费表'!B26)-1)),4)</f>
        <v>0</v>
      </c>
      <c r="D26" s="1985"/>
      <c r="E26" s="1986"/>
      <c r="F26" s="1987"/>
      <c r="G26" s="1948"/>
      <c r="H26" s="1969"/>
      <c r="I26" s="1969"/>
      <c r="J26" s="1969"/>
      <c r="K26" s="2017"/>
    </row>
    <row r="27" spans="1:33" s="1928" customFormat="1" ht="13.5" customHeight="1">
      <c r="A27" s="1960" t="s">
        <v>1022</v>
      </c>
      <c r="B27" s="1983" t="s">
        <v>1336</v>
      </c>
      <c r="C27" s="1988">
        <f>ROUND(IF('数据-取费表'!B24&lt;=1,(C21+C22+C23)*F25*'数据-取费表'!B26/2,(C21+C22+C23)*(POWER((1+F25),'数据-取费表'!B26/2)-1)),0)</f>
        <v>0</v>
      </c>
      <c r="D27" s="1985"/>
      <c r="E27" s="1986"/>
      <c r="F27" s="1987"/>
      <c r="G27" s="1948" t="s">
        <v>1337</v>
      </c>
      <c r="H27" s="1969"/>
      <c r="I27" s="1969"/>
      <c r="J27" s="1969"/>
      <c r="K27" s="2017"/>
    </row>
    <row r="28" spans="1:33" s="1929" customFormat="1" ht="13.5" customHeight="1">
      <c r="A28" s="1947" t="s">
        <v>1079</v>
      </c>
      <c r="B28" s="1989" t="s">
        <v>1338</v>
      </c>
      <c r="C28" s="1990">
        <f>C30</f>
        <v>0</v>
      </c>
      <c r="D28" s="1977">
        <f>C29</f>
        <v>0.20580000000000001</v>
      </c>
      <c r="E28" s="1981" t="s">
        <v>1331</v>
      </c>
      <c r="F28" s="904">
        <f>'数据-取费表'!E28</f>
        <v>0.2</v>
      </c>
      <c r="G28" s="1991"/>
      <c r="H28" s="1979"/>
      <c r="I28" s="1979"/>
      <c r="J28" s="1979"/>
      <c r="K28" s="2019"/>
    </row>
    <row r="29" spans="1:33" s="1930" customFormat="1" ht="13.5" customHeight="1">
      <c r="A29" s="1960" t="s">
        <v>1018</v>
      </c>
      <c r="B29" s="1992" t="s">
        <v>1339</v>
      </c>
      <c r="C29" s="1985">
        <f>ROUND((1+C24)*F28,4)</f>
        <v>0.20580000000000001</v>
      </c>
      <c r="D29" s="1985"/>
      <c r="E29" s="1986"/>
      <c r="F29" s="1993"/>
      <c r="G29" s="1948" t="s">
        <v>1340</v>
      </c>
      <c r="H29" s="1969"/>
      <c r="I29" s="1969"/>
      <c r="J29" s="1969"/>
      <c r="K29" s="2017"/>
    </row>
    <row r="30" spans="1:33" s="1930" customFormat="1" ht="13.5" customHeight="1">
      <c r="A30" s="1960" t="s">
        <v>1022</v>
      </c>
      <c r="B30" s="1992" t="s">
        <v>1341</v>
      </c>
      <c r="C30" s="1994">
        <f>ROUND((C21+C22+C23)*F28,0)</f>
        <v>0</v>
      </c>
      <c r="D30" s="1985"/>
      <c r="E30" s="1995"/>
      <c r="F30" s="1993"/>
      <c r="G30" s="1948"/>
      <c r="H30" s="1969"/>
      <c r="I30" s="1969"/>
      <c r="J30" s="1969"/>
      <c r="K30" s="2017"/>
    </row>
    <row r="31" spans="1:33" s="1927" customFormat="1" ht="13.5" customHeight="1">
      <c r="A31" s="1996" t="s">
        <v>1083</v>
      </c>
      <c r="B31" s="1972" t="s">
        <v>1342</v>
      </c>
      <c r="C31" s="1997">
        <f>ROUND(C4*F31/(1+'数据-取费表'!F30),0)</f>
        <v>0</v>
      </c>
      <c r="D31" s="1998"/>
      <c r="E31" s="1999"/>
      <c r="F31" s="2000">
        <f>'数据-取费表'!E29</f>
        <v>5.6000000000000001E-2</v>
      </c>
      <c r="G31" s="2001" t="s">
        <v>1343</v>
      </c>
      <c r="H31" s="2002"/>
      <c r="I31" s="2002"/>
      <c r="J31" s="2002"/>
      <c r="K31" s="2020"/>
    </row>
    <row r="32" spans="1:33" s="1924" customFormat="1" ht="13.5" customHeight="1">
      <c r="A32" s="2003" t="s">
        <v>1344</v>
      </c>
      <c r="B32" s="2004"/>
      <c r="C32" s="2005">
        <f>ROUND((C4-C21-C22-C23-C25-C28-C31)/(1+C24+D25+D28),0)</f>
        <v>0</v>
      </c>
      <c r="D32" s="2004"/>
      <c r="E32" s="2004"/>
      <c r="F32" s="2004"/>
      <c r="G32" s="2006" t="s">
        <v>1345</v>
      </c>
      <c r="H32" s="2004"/>
      <c r="I32" s="2004"/>
      <c r="J32" s="2004"/>
      <c r="K32" s="2021"/>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1346</v>
      </c>
      <c r="B1" s="1746"/>
      <c r="C1" s="1747"/>
      <c r="D1" s="1747"/>
      <c r="E1" s="1748"/>
      <c r="F1" s="1749"/>
      <c r="G1" s="1750"/>
      <c r="J1" s="1852" t="s">
        <v>1347</v>
      </c>
      <c r="K1" s="1853"/>
      <c r="L1" s="1853"/>
      <c r="M1" s="1853"/>
      <c r="N1" s="1853"/>
      <c r="O1" s="1853"/>
      <c r="P1" s="1853"/>
      <c r="Q1" s="1853"/>
      <c r="R1" s="1896"/>
      <c r="S1" s="1897"/>
      <c r="T1" s="1897"/>
      <c r="U1" s="1897"/>
    </row>
    <row r="2" spans="1:23" s="1738" customFormat="1" ht="13.15" customHeight="1">
      <c r="A2" s="1751" t="s">
        <v>1348</v>
      </c>
      <c r="B2" s="1752" t="e">
        <f>C40</f>
        <v>#DIV/0!</v>
      </c>
      <c r="C2" s="1747" t="s">
        <v>1349</v>
      </c>
      <c r="D2" s="1747"/>
      <c r="E2" s="1753"/>
      <c r="F2" s="1754"/>
      <c r="G2" s="1755"/>
      <c r="H2" s="1756"/>
      <c r="I2" s="1854"/>
      <c r="J2" s="3609" t="s">
        <v>1350</v>
      </c>
      <c r="K2" s="3610"/>
      <c r="L2" s="1855" t="s">
        <v>1351</v>
      </c>
      <c r="M2" s="1855" t="s">
        <v>1352</v>
      </c>
      <c r="N2" s="1855" t="s">
        <v>1353</v>
      </c>
      <c r="O2" s="1855" t="s">
        <v>1354</v>
      </c>
      <c r="P2" s="1855" t="s">
        <v>1355</v>
      </c>
      <c r="Q2" s="1898" t="s">
        <v>1356</v>
      </c>
      <c r="R2" s="1899" t="s">
        <v>1357</v>
      </c>
      <c r="S2" s="1897"/>
      <c r="T2" s="1897"/>
      <c r="U2" s="1897"/>
      <c r="V2" s="1854"/>
      <c r="W2" s="1756"/>
    </row>
    <row r="3" spans="1:23" s="1738" customFormat="1" ht="13.15" customHeight="1">
      <c r="A3" s="1757" t="s">
        <v>1358</v>
      </c>
      <c r="B3" s="1758" t="e">
        <f>ROUND(B2*10000/B4,0)</f>
        <v>#DIV/0!</v>
      </c>
      <c r="C3" s="1747" t="s">
        <v>1359</v>
      </c>
      <c r="D3" s="1747"/>
      <c r="E3" s="1753"/>
      <c r="F3" s="1754"/>
      <c r="G3" s="1755"/>
      <c r="H3" s="1756"/>
      <c r="I3" s="1854"/>
      <c r="J3" s="3603" t="s">
        <v>1360</v>
      </c>
      <c r="K3" s="3604"/>
      <c r="L3" s="1856"/>
      <c r="M3" s="1856"/>
      <c r="N3" s="1856"/>
      <c r="O3" s="1856"/>
      <c r="P3" s="1856"/>
      <c r="Q3" s="1900"/>
      <c r="R3" s="1901">
        <f>SUM(L3:Q3)</f>
        <v>0</v>
      </c>
      <c r="S3" s="1897"/>
      <c r="T3" s="1897"/>
      <c r="U3" s="1897"/>
      <c r="V3" s="1854"/>
      <c r="W3" s="1756"/>
    </row>
    <row r="4" spans="1:23" s="1738" customFormat="1" ht="13.15" customHeight="1">
      <c r="A4" s="1759" t="s">
        <v>430</v>
      </c>
      <c r="B4" s="1760"/>
      <c r="C4" s="1747"/>
      <c r="D4" s="1747"/>
      <c r="E4" s="1753"/>
      <c r="F4" s="1754"/>
      <c r="G4" s="1755"/>
      <c r="H4" s="1756"/>
      <c r="I4" s="1854"/>
      <c r="J4" s="3603" t="s">
        <v>1361</v>
      </c>
      <c r="K4" s="3604"/>
      <c r="L4" s="1857"/>
      <c r="M4" s="1857"/>
      <c r="N4" s="1857"/>
      <c r="O4" s="1857"/>
      <c r="P4" s="1857"/>
      <c r="Q4" s="1902"/>
      <c r="R4" s="1903">
        <f>SUM(L4:Q4)</f>
        <v>0</v>
      </c>
      <c r="S4" s="1897"/>
      <c r="T4" s="1897"/>
      <c r="U4" s="1897"/>
      <c r="V4" s="1854"/>
      <c r="W4" s="1756"/>
    </row>
    <row r="5" spans="1:23" s="1738" customFormat="1" ht="13.15" customHeight="1">
      <c r="A5" s="1761" t="s">
        <v>1362</v>
      </c>
      <c r="B5" s="1762"/>
      <c r="C5" s="1747"/>
      <c r="D5" s="1763"/>
      <c r="E5" s="1754"/>
      <c r="F5" s="1754"/>
      <c r="G5" s="1755"/>
      <c r="H5" s="1756"/>
      <c r="I5" s="1854"/>
      <c r="J5" s="1858" t="s">
        <v>1363</v>
      </c>
      <c r="K5" s="1859"/>
      <c r="L5" s="1859"/>
      <c r="M5" s="1860"/>
      <c r="N5" s="1860"/>
      <c r="O5" s="1860"/>
      <c r="P5" s="1860"/>
      <c r="Q5" s="1860"/>
      <c r="R5" s="1899">
        <f>SUM(R14,R19,R24,R25,R27,R28)</f>
        <v>0</v>
      </c>
      <c r="S5" s="1897"/>
      <c r="T5" s="1897" t="s">
        <v>1364</v>
      </c>
      <c r="U5" s="1897" t="e">
        <f>ROUND(R5*10000/365/R3,1)</f>
        <v>#DIV/0!</v>
      </c>
      <c r="V5" s="1854"/>
      <c r="W5" s="1756"/>
    </row>
    <row r="6" spans="1:23" s="1738" customFormat="1" ht="13.15" customHeight="1">
      <c r="A6" s="3613" t="s">
        <v>1365</v>
      </c>
      <c r="B6" s="3614"/>
      <c r="C6" s="3615"/>
      <c r="D6" s="1764"/>
      <c r="E6" s="1765"/>
      <c r="F6" s="1766"/>
      <c r="G6" s="1767"/>
      <c r="H6" s="1756"/>
      <c r="I6" s="1854"/>
      <c r="J6" s="3597">
        <v>1</v>
      </c>
      <c r="K6" s="3600" t="s">
        <v>1366</v>
      </c>
      <c r="L6" s="1862" t="s">
        <v>1367</v>
      </c>
      <c r="M6" s="1863" t="s">
        <v>1368</v>
      </c>
      <c r="N6" s="1863" t="s">
        <v>1369</v>
      </c>
      <c r="O6" s="1863" t="s">
        <v>1370</v>
      </c>
      <c r="P6" s="1863" t="s">
        <v>1371</v>
      </c>
      <c r="Q6" s="1863" t="s">
        <v>1372</v>
      </c>
      <c r="R6" s="1901" t="s">
        <v>1373</v>
      </c>
      <c r="S6" s="1897"/>
      <c r="T6" s="1897" t="s">
        <v>1374</v>
      </c>
      <c r="U6" s="1897"/>
      <c r="V6" s="1854"/>
      <c r="W6" s="1756"/>
    </row>
    <row r="7" spans="1:23" s="1738" customFormat="1" ht="13.15" customHeight="1">
      <c r="A7" s="1768" t="s">
        <v>1375</v>
      </c>
      <c r="B7" s="1769"/>
      <c r="C7" s="1770"/>
      <c r="D7" s="1771">
        <f>SUM(D9,D10,D11,D17,0)</f>
        <v>0</v>
      </c>
      <c r="E7" s="1772" t="e">
        <f>E9+E10+E11+E17</f>
        <v>#DIV/0!</v>
      </c>
      <c r="F7" s="1773"/>
      <c r="G7" s="1774"/>
      <c r="H7" s="1756"/>
      <c r="I7" s="1854"/>
      <c r="J7" s="3597"/>
      <c r="K7" s="3601"/>
      <c r="L7" s="1864" t="s">
        <v>1376</v>
      </c>
      <c r="M7" s="1865"/>
      <c r="N7" s="1865"/>
      <c r="O7" s="1866"/>
      <c r="P7" s="1866"/>
      <c r="Q7" s="1873">
        <v>365</v>
      </c>
      <c r="R7" s="1904">
        <f>ROUND(M7*N7*O7*P7*Q7/10000,0)</f>
        <v>0</v>
      </c>
      <c r="S7" s="1897"/>
      <c r="T7" s="1897" t="s">
        <v>1377</v>
      </c>
      <c r="U7" s="1897"/>
      <c r="V7" s="1854"/>
      <c r="W7" s="1756"/>
    </row>
    <row r="8" spans="1:23" s="1738" customFormat="1" ht="13.15" customHeight="1">
      <c r="A8" s="1775" t="s">
        <v>1378</v>
      </c>
      <c r="B8" s="3611" t="s">
        <v>1379</v>
      </c>
      <c r="C8" s="3612"/>
      <c r="D8" s="1778" t="s">
        <v>1380</v>
      </c>
      <c r="E8" s="1779" t="s">
        <v>1381</v>
      </c>
      <c r="F8" s="1780" t="s">
        <v>1382</v>
      </c>
      <c r="G8" s="1781" t="s">
        <v>1383</v>
      </c>
      <c r="H8" s="1756"/>
      <c r="I8" s="1854"/>
      <c r="J8" s="3597"/>
      <c r="K8" s="3601"/>
      <c r="L8" s="1864" t="s">
        <v>1384</v>
      </c>
      <c r="M8" s="1865"/>
      <c r="N8" s="1865"/>
      <c r="O8" s="1866"/>
      <c r="P8" s="1866"/>
      <c r="Q8" s="1873">
        <v>365</v>
      </c>
      <c r="R8" s="1904">
        <f t="shared" ref="R8:R13" si="0">ROUND(M8*N8*O8*P8*Q8/10000,0)</f>
        <v>0</v>
      </c>
      <c r="S8" s="1897"/>
      <c r="T8" s="1897" t="s">
        <v>1385</v>
      </c>
      <c r="U8" s="1897"/>
      <c r="V8" s="1854"/>
      <c r="W8" s="1756"/>
    </row>
    <row r="9" spans="1:23" s="1738" customFormat="1" ht="13.15" customHeight="1">
      <c r="A9" s="1775">
        <v>1</v>
      </c>
      <c r="B9" s="3611" t="s">
        <v>1386</v>
      </c>
      <c r="C9" s="3612"/>
      <c r="D9" s="1778">
        <f>ROUND(D6*E9,0)</f>
        <v>0</v>
      </c>
      <c r="E9" s="1782"/>
      <c r="F9" s="1783" t="s">
        <v>1387</v>
      </c>
      <c r="G9" s="1784" t="s">
        <v>1388</v>
      </c>
      <c r="H9" s="1756"/>
      <c r="I9" s="1854"/>
      <c r="J9" s="3597"/>
      <c r="K9" s="3601"/>
      <c r="L9" s="1864" t="s">
        <v>1389</v>
      </c>
      <c r="M9" s="1865"/>
      <c r="N9" s="1865"/>
      <c r="O9" s="1866"/>
      <c r="P9" s="1866"/>
      <c r="Q9" s="1873">
        <v>365</v>
      </c>
      <c r="R9" s="1904">
        <f t="shared" si="0"/>
        <v>0</v>
      </c>
      <c r="S9" s="1897"/>
      <c r="T9" s="1897"/>
      <c r="U9" s="1897"/>
      <c r="V9" s="1854"/>
      <c r="W9" s="1756"/>
    </row>
    <row r="10" spans="1:23" s="1738" customFormat="1" ht="13.15" customHeight="1">
      <c r="A10" s="1775">
        <v>2</v>
      </c>
      <c r="B10" s="3611" t="s">
        <v>1390</v>
      </c>
      <c r="C10" s="3612"/>
      <c r="D10" s="1778">
        <f>ROUND(D6*E10,0)</f>
        <v>0</v>
      </c>
      <c r="E10" s="1782"/>
      <c r="F10" s="1783" t="s">
        <v>1391</v>
      </c>
      <c r="G10" s="1784" t="s">
        <v>1392</v>
      </c>
      <c r="H10" s="1756"/>
      <c r="I10" s="1854"/>
      <c r="J10" s="3597"/>
      <c r="K10" s="3601"/>
      <c r="L10" s="1864" t="s">
        <v>1393</v>
      </c>
      <c r="M10" s="1865"/>
      <c r="N10" s="1865"/>
      <c r="O10" s="1866"/>
      <c r="P10" s="1866"/>
      <c r="Q10" s="1873">
        <v>365</v>
      </c>
      <c r="R10" s="1904">
        <f t="shared" si="0"/>
        <v>0</v>
      </c>
      <c r="S10" s="1897"/>
      <c r="T10" s="1897"/>
      <c r="U10" s="1897"/>
      <c r="V10" s="1854"/>
      <c r="W10" s="1756"/>
    </row>
    <row r="11" spans="1:23" s="1738" customFormat="1" ht="13.15" customHeight="1">
      <c r="A11" s="1775">
        <v>3</v>
      </c>
      <c r="B11" s="3611" t="s">
        <v>1394</v>
      </c>
      <c r="C11" s="3612"/>
      <c r="D11" s="1778">
        <f>D12+D14+D15+D16</f>
        <v>0</v>
      </c>
      <c r="E11" s="1785" t="e">
        <f>D11/D6</f>
        <v>#DIV/0!</v>
      </c>
      <c r="F11" s="1780"/>
      <c r="G11" s="1784"/>
      <c r="H11" s="1756"/>
      <c r="I11" s="1854"/>
      <c r="J11" s="3597"/>
      <c r="K11" s="3601"/>
      <c r="L11" s="1864" t="s">
        <v>1395</v>
      </c>
      <c r="M11" s="1865"/>
      <c r="N11" s="1865"/>
      <c r="O11" s="1866"/>
      <c r="P11" s="1866"/>
      <c r="Q11" s="1873">
        <v>365</v>
      </c>
      <c r="R11" s="1904">
        <f t="shared" si="0"/>
        <v>0</v>
      </c>
      <c r="S11" s="1897"/>
      <c r="T11" s="1897"/>
      <c r="U11" s="1897"/>
      <c r="V11" s="1854"/>
      <c r="W11" s="1756"/>
    </row>
    <row r="12" spans="1:23" s="1738" customFormat="1" ht="13.15" customHeight="1">
      <c r="A12" s="1786" t="s">
        <v>1396</v>
      </c>
      <c r="B12" s="3605" t="s">
        <v>1397</v>
      </c>
      <c r="C12" s="3606"/>
      <c r="D12" s="1789">
        <f>ROUND(D13*1.2%*(1-30%),0)</f>
        <v>0</v>
      </c>
      <c r="E12" s="1790">
        <v>1.2E-2</v>
      </c>
      <c r="F12" s="1780" t="s">
        <v>1398</v>
      </c>
      <c r="G12" s="1784"/>
      <c r="H12" s="1756"/>
      <c r="I12" s="1854"/>
      <c r="J12" s="3597"/>
      <c r="K12" s="3601"/>
      <c r="L12" s="1864" t="s">
        <v>1399</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1400</v>
      </c>
      <c r="D13" s="1792"/>
      <c r="E13" s="1793"/>
      <c r="F13" s="1780"/>
      <c r="G13" s="1784"/>
      <c r="H13" s="1756"/>
      <c r="I13" s="1854"/>
      <c r="J13" s="3597"/>
      <c r="K13" s="3601"/>
      <c r="L13" s="1864" t="s">
        <v>1401</v>
      </c>
      <c r="M13" s="1865"/>
      <c r="N13" s="1865"/>
      <c r="O13" s="1866"/>
      <c r="P13" s="1866"/>
      <c r="Q13" s="1873">
        <v>365</v>
      </c>
      <c r="R13" s="1904">
        <f t="shared" si="0"/>
        <v>0</v>
      </c>
      <c r="S13" s="1897"/>
      <c r="T13" s="1897"/>
      <c r="U13" s="1897"/>
      <c r="V13" s="1854"/>
      <c r="W13" s="1756"/>
    </row>
    <row r="14" spans="1:23" s="1738" customFormat="1" ht="13.15" customHeight="1">
      <c r="A14" s="1786" t="s">
        <v>1402</v>
      </c>
      <c r="B14" s="3605" t="s">
        <v>1403</v>
      </c>
      <c r="C14" s="3606"/>
      <c r="D14" s="1789">
        <f>ROUND(E14*B5/10000,0)</f>
        <v>0</v>
      </c>
      <c r="E14" s="1794"/>
      <c r="F14" s="1780" t="s">
        <v>1404</v>
      </c>
      <c r="G14" s="1784"/>
      <c r="H14" s="1756"/>
      <c r="I14" s="1854"/>
      <c r="J14" s="3597"/>
      <c r="K14" s="3602"/>
      <c r="L14" s="1867" t="s">
        <v>1405</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1406</v>
      </c>
      <c r="B15" s="3605" t="s">
        <v>1407</v>
      </c>
      <c r="C15" s="3606"/>
      <c r="D15" s="1789">
        <f>ROUND(D6*E15,0)</f>
        <v>0</v>
      </c>
      <c r="E15" s="1790">
        <v>5.5E-2</v>
      </c>
      <c r="F15" s="1780" t="s">
        <v>1408</v>
      </c>
      <c r="G15" s="1784"/>
      <c r="H15" s="1756"/>
      <c r="I15" s="1854"/>
      <c r="J15" s="3597">
        <v>2</v>
      </c>
      <c r="K15" s="3600" t="s">
        <v>1409</v>
      </c>
      <c r="L15" s="1870" t="s">
        <v>1410</v>
      </c>
      <c r="M15" s="1871" t="s">
        <v>1411</v>
      </c>
      <c r="N15" s="1871" t="s">
        <v>1412</v>
      </c>
      <c r="O15" s="1872" t="s">
        <v>1413</v>
      </c>
      <c r="P15" s="1872" t="s">
        <v>1372</v>
      </c>
      <c r="Q15" s="1760" t="s">
        <v>121</v>
      </c>
      <c r="R15" s="1906" t="s">
        <v>1373</v>
      </c>
      <c r="S15" s="1897"/>
      <c r="T15" s="1897"/>
      <c r="U15" s="1897"/>
      <c r="V15" s="1854"/>
      <c r="W15" s="1756"/>
    </row>
    <row r="16" spans="1:23" s="1738" customFormat="1" ht="13.15" customHeight="1">
      <c r="A16" s="1786" t="s">
        <v>1414</v>
      </c>
      <c r="B16" s="3605" t="s">
        <v>1415</v>
      </c>
      <c r="C16" s="3606"/>
      <c r="D16" s="1795">
        <f>D6*E16</f>
        <v>0</v>
      </c>
      <c r="E16" s="1796"/>
      <c r="F16" s="1783" t="s">
        <v>1416</v>
      </c>
      <c r="G16" s="1784"/>
      <c r="H16" s="1756"/>
      <c r="I16" s="1854"/>
      <c r="J16" s="3597"/>
      <c r="K16" s="3601"/>
      <c r="L16" s="1864" t="s">
        <v>1417</v>
      </c>
      <c r="M16" s="1865"/>
      <c r="N16" s="1865"/>
      <c r="O16" s="1866"/>
      <c r="P16" s="1873">
        <v>365</v>
      </c>
      <c r="Q16" s="1865"/>
      <c r="R16" s="1907">
        <f>ROUND(M16*N16*O16*P16/10000,0)</f>
        <v>0</v>
      </c>
      <c r="S16" s="1897"/>
      <c r="T16" s="1897"/>
      <c r="U16" s="1897"/>
      <c r="V16" s="1854"/>
      <c r="W16" s="1756"/>
    </row>
    <row r="17" spans="1:23" s="1738" customFormat="1" ht="13.15" customHeight="1">
      <c r="A17" s="1797">
        <v>4</v>
      </c>
      <c r="B17" s="3607" t="s">
        <v>1418</v>
      </c>
      <c r="C17" s="3608"/>
      <c r="D17" s="1798">
        <f>ROUND(D6*E17,0)</f>
        <v>0</v>
      </c>
      <c r="E17" s="1799"/>
      <c r="F17" s="1800" t="s">
        <v>1419</v>
      </c>
      <c r="G17" s="1801">
        <v>0.1</v>
      </c>
      <c r="H17" s="1756"/>
      <c r="I17" s="1854"/>
      <c r="J17" s="3597"/>
      <c r="K17" s="3601"/>
      <c r="L17" s="1864" t="s">
        <v>1420</v>
      </c>
      <c r="M17" s="1865"/>
      <c r="N17" s="1865"/>
      <c r="O17" s="1866"/>
      <c r="P17" s="1873">
        <v>365</v>
      </c>
      <c r="Q17" s="1865"/>
      <c r="R17" s="1907">
        <f>ROUND(M17*N17*O17*P17/10000,0)</f>
        <v>0</v>
      </c>
      <c r="S17" s="1897"/>
      <c r="T17" s="1897"/>
      <c r="U17" s="1897"/>
      <c r="V17" s="1854"/>
      <c r="W17" s="1756"/>
    </row>
    <row r="18" spans="1:23" s="1738" customFormat="1" ht="13.15" customHeight="1">
      <c r="A18" s="1768" t="s">
        <v>1421</v>
      </c>
      <c r="B18" s="1769"/>
      <c r="C18" s="1769"/>
      <c r="D18" s="1802">
        <f>ROUND(D6*E18,0)</f>
        <v>0</v>
      </c>
      <c r="E18" s="1803"/>
      <c r="F18" s="1804" t="s">
        <v>1422</v>
      </c>
      <c r="G18" s="1801">
        <v>0.05</v>
      </c>
      <c r="H18" s="1756"/>
      <c r="I18" s="1854"/>
      <c r="J18" s="3597"/>
      <c r="K18" s="3601"/>
      <c r="L18" s="1864" t="s">
        <v>1423</v>
      </c>
      <c r="M18" s="1865"/>
      <c r="N18" s="1865"/>
      <c r="O18" s="1866"/>
      <c r="P18" s="1873">
        <v>365</v>
      </c>
      <c r="Q18" s="1865"/>
      <c r="R18" s="1907">
        <f>ROUND(M18*N18*O18*P18/10000,0)</f>
        <v>0</v>
      </c>
      <c r="S18" s="1897"/>
      <c r="T18" s="1897"/>
      <c r="U18" s="1897"/>
      <c r="V18" s="1854"/>
      <c r="W18" s="1756"/>
    </row>
    <row r="19" spans="1:23" s="1738" customFormat="1" ht="13.15" customHeight="1">
      <c r="A19" s="1805" t="s">
        <v>1424</v>
      </c>
      <c r="B19" s="1765"/>
      <c r="C19" s="1765"/>
      <c r="D19" s="1765"/>
      <c r="E19" s="1765"/>
      <c r="F19" s="1766"/>
      <c r="G19" s="1784"/>
      <c r="H19" s="1756"/>
      <c r="I19" s="1854"/>
      <c r="J19" s="3597"/>
      <c r="K19" s="3602"/>
      <c r="L19" s="1867" t="s">
        <v>1405</v>
      </c>
      <c r="M19" s="1868"/>
      <c r="N19" s="1868">
        <f>SUM(N16:N18)</f>
        <v>0</v>
      </c>
      <c r="O19" s="1869"/>
      <c r="P19" s="1874" t="s">
        <v>1425</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97">
        <v>3</v>
      </c>
      <c r="K20" s="3600" t="s">
        <v>1426</v>
      </c>
      <c r="L20" s="1870" t="s">
        <v>1427</v>
      </c>
      <c r="M20" s="1871" t="s">
        <v>1428</v>
      </c>
      <c r="N20" s="1875" t="s">
        <v>1429</v>
      </c>
      <c r="O20" s="1872" t="s">
        <v>1430</v>
      </c>
      <c r="P20" s="1794" t="s">
        <v>1372</v>
      </c>
      <c r="Q20" s="1760" t="s">
        <v>121</v>
      </c>
      <c r="R20" s="1906" t="s">
        <v>1373</v>
      </c>
      <c r="S20" s="1894"/>
      <c r="T20" s="1894"/>
      <c r="U20" s="1894"/>
      <c r="V20" s="1854"/>
      <c r="W20" s="1756"/>
    </row>
    <row r="21" spans="1:23" s="1738" customFormat="1" ht="13.15" customHeight="1">
      <c r="A21" s="1768"/>
      <c r="B21" s="1769"/>
      <c r="C21" s="1776" t="s">
        <v>1431</v>
      </c>
      <c r="D21" s="1807" t="s">
        <v>1432</v>
      </c>
      <c r="E21" s="1777" t="s">
        <v>1433</v>
      </c>
      <c r="F21" s="1806"/>
      <c r="G21" s="1784"/>
      <c r="H21" s="1756"/>
      <c r="I21" s="1854"/>
      <c r="J21" s="3597"/>
      <c r="K21" s="3601"/>
      <c r="L21" s="1870" t="s">
        <v>1434</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1435</v>
      </c>
      <c r="D22" s="1809" t="s">
        <v>1436</v>
      </c>
      <c r="E22" s="1810" t="s">
        <v>1437</v>
      </c>
      <c r="F22" s="1806"/>
      <c r="G22" s="1811"/>
      <c r="H22" s="1756"/>
      <c r="I22" s="1854"/>
      <c r="J22" s="3597"/>
      <c r="K22" s="3601"/>
      <c r="L22" s="1870" t="s">
        <v>1438</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1439</v>
      </c>
      <c r="C23" s="1814">
        <f>D6</f>
        <v>0</v>
      </c>
      <c r="D23" s="1815">
        <f>C23*(1+D24)</f>
        <v>0</v>
      </c>
      <c r="E23" s="1816">
        <f>D23*(1+E24)</f>
        <v>0</v>
      </c>
      <c r="F23" s="1817"/>
      <c r="G23" s="1818"/>
      <c r="H23" s="1756"/>
      <c r="I23" s="1854"/>
      <c r="J23" s="3597"/>
      <c r="K23" s="3601"/>
      <c r="L23" s="1870" t="s">
        <v>1440</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1441</v>
      </c>
      <c r="C24" s="1821"/>
      <c r="D24" s="1822"/>
      <c r="E24" s="1823"/>
      <c r="F24" s="1824"/>
      <c r="G24" s="1818"/>
      <c r="H24" s="1756"/>
      <c r="I24" s="1854"/>
      <c r="J24" s="3597"/>
      <c r="K24" s="3602"/>
      <c r="L24" s="1867" t="s">
        <v>1405</v>
      </c>
      <c r="M24" s="1868">
        <f>SUM(M21:M23)</f>
        <v>0</v>
      </c>
      <c r="N24" s="1868"/>
      <c r="O24" s="1869"/>
      <c r="P24" s="1874" t="s">
        <v>1425</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1442</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1443</v>
      </c>
      <c r="C26" s="1814">
        <f>D7</f>
        <v>0</v>
      </c>
      <c r="D26" s="1815">
        <f>D23*D27</f>
        <v>0</v>
      </c>
      <c r="E26" s="1816">
        <f>E23*E27</f>
        <v>0</v>
      </c>
      <c r="F26" s="1817"/>
      <c r="G26" s="1818"/>
      <c r="H26" s="1756"/>
      <c r="I26" s="1854"/>
      <c r="J26" s="3598">
        <v>5</v>
      </c>
      <c r="K26" s="1879" t="s">
        <v>1444</v>
      </c>
      <c r="L26" s="1880"/>
      <c r="M26" s="1881"/>
      <c r="N26" s="1882" t="s">
        <v>357</v>
      </c>
      <c r="O26" s="1882" t="s">
        <v>1445</v>
      </c>
      <c r="P26" s="1883" t="s">
        <v>1446</v>
      </c>
      <c r="Q26" s="1883" t="s">
        <v>1447</v>
      </c>
      <c r="R26" s="1901" t="s">
        <v>1373</v>
      </c>
      <c r="S26" s="1911"/>
      <c r="T26" s="1911"/>
      <c r="U26" s="1911"/>
      <c r="V26" s="1884"/>
      <c r="W26" s="1826"/>
    </row>
    <row r="27" spans="1:23" s="1738" customFormat="1" ht="13.15" customHeight="1">
      <c r="A27" s="1819"/>
      <c r="B27" s="1820" t="s">
        <v>1448</v>
      </c>
      <c r="C27" s="1825" t="e">
        <f>E7</f>
        <v>#DIV/0!</v>
      </c>
      <c r="D27" s="1822"/>
      <c r="E27" s="1823"/>
      <c r="F27" s="1824"/>
      <c r="G27" s="1818"/>
      <c r="H27" s="1826"/>
      <c r="I27" s="1884"/>
      <c r="J27" s="3599"/>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1091</v>
      </c>
      <c r="F28" s="1824"/>
      <c r="G28" s="1811"/>
      <c r="H28" s="1826"/>
      <c r="I28" s="1884"/>
      <c r="J28" s="1889">
        <v>6</v>
      </c>
      <c r="K28" s="1890" t="s">
        <v>1449</v>
      </c>
      <c r="L28" s="1891" t="s">
        <v>1450</v>
      </c>
      <c r="M28" s="1892"/>
      <c r="N28" s="1891" t="s">
        <v>1451</v>
      </c>
      <c r="O28" s="1893"/>
      <c r="P28" s="1891" t="s">
        <v>1452</v>
      </c>
      <c r="Q28" s="1913">
        <v>1.4999999999999999E-2</v>
      </c>
      <c r="R28" s="1914"/>
      <c r="S28" s="1894"/>
      <c r="T28" s="1894"/>
      <c r="U28" s="1894"/>
      <c r="V28" s="1884"/>
      <c r="W28" s="1826"/>
    </row>
    <row r="29" spans="1:23" s="1739" customFormat="1" ht="13.15" customHeight="1">
      <c r="A29" s="1812">
        <v>3</v>
      </c>
      <c r="B29" s="1813" t="s">
        <v>1453</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1448</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1454</v>
      </c>
      <c r="K31" s="1853"/>
      <c r="L31" s="1853"/>
      <c r="M31" s="1853"/>
      <c r="N31" s="1853"/>
      <c r="O31" s="1853"/>
      <c r="P31" s="1853"/>
      <c r="Q31" s="1853"/>
      <c r="R31" s="1896"/>
      <c r="S31" s="1894"/>
      <c r="T31" s="1897"/>
      <c r="U31" s="1897"/>
      <c r="V31" s="1884"/>
      <c r="W31" s="1826"/>
    </row>
    <row r="32" spans="1:23" s="1739" customFormat="1" ht="13.15" customHeight="1">
      <c r="A32" s="1812">
        <v>4</v>
      </c>
      <c r="B32" s="1813" t="s">
        <v>1455</v>
      </c>
      <c r="C32" s="1814">
        <f>C23-C26-C29</f>
        <v>0</v>
      </c>
      <c r="D32" s="1815">
        <f>D23-D26-D29</f>
        <v>0</v>
      </c>
      <c r="E32" s="1816">
        <f>E23-E26-E29</f>
        <v>0</v>
      </c>
      <c r="F32" s="1817"/>
      <c r="G32" s="1811"/>
      <c r="H32" s="1756"/>
      <c r="I32" s="1854"/>
      <c r="J32" s="3609" t="s">
        <v>1350</v>
      </c>
      <c r="K32" s="3610"/>
      <c r="L32" s="1855" t="s">
        <v>1351</v>
      </c>
      <c r="M32" s="1855" t="s">
        <v>1352</v>
      </c>
      <c r="N32" s="1855" t="s">
        <v>1353</v>
      </c>
      <c r="O32" s="1855" t="s">
        <v>1354</v>
      </c>
      <c r="P32" s="1855" t="s">
        <v>1355</v>
      </c>
      <c r="Q32" s="1898" t="s">
        <v>1356</v>
      </c>
      <c r="R32" s="1915" t="s">
        <v>1357</v>
      </c>
      <c r="S32" s="1894"/>
      <c r="T32" s="1897"/>
      <c r="U32" s="1897"/>
      <c r="V32" s="1884"/>
      <c r="W32" s="1826"/>
    </row>
    <row r="33" spans="1:23" s="1738" customFormat="1" ht="13.15" customHeight="1">
      <c r="A33" s="1812"/>
      <c r="B33" s="1813"/>
      <c r="C33" s="1814"/>
      <c r="D33" s="1829"/>
      <c r="E33" s="1788"/>
      <c r="F33" s="1817"/>
      <c r="G33" s="1811"/>
      <c r="H33" s="1826"/>
      <c r="I33" s="1884"/>
      <c r="J33" s="3603" t="s">
        <v>1360</v>
      </c>
      <c r="K33" s="3604"/>
      <c r="L33" s="1856"/>
      <c r="M33" s="1856"/>
      <c r="N33" s="1856"/>
      <c r="O33" s="1856"/>
      <c r="P33" s="1856"/>
      <c r="Q33" s="1900"/>
      <c r="R33" s="1916">
        <f>SUM(L33:Q33)</f>
        <v>0</v>
      </c>
      <c r="S33" s="1894"/>
      <c r="T33" s="1897"/>
      <c r="U33" s="1897"/>
      <c r="V33" s="1854"/>
      <c r="W33" s="1756"/>
    </row>
    <row r="34" spans="1:23" s="1738" customFormat="1" ht="13.15" customHeight="1">
      <c r="A34" s="1812">
        <v>5</v>
      </c>
      <c r="B34" s="1813" t="s">
        <v>1456</v>
      </c>
      <c r="C34" s="1830"/>
      <c r="D34" s="1831"/>
      <c r="E34" s="1832"/>
      <c r="F34" s="1817"/>
      <c r="G34" s="1811"/>
      <c r="H34" s="1826"/>
      <c r="I34" s="1884"/>
      <c r="J34" s="3603" t="s">
        <v>1361</v>
      </c>
      <c r="K34" s="3604"/>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1457</v>
      </c>
      <c r="C35" s="1833"/>
      <c r="D35" s="1834"/>
      <c r="E35" s="1835"/>
      <c r="F35" s="1817"/>
      <c r="G35" s="1836"/>
      <c r="H35" s="1756"/>
      <c r="I35" s="1884"/>
      <c r="J35" s="1858" t="s">
        <v>1363</v>
      </c>
      <c r="K35" s="1859"/>
      <c r="L35" s="1859"/>
      <c r="M35" s="1860"/>
      <c r="N35" s="1860"/>
      <c r="O35" s="1860"/>
      <c r="P35" s="1860"/>
      <c r="Q35" s="1860"/>
      <c r="R35" s="1918">
        <f>R40+R41+R43</f>
        <v>0</v>
      </c>
      <c r="S35" s="1894"/>
      <c r="T35" s="1897" t="s">
        <v>1364</v>
      </c>
      <c r="U35" s="1897"/>
      <c r="V35" s="1854"/>
      <c r="W35" s="1756"/>
    </row>
    <row r="36" spans="1:23" s="1738" customFormat="1" ht="13.15" customHeight="1">
      <c r="A36" s="1812">
        <v>7</v>
      </c>
      <c r="B36" s="1837" t="s">
        <v>1458</v>
      </c>
      <c r="C36" s="1838"/>
      <c r="D36" s="1839"/>
      <c r="E36" s="1840"/>
      <c r="F36" s="1841">
        <f>C36+D36+E36</f>
        <v>0</v>
      </c>
      <c r="G36" s="1811"/>
      <c r="H36" s="1756"/>
      <c r="I36" s="1854"/>
      <c r="J36" s="3597">
        <v>1</v>
      </c>
      <c r="K36" s="3600" t="s">
        <v>1459</v>
      </c>
      <c r="L36" s="1862"/>
      <c r="M36" s="1863"/>
      <c r="N36" s="1863"/>
      <c r="O36" s="1863"/>
      <c r="P36" s="1863"/>
      <c r="Q36" s="1863"/>
      <c r="R36" s="1901" t="s">
        <v>1373</v>
      </c>
      <c r="S36" s="1894"/>
      <c r="T36" s="1897" t="s">
        <v>1374</v>
      </c>
      <c r="U36" s="1897"/>
      <c r="V36" s="1854"/>
      <c r="W36" s="1756"/>
    </row>
    <row r="37" spans="1:23" s="1738" customFormat="1" ht="13.15" customHeight="1">
      <c r="A37" s="1812"/>
      <c r="B37" s="1813"/>
      <c r="C37" s="1813"/>
      <c r="D37" s="1813"/>
      <c r="E37" s="1813"/>
      <c r="F37" s="1817"/>
      <c r="G37" s="1811"/>
      <c r="H37" s="1756"/>
      <c r="I37" s="1854"/>
      <c r="J37" s="3597"/>
      <c r="K37" s="3601"/>
      <c r="L37" s="1870"/>
      <c r="M37" s="1871"/>
      <c r="N37" s="1760"/>
      <c r="O37" s="1872"/>
      <c r="P37" s="1872"/>
      <c r="Q37" s="1794"/>
      <c r="R37" s="1919"/>
      <c r="S37" s="1894"/>
      <c r="T37" s="1897" t="s">
        <v>1377</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97"/>
      <c r="K38" s="3601"/>
      <c r="L38" s="1870"/>
      <c r="M38" s="1871"/>
      <c r="N38" s="1760"/>
      <c r="O38" s="1872"/>
      <c r="P38" s="1872"/>
      <c r="Q38" s="1794"/>
      <c r="R38" s="1919"/>
      <c r="S38" s="1894"/>
      <c r="T38" s="1897" t="s">
        <v>1385</v>
      </c>
      <c r="U38" s="1897"/>
      <c r="V38" s="1854"/>
      <c r="W38" s="1756"/>
    </row>
    <row r="39" spans="1:23" s="1738" customFormat="1" ht="13.15" customHeight="1">
      <c r="A39" s="1812">
        <v>9</v>
      </c>
      <c r="B39" s="1813" t="s">
        <v>1460</v>
      </c>
      <c r="C39" s="1789" t="e">
        <f>C38</f>
        <v>#DIV/0!</v>
      </c>
      <c r="D39" s="1813">
        <f>D38/(1+D34)^C36</f>
        <v>0</v>
      </c>
      <c r="E39" s="1813">
        <f>E38/(1+E34)^(C36+D36)</f>
        <v>0</v>
      </c>
      <c r="F39" s="1817"/>
      <c r="G39" s="1842"/>
      <c r="H39" s="1756"/>
      <c r="I39" s="1854"/>
      <c r="J39" s="3597"/>
      <c r="K39" s="3601"/>
      <c r="L39" s="1870"/>
      <c r="M39" s="1871"/>
      <c r="N39" s="1760"/>
      <c r="O39" s="1872"/>
      <c r="P39" s="1872"/>
      <c r="Q39" s="1794"/>
      <c r="R39" s="1919"/>
      <c r="S39" s="1894"/>
      <c r="T39" s="1897"/>
      <c r="U39" s="1897"/>
      <c r="V39" s="1854"/>
      <c r="W39" s="1756"/>
    </row>
    <row r="40" spans="1:23" s="1738" customFormat="1" ht="13.15" customHeight="1">
      <c r="A40" s="1843">
        <v>10</v>
      </c>
      <c r="B40" s="1813" t="s">
        <v>1461</v>
      </c>
      <c r="C40" s="1844" t="e">
        <f>C39+D39+E39</f>
        <v>#DIV/0!</v>
      </c>
      <c r="D40" s="1845"/>
      <c r="E40" s="1845"/>
      <c r="F40" s="1846"/>
      <c r="G40" s="1811"/>
      <c r="H40" s="1756"/>
      <c r="I40" s="1854"/>
      <c r="J40" s="3597"/>
      <c r="K40" s="3602"/>
      <c r="L40" s="1867" t="s">
        <v>1405</v>
      </c>
      <c r="M40" s="1868"/>
      <c r="N40" s="1868"/>
      <c r="O40" s="1869"/>
      <c r="P40" s="1869"/>
      <c r="Q40" s="1905"/>
      <c r="R40" s="1899">
        <f>SUM(R37:R39)</f>
        <v>0</v>
      </c>
      <c r="S40" s="1894"/>
      <c r="T40" s="1897"/>
      <c r="U40" s="1897"/>
      <c r="V40" s="1854"/>
      <c r="W40" s="1756"/>
    </row>
    <row r="41" spans="1:23" s="1738" customFormat="1" ht="13.15" customHeight="1">
      <c r="A41" s="1847">
        <v>11</v>
      </c>
      <c r="B41" s="1848" t="s">
        <v>1462</v>
      </c>
      <c r="C41" s="1848" t="e">
        <f>ROUND(C40*10000/B4,0)</f>
        <v>#DIV/0!</v>
      </c>
      <c r="D41" s="1849"/>
      <c r="E41" s="1849"/>
      <c r="F41" s="1850"/>
      <c r="G41" s="1851"/>
      <c r="H41" s="1756"/>
      <c r="I41" s="1854"/>
      <c r="J41" s="1861">
        <v>2</v>
      </c>
      <c r="K41" s="1876" t="s">
        <v>1442</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98">
        <v>3</v>
      </c>
      <c r="K42" s="1879" t="s">
        <v>1444</v>
      </c>
      <c r="L42" s="1880"/>
      <c r="M42" s="1881"/>
      <c r="N42" s="1882" t="s">
        <v>357</v>
      </c>
      <c r="O42" s="1882" t="s">
        <v>1445</v>
      </c>
      <c r="P42" s="1883" t="s">
        <v>1446</v>
      </c>
      <c r="Q42" s="1883" t="s">
        <v>1447</v>
      </c>
      <c r="R42" s="1901" t="s">
        <v>1373</v>
      </c>
      <c r="S42" s="1911"/>
      <c r="T42" s="1911"/>
      <c r="U42" s="1897"/>
      <c r="V42" s="1854"/>
      <c r="W42" s="1756"/>
    </row>
    <row r="43" spans="1:23" ht="13.15" customHeight="1">
      <c r="A43" s="1738"/>
      <c r="B43" s="1738"/>
      <c r="C43" s="1738"/>
      <c r="D43" s="1738"/>
      <c r="E43" s="1738"/>
      <c r="F43" s="1738"/>
      <c r="I43" s="1742"/>
      <c r="J43" s="3599"/>
      <c r="K43" s="1885"/>
      <c r="L43" s="1886"/>
      <c r="M43" s="1887"/>
      <c r="N43" s="1871"/>
      <c r="O43" s="1871"/>
      <c r="P43" s="1871"/>
      <c r="Q43" s="1910"/>
      <c r="R43" s="1908">
        <f>ROUND(O43*N43*P43*(1-Q43)/10000,0)</f>
        <v>0</v>
      </c>
      <c r="S43" s="1894"/>
      <c r="T43" s="1897"/>
      <c r="V43" s="1744"/>
      <c r="W43" s="1743"/>
    </row>
    <row r="44" spans="1:23" ht="13.15" customHeight="1">
      <c r="J44" s="1889">
        <v>6</v>
      </c>
      <c r="K44" s="1890" t="s">
        <v>1449</v>
      </c>
      <c r="L44" s="1895" t="s">
        <v>1450</v>
      </c>
      <c r="M44" s="1892"/>
      <c r="N44" s="1895" t="s">
        <v>1451</v>
      </c>
      <c r="O44" s="1892"/>
      <c r="P44" s="1895" t="s">
        <v>1452</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1463</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870</v>
      </c>
      <c r="B2" s="1612">
        <f>B23</f>
        <v>0</v>
      </c>
      <c r="C2" s="1613" t="str">
        <f>C23</f>
        <v>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871</v>
      </c>
      <c r="B3" s="1612" t="e">
        <f>B24</f>
        <v>#DIV/0!</v>
      </c>
      <c r="C3" s="1613" t="s">
        <v>1464</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1465</v>
      </c>
      <c r="C4" s="3616" t="s">
        <v>1466</v>
      </c>
      <c r="D4" s="3617"/>
      <c r="E4" s="3617"/>
      <c r="F4" s="3617"/>
      <c r="G4" s="3617"/>
      <c r="H4" s="3617"/>
      <c r="I4" s="3617"/>
      <c r="J4" s="3617"/>
      <c r="K4" s="3617"/>
      <c r="L4" s="3617"/>
      <c r="M4" s="3617"/>
      <c r="N4" s="3617"/>
      <c r="O4" s="3617"/>
      <c r="P4" s="3617"/>
      <c r="Q4" s="3617"/>
      <c r="R4" s="3617"/>
      <c r="S4" s="3618"/>
      <c r="T4" s="1615" t="s">
        <v>1467</v>
      </c>
      <c r="U4" s="1695"/>
      <c r="V4" s="1695"/>
      <c r="X4" s="1695"/>
      <c r="Y4" s="1695"/>
    </row>
    <row r="5" spans="1:44" s="1600" customFormat="1">
      <c r="A5" s="1616"/>
      <c r="B5" s="1617" t="s">
        <v>357</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1468</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1469</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1470</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1471</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1472</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1473</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1474</v>
      </c>
      <c r="B20" s="1643" t="s">
        <v>1475</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1476</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1477</v>
      </c>
      <c r="B23" s="1653">
        <f>IF(F23="——",IF(C23="万元",T25,S25),IF(C23="万元",T25-H23,S25-H23))</f>
        <v>0</v>
      </c>
      <c r="C23" s="1654" t="str">
        <f>'数据-取费表'!B3</f>
        <v>元</v>
      </c>
      <c r="D23" s="1611"/>
      <c r="E23" s="1611"/>
      <c r="F23" s="1655" t="s">
        <v>121</v>
      </c>
      <c r="G23" s="1656"/>
      <c r="H23" s="1615" t="e">
        <f ca="1">SUMIF(INDIRECT("'"&amp;J23&amp;"'"&amp;"!A:A"),"承租人权益价值",INDIRECT("'"&amp;J23&amp;"'"&amp;"!c:c"))</f>
        <v>#REF!</v>
      </c>
      <c r="I23" s="1615" t="str">
        <f>C2</f>
        <v>元</v>
      </c>
      <c r="J23" s="1693"/>
      <c r="K23" s="1611"/>
      <c r="L23" s="1611"/>
      <c r="M23" s="1611"/>
      <c r="N23" s="1611"/>
      <c r="O23" s="1611"/>
      <c r="P23" s="1611"/>
      <c r="Q23" s="1611"/>
      <c r="R23" s="1694"/>
      <c r="S23" s="1650"/>
      <c r="T23" s="1650"/>
      <c r="U23" s="1695"/>
      <c r="V23" s="1698"/>
      <c r="W23" s="1707"/>
      <c r="X23" s="1707"/>
      <c r="Y23" s="1707"/>
      <c r="Z23" s="1707"/>
    </row>
    <row r="24" spans="1:45" ht="15.75">
      <c r="A24" s="1654" t="s">
        <v>1478</v>
      </c>
      <c r="B24" s="1653" t="e">
        <f>ROUND(B23*10000/B25,0)</f>
        <v>#DIV/0!</v>
      </c>
      <c r="C24" s="1610"/>
      <c r="D24" s="1611"/>
      <c r="E24" s="1611"/>
      <c r="F24" s="1611"/>
      <c r="G24" s="1611"/>
      <c r="H24" s="1611"/>
      <c r="I24" s="1611"/>
      <c r="J24" s="1611"/>
      <c r="K24" s="1611"/>
      <c r="L24" s="1611"/>
      <c r="M24" s="1611"/>
      <c r="N24" s="1611"/>
      <c r="O24" s="1611"/>
      <c r="P24" s="1611"/>
      <c r="Q24" s="1611"/>
      <c r="R24" s="1694"/>
      <c r="S24" s="1657" t="s">
        <v>1479</v>
      </c>
      <c r="T24" s="1658" t="s">
        <v>1480</v>
      </c>
      <c r="U24" s="498" t="s">
        <v>1481</v>
      </c>
      <c r="V24" s="1724"/>
      <c r="W24" s="1725" t="s">
        <v>1482</v>
      </c>
      <c r="X24" s="498" t="s">
        <v>1483</v>
      </c>
      <c r="Y24" s="1724"/>
      <c r="Z24" s="1734" t="s">
        <v>1482</v>
      </c>
    </row>
    <row r="25" spans="1:45">
      <c r="A25" s="1612" t="s">
        <v>1484</v>
      </c>
      <c r="B25" s="1657">
        <f>SUM(B27:B10000)</f>
        <v>0</v>
      </c>
      <c r="C25" s="3619" t="s">
        <v>121</v>
      </c>
      <c r="D25" s="3620"/>
      <c r="E25" s="3620"/>
      <c r="F25" s="3620"/>
      <c r="G25" s="3620"/>
      <c r="H25" s="3620"/>
      <c r="I25" s="3620"/>
      <c r="J25" s="3620"/>
      <c r="K25" s="3620"/>
      <c r="L25" s="3620"/>
      <c r="M25" s="3620"/>
      <c r="N25" s="3620"/>
      <c r="O25" s="3620"/>
      <c r="P25" s="3620"/>
      <c r="Q25" s="3621"/>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1485</v>
      </c>
      <c r="B26" s="1660" t="s">
        <v>357</v>
      </c>
      <c r="C26" s="1660" t="s">
        <v>1467</v>
      </c>
      <c r="D26" s="1660" t="str">
        <f>B8</f>
        <v>修正项2</v>
      </c>
      <c r="E26" s="1660" t="s">
        <v>1467</v>
      </c>
      <c r="F26" s="1660" t="str">
        <f>B10</f>
        <v>修正项3</v>
      </c>
      <c r="G26" s="1660" t="s">
        <v>1467</v>
      </c>
      <c r="H26" s="1660" t="str">
        <f>B12</f>
        <v>修正项4</v>
      </c>
      <c r="I26" s="1660" t="s">
        <v>1467</v>
      </c>
      <c r="J26" s="1660" t="str">
        <f>B14</f>
        <v>修正项5</v>
      </c>
      <c r="K26" s="1660" t="s">
        <v>1467</v>
      </c>
      <c r="L26" s="1660" t="str">
        <f>B16</f>
        <v>修正项6</v>
      </c>
      <c r="M26" s="1660" t="s">
        <v>1467</v>
      </c>
      <c r="N26" s="1660" t="str">
        <f>B18</f>
        <v>修正项7</v>
      </c>
      <c r="O26" s="1660" t="s">
        <v>1467</v>
      </c>
      <c r="P26" s="1660" t="str">
        <f>B20</f>
        <v>楼层</v>
      </c>
      <c r="Q26" s="1660" t="s">
        <v>1467</v>
      </c>
      <c r="R26" s="1729" t="s">
        <v>1486</v>
      </c>
      <c r="S26" s="1660" t="s">
        <v>1487</v>
      </c>
      <c r="T26" s="1660" t="s">
        <v>1487</v>
      </c>
      <c r="U26" s="325" t="s">
        <v>1488</v>
      </c>
      <c r="V26" s="325" t="s">
        <v>1489</v>
      </c>
      <c r="W26" s="1660" t="s">
        <v>1490</v>
      </c>
      <c r="X26" s="325" t="s">
        <v>1488</v>
      </c>
      <c r="Y26" s="325" t="s">
        <v>1489</v>
      </c>
      <c r="Z26" s="1660" t="s">
        <v>1490</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1491</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1492</v>
      </c>
      <c r="C1" s="1480"/>
      <c r="D1" s="1564"/>
      <c r="E1" s="1481"/>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870</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871</v>
      </c>
      <c r="B3" s="1031" t="e">
        <f ca="1">ROUND(IF(D2="——",C49,IF(C2="万元",B2*10000/D3,B2/D3)),0)</f>
        <v>#DIV/0!</v>
      </c>
      <c r="C3" s="1490" t="s">
        <v>872</v>
      </c>
      <c r="D3" s="1490">
        <f>IF(C1="仅计算典型户型",'数据-取费表'!E5,'数据-取费表'!B5)</f>
        <v>59.11</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873</v>
      </c>
      <c r="B4" s="1033"/>
      <c r="C4" s="3583" t="s">
        <v>874</v>
      </c>
      <c r="D4" s="3584"/>
      <c r="E4" s="3585" t="s">
        <v>875</v>
      </c>
      <c r="F4" s="3586"/>
      <c r="G4" s="3583" t="s">
        <v>876</v>
      </c>
      <c r="H4" s="3584"/>
      <c r="I4" s="3583" t="s">
        <v>877</v>
      </c>
      <c r="J4" s="3584"/>
      <c r="K4" s="1158" t="s">
        <v>878</v>
      </c>
      <c r="L4" s="1159"/>
      <c r="M4" s="1160"/>
      <c r="N4" s="1160"/>
      <c r="O4" s="1160"/>
      <c r="P4" s="3546" t="s">
        <v>879</v>
      </c>
      <c r="Q4" s="3547"/>
      <c r="R4" s="3552" t="s">
        <v>875</v>
      </c>
      <c r="S4" s="3553"/>
      <c r="T4" s="3552" t="s">
        <v>876</v>
      </c>
      <c r="U4" s="3553"/>
      <c r="V4" s="3558" t="s">
        <v>877</v>
      </c>
      <c r="W4" s="3558"/>
      <c r="X4" s="1197"/>
      <c r="Y4" s="3552" t="s">
        <v>879</v>
      </c>
      <c r="Z4" s="3553"/>
      <c r="AA4" s="3543" t="s">
        <v>875</v>
      </c>
      <c r="AB4" s="3558" t="s">
        <v>876</v>
      </c>
      <c r="AC4" s="3543" t="s">
        <v>877</v>
      </c>
    </row>
    <row r="5" spans="1:29" ht="15">
      <c r="A5" s="1034"/>
      <c r="B5" s="1035"/>
      <c r="C5" s="3587" t="s">
        <v>880</v>
      </c>
      <c r="D5" s="3588"/>
      <c r="E5" s="3622" t="s">
        <v>1493</v>
      </c>
      <c r="F5" s="3590"/>
      <c r="G5" s="3587" t="s">
        <v>1494</v>
      </c>
      <c r="H5" s="3588"/>
      <c r="I5" s="3587" t="s">
        <v>1495</v>
      </c>
      <c r="J5" s="3588"/>
      <c r="K5" s="1158"/>
      <c r="L5" s="1159"/>
      <c r="M5" s="1160"/>
      <c r="N5" s="1160"/>
      <c r="O5" s="1160"/>
      <c r="P5" s="3548"/>
      <c r="Q5" s="3549"/>
      <c r="R5" s="3554"/>
      <c r="S5" s="3555"/>
      <c r="T5" s="3554"/>
      <c r="U5" s="3555"/>
      <c r="V5" s="3558"/>
      <c r="W5" s="3558"/>
      <c r="X5" s="1197"/>
      <c r="Y5" s="3554"/>
      <c r="Z5" s="3555"/>
      <c r="AA5" s="3544"/>
      <c r="AB5" s="3558"/>
      <c r="AC5" s="3544"/>
    </row>
    <row r="6" spans="1:29" ht="15">
      <c r="A6" s="1036"/>
      <c r="B6" s="1037"/>
      <c r="C6" s="3578" t="s">
        <v>882</v>
      </c>
      <c r="D6" s="3579"/>
      <c r="E6" s="3580" t="s">
        <v>882</v>
      </c>
      <c r="F6" s="3581"/>
      <c r="G6" s="3578" t="s">
        <v>882</v>
      </c>
      <c r="H6" s="3579"/>
      <c r="I6" s="3578" t="s">
        <v>882</v>
      </c>
      <c r="J6" s="3579"/>
      <c r="K6" s="1158" t="s">
        <v>883</v>
      </c>
      <c r="L6" s="1159"/>
      <c r="M6" s="1160"/>
      <c r="N6" s="1160"/>
      <c r="O6" s="1160"/>
      <c r="P6" s="3550"/>
      <c r="Q6" s="3551"/>
      <c r="R6" s="3554"/>
      <c r="S6" s="3555"/>
      <c r="T6" s="3556"/>
      <c r="U6" s="3557"/>
      <c r="V6" s="3558"/>
      <c r="W6" s="3558"/>
      <c r="X6" s="1197"/>
      <c r="Y6" s="3556"/>
      <c r="Z6" s="3557"/>
      <c r="AA6" s="3545"/>
      <c r="AB6" s="3558"/>
      <c r="AC6" s="3545"/>
    </row>
    <row r="7" spans="1:29" s="1014" customFormat="1" ht="15">
      <c r="A7" s="1038" t="s">
        <v>884</v>
      </c>
      <c r="B7" s="1039"/>
      <c r="C7" s="1040">
        <f>'数据-取费表'!B2</f>
        <v>44873</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66" t="s">
        <v>885</v>
      </c>
      <c r="Q7" s="3582"/>
      <c r="R7" s="1199" t="s">
        <v>886</v>
      </c>
      <c r="S7" s="1200">
        <f t="shared" ref="S7:S15" si="0">F7</f>
        <v>0</v>
      </c>
      <c r="T7" s="1199" t="s">
        <v>886</v>
      </c>
      <c r="U7" s="1200">
        <f t="shared" ref="U7:U15" si="1">H7</f>
        <v>0</v>
      </c>
      <c r="V7" s="1199" t="s">
        <v>886</v>
      </c>
      <c r="W7" s="1200">
        <f t="shared" ref="W7:W15" si="2">J7</f>
        <v>0</v>
      </c>
      <c r="X7" s="1201"/>
      <c r="Y7" s="3566" t="s">
        <v>885</v>
      </c>
      <c r="Z7" s="3567"/>
      <c r="AA7" s="1214" t="e">
        <f>D7/F7</f>
        <v>#DIV/0!</v>
      </c>
      <c r="AB7" s="1214" t="e">
        <f>D7/H7</f>
        <v>#DIV/0!</v>
      </c>
      <c r="AC7" s="1214" t="e">
        <f>D7/J7</f>
        <v>#DIV/0!</v>
      </c>
    </row>
    <row r="8" spans="1:29" s="1014" customFormat="1" ht="15">
      <c r="A8" s="1038" t="s">
        <v>887</v>
      </c>
      <c r="B8" s="1039"/>
      <c r="C8" s="1045" t="s">
        <v>888</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66" t="s">
        <v>890</v>
      </c>
      <c r="Q8" s="3567"/>
      <c r="R8" s="1199" t="s">
        <v>886</v>
      </c>
      <c r="S8" s="1200">
        <f t="shared" si="0"/>
        <v>0</v>
      </c>
      <c r="T8" s="1199" t="s">
        <v>886</v>
      </c>
      <c r="U8" s="1200">
        <f t="shared" si="1"/>
        <v>0</v>
      </c>
      <c r="V8" s="1199" t="s">
        <v>886</v>
      </c>
      <c r="W8" s="1200">
        <f t="shared" si="2"/>
        <v>0</v>
      </c>
      <c r="X8" s="1201"/>
      <c r="Y8" s="3566" t="s">
        <v>890</v>
      </c>
      <c r="Z8" s="3567"/>
      <c r="AA8" s="1214" t="e">
        <f t="shared" ref="AA8:AA46" si="3">D8/F8</f>
        <v>#DIV/0!</v>
      </c>
      <c r="AB8" s="1214" t="e">
        <f t="shared" ref="AB8:AB46" si="4">D8/H8</f>
        <v>#DIV/0!</v>
      </c>
      <c r="AC8" s="1214" t="e">
        <f t="shared" ref="AC8:AC46" si="5">D8/J8</f>
        <v>#DIV/0!</v>
      </c>
    </row>
    <row r="9" spans="1:29" s="1014" customFormat="1">
      <c r="A9" s="1046" t="s">
        <v>891</v>
      </c>
      <c r="B9" s="1047" t="s">
        <v>892</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68" t="s">
        <v>893</v>
      </c>
      <c r="Q9" s="1203" t="str">
        <f t="shared" ref="Q9:Q15" si="6">B9</f>
        <v>用途</v>
      </c>
      <c r="R9" s="1199" t="s">
        <v>886</v>
      </c>
      <c r="S9" s="1200">
        <f t="shared" si="0"/>
        <v>100</v>
      </c>
      <c r="T9" s="1199" t="s">
        <v>886</v>
      </c>
      <c r="U9" s="1200">
        <f t="shared" si="1"/>
        <v>100</v>
      </c>
      <c r="V9" s="1199" t="s">
        <v>886</v>
      </c>
      <c r="W9" s="1200">
        <f t="shared" si="2"/>
        <v>100</v>
      </c>
      <c r="X9" s="1201"/>
      <c r="Y9" s="3415" t="s">
        <v>894</v>
      </c>
      <c r="Z9" s="1215" t="str">
        <f t="shared" ref="Z9:Z15" si="7">Q9</f>
        <v>用途</v>
      </c>
      <c r="AA9" s="1214">
        <f t="shared" si="3"/>
        <v>1</v>
      </c>
      <c r="AB9" s="1214">
        <f t="shared" si="4"/>
        <v>1</v>
      </c>
      <c r="AC9" s="1214">
        <f t="shared" si="5"/>
        <v>1</v>
      </c>
    </row>
    <row r="10" spans="1:29" s="1015" customFormat="1" ht="27">
      <c r="A10" s="1050"/>
      <c r="B10" s="1051" t="s">
        <v>895</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68"/>
      <c r="Q10" s="1203" t="str">
        <f t="shared" si="6"/>
        <v>土地使用年限（年）</v>
      </c>
      <c r="R10" s="1199" t="s">
        <v>886</v>
      </c>
      <c r="S10" s="1200">
        <f t="shared" si="0"/>
        <v>100</v>
      </c>
      <c r="T10" s="1199" t="s">
        <v>886</v>
      </c>
      <c r="U10" s="1200">
        <f t="shared" si="1"/>
        <v>100</v>
      </c>
      <c r="V10" s="1199" t="s">
        <v>886</v>
      </c>
      <c r="W10" s="1200">
        <f t="shared" si="2"/>
        <v>100</v>
      </c>
      <c r="X10" s="1201"/>
      <c r="Y10" s="3415"/>
      <c r="Z10" s="1215" t="str">
        <f t="shared" si="7"/>
        <v>土地使用年限（年）</v>
      </c>
      <c r="AA10" s="1214">
        <f t="shared" si="3"/>
        <v>1</v>
      </c>
      <c r="AB10" s="1214">
        <f t="shared" si="4"/>
        <v>1</v>
      </c>
      <c r="AC10" s="1214">
        <f t="shared" si="5"/>
        <v>1</v>
      </c>
    </row>
    <row r="11" spans="1:29" ht="15">
      <c r="A11" s="483"/>
      <c r="B11" s="1051" t="s">
        <v>896</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68"/>
      <c r="Q11" s="1203" t="str">
        <f t="shared" si="6"/>
        <v>容积率</v>
      </c>
      <c r="R11" s="1199" t="s">
        <v>886</v>
      </c>
      <c r="S11" s="1200" t="e">
        <f t="shared" si="0"/>
        <v>#N/A</v>
      </c>
      <c r="T11" s="1199" t="s">
        <v>886</v>
      </c>
      <c r="U11" s="1200" t="e">
        <f t="shared" si="1"/>
        <v>#N/A</v>
      </c>
      <c r="V11" s="1199" t="s">
        <v>886</v>
      </c>
      <c r="W11" s="1200" t="e">
        <f t="shared" si="2"/>
        <v>#N/A</v>
      </c>
      <c r="X11" s="1201"/>
      <c r="Y11" s="341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68"/>
      <c r="Q12" s="1203">
        <f t="shared" si="6"/>
        <v>111</v>
      </c>
      <c r="R12" s="1199" t="s">
        <v>886</v>
      </c>
      <c r="S12" s="1200">
        <f t="shared" si="0"/>
        <v>100</v>
      </c>
      <c r="T12" s="1199" t="s">
        <v>886</v>
      </c>
      <c r="U12" s="1200">
        <f t="shared" si="1"/>
        <v>100</v>
      </c>
      <c r="V12" s="1199" t="s">
        <v>886</v>
      </c>
      <c r="W12" s="1200">
        <f t="shared" si="2"/>
        <v>100</v>
      </c>
      <c r="X12" s="1201"/>
      <c r="Y12" s="341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68"/>
      <c r="Q13" s="1203">
        <f t="shared" si="6"/>
        <v>111</v>
      </c>
      <c r="R13" s="1199" t="s">
        <v>886</v>
      </c>
      <c r="S13" s="1200">
        <f t="shared" si="0"/>
        <v>100</v>
      </c>
      <c r="T13" s="1199" t="s">
        <v>886</v>
      </c>
      <c r="U13" s="1200">
        <f t="shared" si="1"/>
        <v>100</v>
      </c>
      <c r="V13" s="1199" t="s">
        <v>886</v>
      </c>
      <c r="W13" s="1200">
        <f t="shared" si="2"/>
        <v>100</v>
      </c>
      <c r="X13" s="1201"/>
      <c r="Y13" s="3415"/>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68"/>
      <c r="Q14" s="1203">
        <f t="shared" si="6"/>
        <v>111</v>
      </c>
      <c r="R14" s="1199" t="s">
        <v>886</v>
      </c>
      <c r="S14" s="1200">
        <f t="shared" si="0"/>
        <v>100</v>
      </c>
      <c r="T14" s="1199" t="s">
        <v>886</v>
      </c>
      <c r="U14" s="1200">
        <f t="shared" si="1"/>
        <v>100</v>
      </c>
      <c r="V14" s="1199" t="s">
        <v>886</v>
      </c>
      <c r="W14" s="1200">
        <f t="shared" si="2"/>
        <v>100</v>
      </c>
      <c r="X14" s="1201"/>
      <c r="Y14" s="3415"/>
      <c r="Z14" s="1215">
        <f t="shared" si="7"/>
        <v>111</v>
      </c>
      <c r="AA14" s="1214">
        <f t="shared" si="3"/>
        <v>1</v>
      </c>
      <c r="AB14" s="1214">
        <f t="shared" si="4"/>
        <v>1</v>
      </c>
      <c r="AC14" s="1214">
        <f t="shared" si="5"/>
        <v>1</v>
      </c>
    </row>
    <row r="15" spans="1:29" ht="71.25">
      <c r="A15" s="459" t="s">
        <v>897</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69" t="s">
        <v>898</v>
      </c>
      <c r="Q15" s="470" t="str">
        <f t="shared" si="6"/>
        <v>商业繁华度</v>
      </c>
      <c r="R15" s="1204" t="s">
        <v>886</v>
      </c>
      <c r="S15" s="1205">
        <f t="shared" si="0"/>
        <v>100</v>
      </c>
      <c r="T15" s="1204" t="s">
        <v>886</v>
      </c>
      <c r="U15" s="1205">
        <f t="shared" si="1"/>
        <v>100</v>
      </c>
      <c r="V15" s="1204" t="s">
        <v>886</v>
      </c>
      <c r="W15" s="1205">
        <f t="shared" si="2"/>
        <v>100</v>
      </c>
      <c r="X15" s="1197"/>
      <c r="Y15" s="3574" t="s">
        <v>898</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70"/>
      <c r="Q16" s="470"/>
      <c r="R16" s="1204"/>
      <c r="S16" s="1205"/>
      <c r="T16" s="1204"/>
      <c r="U16" s="1205"/>
      <c r="V16" s="1204"/>
      <c r="W16" s="1205"/>
      <c r="X16" s="1197"/>
      <c r="Y16" s="3575"/>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70"/>
      <c r="Q17" s="470" t="str">
        <f>B17</f>
        <v>交通便捷度</v>
      </c>
      <c r="R17" s="1204" t="s">
        <v>886</v>
      </c>
      <c r="S17" s="1205">
        <f>F17</f>
        <v>100</v>
      </c>
      <c r="T17" s="1204" t="s">
        <v>886</v>
      </c>
      <c r="U17" s="1205">
        <f>H17</f>
        <v>100</v>
      </c>
      <c r="V17" s="1204" t="s">
        <v>886</v>
      </c>
      <c r="W17" s="1205">
        <f>J17</f>
        <v>100</v>
      </c>
      <c r="X17" s="1197"/>
      <c r="Y17" s="3575"/>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70"/>
      <c r="Q18" s="470"/>
      <c r="R18" s="1204"/>
      <c r="S18" s="1205"/>
      <c r="T18" s="1204"/>
      <c r="U18" s="1205"/>
      <c r="V18" s="1204"/>
      <c r="W18" s="1205"/>
      <c r="X18" s="1197"/>
      <c r="Y18" s="3575"/>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70"/>
      <c r="Q19" s="470" t="str">
        <f>B19</f>
        <v>公共配套设施</v>
      </c>
      <c r="R19" s="1204" t="s">
        <v>886</v>
      </c>
      <c r="S19" s="1205">
        <f>F19</f>
        <v>100</v>
      </c>
      <c r="T19" s="1204" t="s">
        <v>886</v>
      </c>
      <c r="U19" s="1205">
        <f>H19</f>
        <v>100</v>
      </c>
      <c r="V19" s="1204" t="s">
        <v>886</v>
      </c>
      <c r="W19" s="1205">
        <f>J19</f>
        <v>100</v>
      </c>
      <c r="X19" s="1197"/>
      <c r="Y19" s="3575"/>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70"/>
      <c r="Q20" s="470"/>
      <c r="R20" s="1204"/>
      <c r="S20" s="1205"/>
      <c r="T20" s="1204"/>
      <c r="U20" s="1205"/>
      <c r="V20" s="1204"/>
      <c r="W20" s="1205"/>
      <c r="X20" s="1197"/>
      <c r="Y20" s="3575"/>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70"/>
      <c r="Q21" s="470" t="str">
        <f>B21</f>
        <v>基础设施水平</v>
      </c>
      <c r="R21" s="1204" t="s">
        <v>886</v>
      </c>
      <c r="S21" s="1205">
        <f>F21</f>
        <v>100</v>
      </c>
      <c r="T21" s="1204" t="s">
        <v>886</v>
      </c>
      <c r="U21" s="1205">
        <f>H21</f>
        <v>100</v>
      </c>
      <c r="V21" s="1204" t="s">
        <v>886</v>
      </c>
      <c r="W21" s="1205">
        <f>J21</f>
        <v>100</v>
      </c>
      <c r="X21" s="1197"/>
      <c r="Y21" s="3575"/>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70"/>
      <c r="Q22" s="470"/>
      <c r="R22" s="1204"/>
      <c r="S22" s="1205"/>
      <c r="T22" s="1204"/>
      <c r="U22" s="1205"/>
      <c r="V22" s="1204"/>
      <c r="W22" s="1205"/>
      <c r="X22" s="1197"/>
      <c r="Y22" s="3575"/>
      <c r="Z22" s="1196"/>
      <c r="AA22" s="1216">
        <v>1</v>
      </c>
      <c r="AB22" s="1216">
        <v>1</v>
      </c>
      <c r="AC22" s="1216">
        <v>1</v>
      </c>
    </row>
    <row r="23" spans="1:29" ht="57">
      <c r="A23" s="483"/>
      <c r="B23" s="1572" t="s">
        <v>902</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70"/>
      <c r="Q23" s="470" t="str">
        <f>B23</f>
        <v>自然及人文环境</v>
      </c>
      <c r="R23" s="1204" t="s">
        <v>886</v>
      </c>
      <c r="S23" s="1205">
        <f>F23</f>
        <v>100</v>
      </c>
      <c r="T23" s="1204" t="s">
        <v>886</v>
      </c>
      <c r="U23" s="1205">
        <f>H23</f>
        <v>100</v>
      </c>
      <c r="V23" s="1204" t="s">
        <v>886</v>
      </c>
      <c r="W23" s="1205">
        <f>J23</f>
        <v>100</v>
      </c>
      <c r="X23" s="1197"/>
      <c r="Y23" s="3575"/>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70"/>
      <c r="Q24" s="470"/>
      <c r="R24" s="1204"/>
      <c r="S24" s="1205"/>
      <c r="T24" s="1204"/>
      <c r="U24" s="1205"/>
      <c r="V24" s="1204"/>
      <c r="W24" s="1205"/>
      <c r="X24" s="1197"/>
      <c r="Y24" s="3575"/>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70"/>
      <c r="Q25" s="470" t="str">
        <f t="shared" ref="Q25:Q46" si="11">B25</f>
        <v>临街状况</v>
      </c>
      <c r="R25" s="1204" t="s">
        <v>886</v>
      </c>
      <c r="S25" s="1205">
        <f>F25</f>
        <v>100</v>
      </c>
      <c r="T25" s="1204" t="s">
        <v>886</v>
      </c>
      <c r="U25" s="1205">
        <f>H25</f>
        <v>100</v>
      </c>
      <c r="V25" s="1204" t="s">
        <v>886</v>
      </c>
      <c r="W25" s="1205">
        <f>J25</f>
        <v>100</v>
      </c>
      <c r="X25" s="1197"/>
      <c r="Y25" s="3575"/>
      <c r="Z25" s="1196" t="str">
        <f>Q25</f>
        <v>临街状况</v>
      </c>
      <c r="AA25" s="1216">
        <f t="shared" si="3"/>
        <v>1</v>
      </c>
      <c r="AB25" s="1216">
        <f t="shared" si="4"/>
        <v>1</v>
      </c>
      <c r="AC25" s="1216">
        <f t="shared" si="5"/>
        <v>1</v>
      </c>
    </row>
    <row r="26" spans="1:29" ht="15">
      <c r="A26" s="483"/>
      <c r="B26" s="1516" t="s">
        <v>1496</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70"/>
      <c r="Q26" s="470" t="str">
        <f t="shared" si="11"/>
        <v>平面位置/可视性</v>
      </c>
      <c r="R26" s="1204" t="s">
        <v>886</v>
      </c>
      <c r="S26" s="1205">
        <f>F26</f>
        <v>100</v>
      </c>
      <c r="T26" s="1204" t="s">
        <v>886</v>
      </c>
      <c r="U26" s="1205">
        <f>H26</f>
        <v>100</v>
      </c>
      <c r="V26" s="1204" t="s">
        <v>886</v>
      </c>
      <c r="W26" s="1205">
        <f>J26</f>
        <v>100</v>
      </c>
      <c r="X26" s="1197"/>
      <c r="Y26" s="3575"/>
      <c r="Z26" s="1196" t="str">
        <f>Q26</f>
        <v>平面位置/可视性</v>
      </c>
      <c r="AA26" s="1216">
        <f t="shared" si="3"/>
        <v>1</v>
      </c>
      <c r="AB26" s="1216">
        <f t="shared" si="4"/>
        <v>1</v>
      </c>
      <c r="AC26" s="1216">
        <f t="shared" si="5"/>
        <v>1</v>
      </c>
    </row>
    <row r="27" spans="1:29" s="1014" customFormat="1" ht="15">
      <c r="A27" s="1058"/>
      <c r="B27" s="1572" t="s">
        <v>1497</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70"/>
      <c r="Q27" s="1203" t="str">
        <f t="shared" si="11"/>
        <v>人流量</v>
      </c>
      <c r="R27" s="1199" t="s">
        <v>886</v>
      </c>
      <c r="S27" s="1200">
        <f>F27</f>
        <v>100</v>
      </c>
      <c r="T27" s="1199" t="s">
        <v>886</v>
      </c>
      <c r="U27" s="1200">
        <f>H27</f>
        <v>100</v>
      </c>
      <c r="V27" s="1199" t="s">
        <v>886</v>
      </c>
      <c r="W27" s="1200">
        <f>J27</f>
        <v>100</v>
      </c>
      <c r="X27" s="1201"/>
      <c r="Y27" s="3575"/>
      <c r="Z27" s="1215" t="str">
        <f>Q27</f>
        <v>人流量</v>
      </c>
      <c r="AA27" s="1216">
        <f t="shared" si="3"/>
        <v>1</v>
      </c>
      <c r="AB27" s="1216">
        <f t="shared" si="4"/>
        <v>1</v>
      </c>
      <c r="AC27" s="1216">
        <f t="shared" si="5"/>
        <v>1</v>
      </c>
    </row>
    <row r="28" spans="1:29" ht="15">
      <c r="A28" s="483"/>
      <c r="B28" s="1051" t="s">
        <v>1498</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70"/>
      <c r="Q28" s="470" t="str">
        <f t="shared" si="11"/>
        <v>楼层</v>
      </c>
      <c r="R28" s="1204" t="s">
        <v>886</v>
      </c>
      <c r="S28" s="1205">
        <f t="shared" ref="S28:S46" si="12">F28</f>
        <v>100</v>
      </c>
      <c r="T28" s="1204" t="s">
        <v>886</v>
      </c>
      <c r="U28" s="1205">
        <f t="shared" ref="U28:U46" si="13">H28</f>
        <v>100</v>
      </c>
      <c r="V28" s="1204" t="s">
        <v>886</v>
      </c>
      <c r="W28" s="1205">
        <f t="shared" ref="W28:W46" si="14">J28</f>
        <v>100</v>
      </c>
      <c r="X28" s="1197"/>
      <c r="Y28" s="3575"/>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70"/>
      <c r="Q29" s="470">
        <f t="shared" si="11"/>
        <v>111</v>
      </c>
      <c r="R29" s="1204" t="s">
        <v>886</v>
      </c>
      <c r="S29" s="1205">
        <f t="shared" si="12"/>
        <v>100</v>
      </c>
      <c r="T29" s="1204" t="s">
        <v>886</v>
      </c>
      <c r="U29" s="1205">
        <f t="shared" si="13"/>
        <v>100</v>
      </c>
      <c r="V29" s="1204" t="s">
        <v>886</v>
      </c>
      <c r="W29" s="1205">
        <f t="shared" si="14"/>
        <v>100</v>
      </c>
      <c r="X29" s="1197"/>
      <c r="Y29" s="3575"/>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70"/>
      <c r="Q30" s="470">
        <f t="shared" si="11"/>
        <v>111</v>
      </c>
      <c r="R30" s="1204" t="s">
        <v>886</v>
      </c>
      <c r="S30" s="1205">
        <f t="shared" si="12"/>
        <v>100</v>
      </c>
      <c r="T30" s="1204" t="s">
        <v>886</v>
      </c>
      <c r="U30" s="1205">
        <f t="shared" si="13"/>
        <v>100</v>
      </c>
      <c r="V30" s="1204" t="s">
        <v>886</v>
      </c>
      <c r="W30" s="1205">
        <f t="shared" si="14"/>
        <v>100</v>
      </c>
      <c r="X30" s="1197"/>
      <c r="Y30" s="3575"/>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70"/>
      <c r="Q31" s="470">
        <f t="shared" si="11"/>
        <v>111</v>
      </c>
      <c r="R31" s="1204" t="s">
        <v>886</v>
      </c>
      <c r="S31" s="1205">
        <f t="shared" si="12"/>
        <v>100</v>
      </c>
      <c r="T31" s="1204" t="s">
        <v>886</v>
      </c>
      <c r="U31" s="1205">
        <f t="shared" si="13"/>
        <v>100</v>
      </c>
      <c r="V31" s="1204" t="s">
        <v>886</v>
      </c>
      <c r="W31" s="1205">
        <f t="shared" si="14"/>
        <v>100</v>
      </c>
      <c r="X31" s="1197"/>
      <c r="Y31" s="3575"/>
      <c r="Z31" s="1196">
        <f t="shared" si="15"/>
        <v>111</v>
      </c>
      <c r="AA31" s="1216">
        <f t="shared" si="3"/>
        <v>1</v>
      </c>
      <c r="AB31" s="1216">
        <f t="shared" si="4"/>
        <v>1</v>
      </c>
      <c r="AC31" s="1216">
        <f t="shared" si="5"/>
        <v>1</v>
      </c>
    </row>
    <row r="32" spans="1:29" ht="15">
      <c r="A32" s="459" t="s">
        <v>911</v>
      </c>
      <c r="B32" s="1047" t="s">
        <v>1499</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71" t="s">
        <v>914</v>
      </c>
      <c r="Q32" s="470" t="str">
        <f t="shared" si="11"/>
        <v>商业类型</v>
      </c>
      <c r="R32" s="1204" t="s">
        <v>886</v>
      </c>
      <c r="S32" s="1205">
        <f t="shared" si="12"/>
        <v>100</v>
      </c>
      <c r="T32" s="1204" t="s">
        <v>886</v>
      </c>
      <c r="U32" s="1205">
        <f t="shared" si="13"/>
        <v>100</v>
      </c>
      <c r="V32" s="1204" t="s">
        <v>886</v>
      </c>
      <c r="W32" s="1205">
        <f t="shared" si="14"/>
        <v>100</v>
      </c>
      <c r="X32" s="1197"/>
      <c r="Y32" s="3576" t="s">
        <v>914</v>
      </c>
      <c r="Z32" s="1196" t="str">
        <f t="shared" si="15"/>
        <v>商业类型</v>
      </c>
      <c r="AA32" s="1216">
        <f t="shared" si="3"/>
        <v>1</v>
      </c>
      <c r="AB32" s="1216">
        <f t="shared" si="4"/>
        <v>1</v>
      </c>
      <c r="AC32" s="1216">
        <f t="shared" si="5"/>
        <v>1</v>
      </c>
    </row>
    <row r="33" spans="1:29" s="1016" customFormat="1" ht="15">
      <c r="A33" s="1114"/>
      <c r="B33" s="1051" t="s">
        <v>915</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72"/>
      <c r="Q33" s="1548" t="str">
        <f t="shared" si="11"/>
        <v>项目建筑规模</v>
      </c>
      <c r="R33" s="1206" t="s">
        <v>886</v>
      </c>
      <c r="S33" s="1207" t="e">
        <f t="shared" si="12"/>
        <v>#N/A</v>
      </c>
      <c r="T33" s="1206" t="s">
        <v>886</v>
      </c>
      <c r="U33" s="1207" t="e">
        <f t="shared" si="13"/>
        <v>#N/A</v>
      </c>
      <c r="V33" s="1206" t="s">
        <v>886</v>
      </c>
      <c r="W33" s="1207" t="e">
        <f t="shared" si="14"/>
        <v>#N/A</v>
      </c>
      <c r="X33" s="1208"/>
      <c r="Y33" s="3576"/>
      <c r="Z33" s="1217" t="str">
        <f t="shared" si="15"/>
        <v>项目建筑规模</v>
      </c>
      <c r="AA33" s="1216" t="e">
        <f t="shared" si="3"/>
        <v>#N/A</v>
      </c>
      <c r="AB33" s="1216" t="e">
        <f t="shared" si="4"/>
        <v>#N/A</v>
      </c>
      <c r="AC33" s="1216" t="e">
        <f t="shared" si="5"/>
        <v>#N/A</v>
      </c>
    </row>
    <row r="34" spans="1:29" ht="15">
      <c r="A34" s="1109"/>
      <c r="B34" s="1051" t="s">
        <v>916</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72"/>
      <c r="Q34" s="470" t="str">
        <f t="shared" si="11"/>
        <v>建筑结构</v>
      </c>
      <c r="R34" s="1204" t="s">
        <v>886</v>
      </c>
      <c r="S34" s="1205">
        <f t="shared" si="12"/>
        <v>100</v>
      </c>
      <c r="T34" s="1204" t="s">
        <v>886</v>
      </c>
      <c r="U34" s="1205">
        <f t="shared" si="13"/>
        <v>100</v>
      </c>
      <c r="V34" s="1204" t="s">
        <v>886</v>
      </c>
      <c r="W34" s="1205">
        <f t="shared" si="14"/>
        <v>100</v>
      </c>
      <c r="X34" s="1197"/>
      <c r="Y34" s="3576"/>
      <c r="Z34" s="1196" t="str">
        <f t="shared" si="15"/>
        <v>建筑结构</v>
      </c>
      <c r="AA34" s="1216">
        <f t="shared" si="3"/>
        <v>1</v>
      </c>
      <c r="AB34" s="1216">
        <f t="shared" si="4"/>
        <v>1</v>
      </c>
      <c r="AC34" s="1216">
        <f t="shared" si="5"/>
        <v>1</v>
      </c>
    </row>
    <row r="35" spans="1:29" ht="15">
      <c r="A35" s="1109"/>
      <c r="B35" s="1051" t="s">
        <v>919</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72"/>
      <c r="Q35" s="470" t="str">
        <f t="shared" si="11"/>
        <v>公共部分装修</v>
      </c>
      <c r="R35" s="1204" t="s">
        <v>886</v>
      </c>
      <c r="S35" s="1205">
        <f t="shared" si="12"/>
        <v>100</v>
      </c>
      <c r="T35" s="1204" t="s">
        <v>886</v>
      </c>
      <c r="U35" s="1205">
        <f t="shared" si="13"/>
        <v>100</v>
      </c>
      <c r="V35" s="1204" t="s">
        <v>886</v>
      </c>
      <c r="W35" s="1205">
        <f t="shared" si="14"/>
        <v>100</v>
      </c>
      <c r="X35" s="1197"/>
      <c r="Y35" s="3576"/>
      <c r="Z35" s="1196" t="str">
        <f t="shared" si="15"/>
        <v>公共部分装修</v>
      </c>
      <c r="AA35" s="1216">
        <f t="shared" si="3"/>
        <v>1</v>
      </c>
      <c r="AB35" s="1216">
        <f t="shared" si="4"/>
        <v>1</v>
      </c>
      <c r="AC35" s="1216">
        <f t="shared" si="5"/>
        <v>1</v>
      </c>
    </row>
    <row r="36" spans="1:29" ht="15">
      <c r="A36" s="1109"/>
      <c r="B36" s="1051" t="s">
        <v>920</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72"/>
      <c r="Q36" s="470" t="str">
        <f t="shared" si="11"/>
        <v>成新度</v>
      </c>
      <c r="R36" s="1204" t="s">
        <v>886</v>
      </c>
      <c r="S36" s="1205" t="e">
        <f t="shared" si="12"/>
        <v>#N/A</v>
      </c>
      <c r="T36" s="1204" t="s">
        <v>886</v>
      </c>
      <c r="U36" s="1205" t="e">
        <f t="shared" si="13"/>
        <v>#N/A</v>
      </c>
      <c r="V36" s="1204" t="s">
        <v>886</v>
      </c>
      <c r="W36" s="1205" t="e">
        <f t="shared" si="14"/>
        <v>#N/A</v>
      </c>
      <c r="X36" s="1197"/>
      <c r="Y36" s="3576"/>
      <c r="Z36" s="1196" t="str">
        <f t="shared" si="15"/>
        <v>成新度</v>
      </c>
      <c r="AA36" s="1216" t="e">
        <f t="shared" si="3"/>
        <v>#N/A</v>
      </c>
      <c r="AB36" s="1216" t="e">
        <f t="shared" si="4"/>
        <v>#N/A</v>
      </c>
      <c r="AC36" s="1216" t="e">
        <f t="shared" si="5"/>
        <v>#N/A</v>
      </c>
    </row>
    <row r="37" spans="1:29" s="1014" customFormat="1" ht="15">
      <c r="A37" s="1111"/>
      <c r="B37" s="1051" t="s">
        <v>923</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72"/>
      <c r="Q37" s="1203" t="str">
        <f t="shared" si="11"/>
        <v>市政基础设施</v>
      </c>
      <c r="R37" s="1199" t="s">
        <v>886</v>
      </c>
      <c r="S37" s="1200">
        <f t="shared" si="12"/>
        <v>100</v>
      </c>
      <c r="T37" s="1199" t="s">
        <v>886</v>
      </c>
      <c r="U37" s="1200">
        <f t="shared" si="13"/>
        <v>100</v>
      </c>
      <c r="V37" s="1199" t="s">
        <v>886</v>
      </c>
      <c r="W37" s="1200">
        <f t="shared" si="14"/>
        <v>100</v>
      </c>
      <c r="X37" s="1201"/>
      <c r="Y37" s="3576"/>
      <c r="Z37" s="1215" t="str">
        <f t="shared" si="15"/>
        <v>市政基础设施</v>
      </c>
      <c r="AA37" s="1214">
        <f t="shared" si="3"/>
        <v>1</v>
      </c>
      <c r="AB37" s="1214">
        <f t="shared" si="4"/>
        <v>1</v>
      </c>
      <c r="AC37" s="1214">
        <f t="shared" si="5"/>
        <v>1</v>
      </c>
    </row>
    <row r="38" spans="1:29" ht="15">
      <c r="A38" s="1109"/>
      <c r="B38" s="1051" t="s">
        <v>1500</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72" t="s">
        <v>914</v>
      </c>
      <c r="Q38" s="470" t="str">
        <f t="shared" si="11"/>
        <v>业态</v>
      </c>
      <c r="R38" s="1204" t="s">
        <v>886</v>
      </c>
      <c r="S38" s="1205">
        <f t="shared" si="12"/>
        <v>100</v>
      </c>
      <c r="T38" s="1204" t="s">
        <v>886</v>
      </c>
      <c r="U38" s="1205">
        <f t="shared" si="13"/>
        <v>100</v>
      </c>
      <c r="V38" s="1204" t="s">
        <v>886</v>
      </c>
      <c r="W38" s="1205">
        <f t="shared" si="14"/>
        <v>100</v>
      </c>
      <c r="X38" s="1197"/>
      <c r="Y38" s="3576" t="s">
        <v>914</v>
      </c>
      <c r="Z38" s="1196" t="str">
        <f t="shared" si="15"/>
        <v>业态</v>
      </c>
      <c r="AA38" s="1216">
        <f t="shared" si="3"/>
        <v>1</v>
      </c>
      <c r="AB38" s="1216">
        <f t="shared" si="4"/>
        <v>1</v>
      </c>
      <c r="AC38" s="1216">
        <f t="shared" si="5"/>
        <v>1</v>
      </c>
    </row>
    <row r="39" spans="1:29" ht="15">
      <c r="A39" s="1109"/>
      <c r="B39" s="1051" t="s">
        <v>1501</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72"/>
      <c r="Q39" s="470" t="str">
        <f t="shared" si="11"/>
        <v>层高</v>
      </c>
      <c r="R39" s="1204" t="s">
        <v>886</v>
      </c>
      <c r="S39" s="1205">
        <f t="shared" si="12"/>
        <v>100</v>
      </c>
      <c r="T39" s="1204" t="s">
        <v>886</v>
      </c>
      <c r="U39" s="1205">
        <f t="shared" si="13"/>
        <v>100</v>
      </c>
      <c r="V39" s="1204" t="s">
        <v>886</v>
      </c>
      <c r="W39" s="1205">
        <f t="shared" si="14"/>
        <v>100</v>
      </c>
      <c r="X39" s="1197"/>
      <c r="Y39" s="3576"/>
      <c r="Z39" s="1196" t="str">
        <f t="shared" si="15"/>
        <v>层高</v>
      </c>
      <c r="AA39" s="1216">
        <f t="shared" si="3"/>
        <v>1</v>
      </c>
      <c r="AB39" s="1216">
        <f t="shared" si="4"/>
        <v>1</v>
      </c>
      <c r="AC39" s="1216">
        <f t="shared" si="5"/>
        <v>1</v>
      </c>
    </row>
    <row r="40" spans="1:29" ht="15">
      <c r="A40" s="1109"/>
      <c r="B40" s="1051" t="s">
        <v>1502</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72"/>
      <c r="Q40" s="470" t="str">
        <f t="shared" si="11"/>
        <v>单套建筑面积</v>
      </c>
      <c r="R40" s="1204" t="s">
        <v>886</v>
      </c>
      <c r="S40" s="1205">
        <f t="shared" si="12"/>
        <v>100</v>
      </c>
      <c r="T40" s="1204" t="s">
        <v>886</v>
      </c>
      <c r="U40" s="1205">
        <f t="shared" si="13"/>
        <v>100</v>
      </c>
      <c r="V40" s="1204" t="s">
        <v>886</v>
      </c>
      <c r="W40" s="1205">
        <f t="shared" si="14"/>
        <v>100</v>
      </c>
      <c r="X40" s="1197"/>
      <c r="Y40" s="3576"/>
      <c r="Z40" s="1196" t="str">
        <f t="shared" si="15"/>
        <v>单套建筑面积</v>
      </c>
      <c r="AA40" s="1216">
        <f t="shared" si="3"/>
        <v>1</v>
      </c>
      <c r="AB40" s="1216">
        <f t="shared" si="4"/>
        <v>1</v>
      </c>
      <c r="AC40" s="1216">
        <f t="shared" si="5"/>
        <v>1</v>
      </c>
    </row>
    <row r="41" spans="1:29" s="1016" customFormat="1" ht="15">
      <c r="A41" s="1114"/>
      <c r="B41" s="1190" t="s">
        <v>1503</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72"/>
      <c r="Q41" s="1548" t="str">
        <f t="shared" si="11"/>
        <v>进深比</v>
      </c>
      <c r="R41" s="1206" t="s">
        <v>886</v>
      </c>
      <c r="S41" s="1207">
        <f t="shared" si="12"/>
        <v>100</v>
      </c>
      <c r="T41" s="1206" t="s">
        <v>886</v>
      </c>
      <c r="U41" s="1207">
        <f t="shared" si="13"/>
        <v>100</v>
      </c>
      <c r="V41" s="1206" t="s">
        <v>886</v>
      </c>
      <c r="W41" s="1207">
        <f t="shared" si="14"/>
        <v>100</v>
      </c>
      <c r="X41" s="1208"/>
      <c r="Y41" s="3576"/>
      <c r="Z41" s="1217" t="str">
        <f t="shared" si="15"/>
        <v>进深比</v>
      </c>
      <c r="AA41" s="1216">
        <f t="shared" si="3"/>
        <v>1</v>
      </c>
      <c r="AB41" s="1216">
        <f t="shared" si="4"/>
        <v>1</v>
      </c>
      <c r="AC41" s="1216">
        <f t="shared" si="5"/>
        <v>1</v>
      </c>
    </row>
    <row r="42" spans="1:29" ht="15">
      <c r="A42" s="1109"/>
      <c r="B42" s="1051" t="s">
        <v>926</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72"/>
      <c r="Q42" s="470" t="str">
        <f t="shared" si="11"/>
        <v>内部装修</v>
      </c>
      <c r="R42" s="1204" t="s">
        <v>886</v>
      </c>
      <c r="S42" s="1205">
        <f t="shared" si="12"/>
        <v>100</v>
      </c>
      <c r="T42" s="1204" t="s">
        <v>886</v>
      </c>
      <c r="U42" s="1205">
        <f t="shared" si="13"/>
        <v>100</v>
      </c>
      <c r="V42" s="1204" t="s">
        <v>886</v>
      </c>
      <c r="W42" s="1205">
        <f t="shared" si="14"/>
        <v>100</v>
      </c>
      <c r="X42" s="1197"/>
      <c r="Y42" s="3576"/>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72"/>
      <c r="Q43" s="470" t="str">
        <f t="shared" si="11"/>
        <v>内部装修维护情况</v>
      </c>
      <c r="R43" s="1204" t="s">
        <v>886</v>
      </c>
      <c r="S43" s="1205">
        <f t="shared" si="12"/>
        <v>100</v>
      </c>
      <c r="T43" s="1204" t="s">
        <v>886</v>
      </c>
      <c r="U43" s="1205">
        <f t="shared" si="13"/>
        <v>100</v>
      </c>
      <c r="V43" s="1204" t="s">
        <v>886</v>
      </c>
      <c r="W43" s="1205">
        <f t="shared" si="14"/>
        <v>100</v>
      </c>
      <c r="X43" s="1197"/>
      <c r="Y43" s="3576"/>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72"/>
      <c r="Q44" s="1203">
        <f t="shared" si="11"/>
        <v>111</v>
      </c>
      <c r="R44" s="1199" t="s">
        <v>886</v>
      </c>
      <c r="S44" s="1200">
        <f t="shared" si="12"/>
        <v>100</v>
      </c>
      <c r="T44" s="1199" t="s">
        <v>886</v>
      </c>
      <c r="U44" s="1200">
        <f t="shared" si="13"/>
        <v>100</v>
      </c>
      <c r="V44" s="1199" t="s">
        <v>886</v>
      </c>
      <c r="W44" s="1200">
        <f t="shared" si="14"/>
        <v>100</v>
      </c>
      <c r="X44" s="1201"/>
      <c r="Y44" s="3576"/>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72"/>
      <c r="Q45" s="470">
        <f t="shared" si="11"/>
        <v>111</v>
      </c>
      <c r="R45" s="1204" t="s">
        <v>886</v>
      </c>
      <c r="S45" s="1205">
        <f t="shared" si="12"/>
        <v>100</v>
      </c>
      <c r="T45" s="1204" t="s">
        <v>886</v>
      </c>
      <c r="U45" s="1205">
        <f t="shared" si="13"/>
        <v>100</v>
      </c>
      <c r="V45" s="1204" t="s">
        <v>886</v>
      </c>
      <c r="W45" s="1205">
        <f t="shared" si="14"/>
        <v>100</v>
      </c>
      <c r="X45" s="1197"/>
      <c r="Y45" s="3576"/>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73"/>
      <c r="Q46" s="470">
        <f t="shared" si="11"/>
        <v>111</v>
      </c>
      <c r="R46" s="1204" t="s">
        <v>886</v>
      </c>
      <c r="S46" s="1205">
        <f t="shared" si="12"/>
        <v>100</v>
      </c>
      <c r="T46" s="1204" t="s">
        <v>886</v>
      </c>
      <c r="U46" s="1205">
        <f t="shared" si="13"/>
        <v>100</v>
      </c>
      <c r="V46" s="1204" t="s">
        <v>886</v>
      </c>
      <c r="W46" s="1205">
        <f t="shared" si="14"/>
        <v>100</v>
      </c>
      <c r="X46" s="1197"/>
      <c r="Y46" s="3577"/>
      <c r="Z46" s="1196">
        <f t="shared" si="15"/>
        <v>111</v>
      </c>
      <c r="AA46" s="1216">
        <f t="shared" si="3"/>
        <v>1</v>
      </c>
      <c r="AB46" s="1216">
        <f t="shared" si="4"/>
        <v>1</v>
      </c>
      <c r="AC46" s="1216">
        <f t="shared" si="5"/>
        <v>1</v>
      </c>
    </row>
    <row r="47" spans="1:29" ht="15">
      <c r="A47" s="1117" t="s">
        <v>929</v>
      </c>
      <c r="B47" s="1519"/>
      <c r="C47" s="1520" t="s">
        <v>121</v>
      </c>
      <c r="D47" s="1521"/>
      <c r="E47" s="1522"/>
      <c r="F47" s="1523"/>
      <c r="G47" s="1524"/>
      <c r="H47" s="1525"/>
      <c r="I47" s="1522"/>
      <c r="J47" s="1525"/>
      <c r="K47" s="1187"/>
      <c r="L47" s="1188"/>
      <c r="N47" s="1160"/>
      <c r="P47" s="3559" t="str">
        <f>A47</f>
        <v>成交单价（元/平方米）</v>
      </c>
      <c r="Q47" s="3559"/>
      <c r="R47" s="3560">
        <f>E47</f>
        <v>0</v>
      </c>
      <c r="S47" s="3560"/>
      <c r="T47" s="3560">
        <f>G47</f>
        <v>0</v>
      </c>
      <c r="U47" s="3560"/>
      <c r="V47" s="3560">
        <f>I47</f>
        <v>0</v>
      </c>
      <c r="W47" s="3560"/>
      <c r="X47" s="1209"/>
      <c r="Y47" s="1218"/>
      <c r="Z47" s="1209"/>
      <c r="AA47" s="1209"/>
      <c r="AB47" s="1209"/>
      <c r="AC47" s="1209"/>
    </row>
    <row r="48" spans="1:29" ht="15">
      <c r="A48" s="1125" t="s">
        <v>930</v>
      </c>
      <c r="B48" s="1526"/>
      <c r="C48" s="1527" t="e">
        <f>R49</f>
        <v>#DIV/0!</v>
      </c>
      <c r="D48" s="790" t="s">
        <v>931</v>
      </c>
      <c r="E48" s="1528" t="e">
        <f>R48</f>
        <v>#DIV/0!</v>
      </c>
      <c r="F48" s="791"/>
      <c r="G48" s="1527" t="e">
        <f>T48</f>
        <v>#DIV/0!</v>
      </c>
      <c r="H48" s="791"/>
      <c r="I48" s="1528" t="e">
        <f>V48</f>
        <v>#DIV/0!</v>
      </c>
      <c r="J48" s="791"/>
      <c r="K48" s="869">
        <f>F48+H48+J48</f>
        <v>0</v>
      </c>
      <c r="L48" s="1188"/>
      <c r="N48" s="1160"/>
      <c r="P48" s="3559" t="str">
        <f>A48</f>
        <v>比较价值（元/平方米）</v>
      </c>
      <c r="Q48" s="3559"/>
      <c r="R48" s="3560" t="e">
        <f>IF(E1="售价",ROUND(PRODUCT(R47,AA7:AA46),0),ROUND(PRODUCT(R47,AA7:AA46),1))</f>
        <v>#DIV/0!</v>
      </c>
      <c r="S48" s="3560"/>
      <c r="T48" s="3560" t="e">
        <f>IF(E1="售价",ROUND(PRODUCT(T47,AB7:AB46),0),ROUND(PRODUCT(T47,AB7:AB46),1))</f>
        <v>#DIV/0!</v>
      </c>
      <c r="U48" s="3560"/>
      <c r="V48" s="3560" t="e">
        <f>IF(E1="售价",ROUND(PRODUCT(V47,AC7:AC46),0),ROUND(PRODUCT(V47,AC7:AC46),1))</f>
        <v>#DIV/0!</v>
      </c>
      <c r="W48" s="3560"/>
      <c r="X48" s="1209"/>
      <c r="Y48" s="1209"/>
      <c r="Z48" s="1209"/>
      <c r="AA48" s="1209"/>
      <c r="AB48" s="1209"/>
      <c r="AC48" s="1209"/>
    </row>
    <row r="49" spans="1:29" ht="15">
      <c r="A49" s="1129" t="s">
        <v>1504</v>
      </c>
      <c r="B49" s="1130"/>
      <c r="C49" s="1529" t="e">
        <f>R49</f>
        <v>#DIV/0!</v>
      </c>
      <c r="D49" s="1529"/>
      <c r="E49" s="1529"/>
      <c r="F49" s="1529"/>
      <c r="G49" s="1529"/>
      <c r="H49" s="1529"/>
      <c r="I49" s="1529"/>
      <c r="J49" s="1529"/>
      <c r="K49" s="1189"/>
      <c r="L49" s="1188"/>
      <c r="N49" s="1160"/>
      <c r="P49" s="3563" t="str">
        <f>A49</f>
        <v>估价对象XX用房的比较价值（楼面单价，元/平方米）</v>
      </c>
      <c r="Q49" s="3564"/>
      <c r="R49" s="3565" t="e">
        <f>IF(E1="售价",ROUND(IF(D48="简单平均",AVERAGE(R48:V48),R48*F48+T48*H48+V48*J48),0),ROUND(IF(D48="简单平均",AVERAGE(R48:V48),R48*F48+T48*H48+V48*J48),1))</f>
        <v>#DIV/0!</v>
      </c>
      <c r="S49" s="3565"/>
      <c r="T49" s="3565"/>
      <c r="U49" s="3565"/>
      <c r="V49" s="3565"/>
      <c r="W49" s="3565"/>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933</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934</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935</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936</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884</v>
      </c>
      <c r="B58" s="1531"/>
      <c r="C58" s="1532" t="str">
        <f>YEAR(C7)&amp;"-"&amp;MONTH(C7)</f>
        <v>2022-11</v>
      </c>
      <c r="D58" s="1533">
        <f>EDATE(C58,-1)</f>
        <v>44835</v>
      </c>
      <c r="E58" s="1533">
        <f t="shared" ref="E58:O58" si="16">EDATE(D58,-1)</f>
        <v>44805</v>
      </c>
      <c r="F58" s="1533">
        <f t="shared" si="16"/>
        <v>44774</v>
      </c>
      <c r="G58" s="1533">
        <f t="shared" si="16"/>
        <v>44743</v>
      </c>
      <c r="H58" s="1533">
        <f t="shared" si="16"/>
        <v>44713</v>
      </c>
      <c r="I58" s="1533">
        <f t="shared" si="16"/>
        <v>44682</v>
      </c>
      <c r="J58" s="1533">
        <f t="shared" si="16"/>
        <v>44652</v>
      </c>
      <c r="K58" s="1533">
        <f t="shared" si="16"/>
        <v>44621</v>
      </c>
      <c r="L58" s="1533">
        <f t="shared" si="16"/>
        <v>44593</v>
      </c>
      <c r="M58" s="1533">
        <f t="shared" si="16"/>
        <v>44562</v>
      </c>
      <c r="N58" s="1533">
        <f t="shared" si="16"/>
        <v>44531</v>
      </c>
      <c r="O58" s="1533">
        <f t="shared" si="16"/>
        <v>44501</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937</v>
      </c>
      <c r="B60" s="1236"/>
      <c r="C60" s="1237"/>
      <c r="D60" s="1238"/>
      <c r="E60" s="1238"/>
      <c r="F60" s="1238"/>
      <c r="G60" s="1238"/>
      <c r="H60" s="1238"/>
      <c r="I60" s="1238"/>
      <c r="J60" s="1238"/>
      <c r="K60" s="1238"/>
      <c r="L60" s="1238"/>
      <c r="M60" s="1287"/>
      <c r="N60" s="1238"/>
      <c r="O60" s="1287"/>
      <c r="P60" s="1591"/>
      <c r="Q60" s="1286"/>
    </row>
    <row r="61" spans="1:29" s="1014" customFormat="1" ht="15">
      <c r="A61" s="1239" t="s">
        <v>887</v>
      </c>
      <c r="B61" s="1240"/>
      <c r="C61" s="1241" t="s">
        <v>888</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938</v>
      </c>
      <c r="B63" s="1245" t="s">
        <v>892</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895</v>
      </c>
      <c r="C65" s="1250" t="s">
        <v>939</v>
      </c>
      <c r="D65" s="1250" t="s">
        <v>940</v>
      </c>
      <c r="E65" s="1250" t="s">
        <v>941</v>
      </c>
      <c r="F65" s="1250" t="s">
        <v>942</v>
      </c>
      <c r="G65" s="1250" t="s">
        <v>943</v>
      </c>
      <c r="H65" s="1250" t="s">
        <v>944</v>
      </c>
      <c r="I65" s="1250" t="s">
        <v>945</v>
      </c>
      <c r="J65" s="1250"/>
      <c r="K65" s="973"/>
      <c r="L65" s="973"/>
      <c r="M65" s="1298"/>
      <c r="N65" s="1294"/>
      <c r="O65" s="1294"/>
      <c r="P65" s="1593"/>
      <c r="Q65" s="1286"/>
    </row>
    <row r="66" spans="1:17" ht="15">
      <c r="A66" s="1246"/>
      <c r="B66" s="1251"/>
      <c r="C66" s="1252" t="s">
        <v>1505</v>
      </c>
      <c r="D66" s="1252" t="s">
        <v>1505</v>
      </c>
      <c r="E66" s="1252" t="s">
        <v>1505</v>
      </c>
      <c r="F66" s="1252">
        <v>100</v>
      </c>
      <c r="G66" s="1252">
        <f>F66-$K10</f>
        <v>100</v>
      </c>
      <c r="H66" s="1252">
        <f>G66-$K10</f>
        <v>100</v>
      </c>
      <c r="I66" s="1252">
        <f>H66-$K10</f>
        <v>100</v>
      </c>
      <c r="J66" s="1252"/>
      <c r="K66" s="1252"/>
      <c r="L66" s="1252"/>
      <c r="M66" s="1299"/>
      <c r="N66" s="1297"/>
      <c r="O66" s="1297"/>
      <c r="P66" s="1593"/>
      <c r="Q66" s="1286"/>
    </row>
    <row r="67" spans="1:17" ht="15">
      <c r="A67" s="1246"/>
      <c r="B67" s="1253" t="s">
        <v>896</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897</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946</v>
      </c>
      <c r="D82" s="1250" t="s">
        <v>947</v>
      </c>
      <c r="E82" s="1250" t="s">
        <v>948</v>
      </c>
      <c r="F82" s="1250" t="s">
        <v>949</v>
      </c>
      <c r="G82" s="1250" t="s">
        <v>950</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902</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911</v>
      </c>
      <c r="B100" s="1245" t="s">
        <v>1499</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915</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916</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919</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920</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923</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1500</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1501</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1502</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1506</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926</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1507</v>
      </c>
      <c r="C1" s="1480"/>
      <c r="D1" s="1479"/>
      <c r="E1" s="1481"/>
      <c r="F1" s="1482" t="s">
        <v>869</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870</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871</v>
      </c>
      <c r="B3" s="1031" t="e">
        <f ca="1">ROUND(IF(D2="——",C50,IF(C2="万元",B2*10000/D3,B2/D3)),0)</f>
        <v>#DIV/0!</v>
      </c>
      <c r="C3" s="1490" t="s">
        <v>872</v>
      </c>
      <c r="D3" s="1490">
        <f>IF(C1="仅计算典型户型",'数据-取费表'!E5,'数据-取费表'!B5)</f>
        <v>59.11</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873</v>
      </c>
      <c r="B4" s="1033"/>
      <c r="C4" s="3583" t="s">
        <v>874</v>
      </c>
      <c r="D4" s="3584"/>
      <c r="E4" s="3585" t="s">
        <v>875</v>
      </c>
      <c r="F4" s="3586"/>
      <c r="G4" s="3583" t="s">
        <v>876</v>
      </c>
      <c r="H4" s="3584"/>
      <c r="I4" s="3583" t="s">
        <v>877</v>
      </c>
      <c r="J4" s="3584"/>
      <c r="K4" s="1158" t="s">
        <v>878</v>
      </c>
      <c r="L4" s="1159"/>
      <c r="M4" s="1160"/>
      <c r="N4" s="1160"/>
      <c r="O4" s="1160"/>
      <c r="P4" s="3546" t="s">
        <v>879</v>
      </c>
      <c r="Q4" s="3547"/>
      <c r="R4" s="3552" t="s">
        <v>875</v>
      </c>
      <c r="S4" s="3553"/>
      <c r="T4" s="3552" t="s">
        <v>876</v>
      </c>
      <c r="U4" s="3553"/>
      <c r="V4" s="3558" t="s">
        <v>877</v>
      </c>
      <c r="W4" s="3558"/>
      <c r="X4" s="1197"/>
      <c r="Y4" s="3552" t="s">
        <v>879</v>
      </c>
      <c r="Z4" s="3553"/>
      <c r="AA4" s="3543" t="s">
        <v>875</v>
      </c>
      <c r="AB4" s="3543" t="s">
        <v>876</v>
      </c>
      <c r="AC4" s="3543" t="s">
        <v>877</v>
      </c>
    </row>
    <row r="5" spans="1:29" ht="15">
      <c r="A5" s="1034"/>
      <c r="B5" s="1035"/>
      <c r="C5" s="3587" t="s">
        <v>880</v>
      </c>
      <c r="D5" s="3588"/>
      <c r="E5" s="3622" t="s">
        <v>1493</v>
      </c>
      <c r="F5" s="3590"/>
      <c r="G5" s="3587" t="s">
        <v>1494</v>
      </c>
      <c r="H5" s="3588"/>
      <c r="I5" s="3587" t="s">
        <v>1495</v>
      </c>
      <c r="J5" s="3588"/>
      <c r="K5" s="1158"/>
      <c r="L5" s="1159"/>
      <c r="M5" s="1160"/>
      <c r="N5" s="1160"/>
      <c r="O5" s="1160"/>
      <c r="P5" s="3548"/>
      <c r="Q5" s="3549"/>
      <c r="R5" s="3554"/>
      <c r="S5" s="3555"/>
      <c r="T5" s="3554"/>
      <c r="U5" s="3555"/>
      <c r="V5" s="3558"/>
      <c r="W5" s="3558"/>
      <c r="X5" s="1197"/>
      <c r="Y5" s="3554"/>
      <c r="Z5" s="3555"/>
      <c r="AA5" s="3544"/>
      <c r="AB5" s="3544"/>
      <c r="AC5" s="3544"/>
    </row>
    <row r="6" spans="1:29" ht="15">
      <c r="A6" s="1036"/>
      <c r="B6" s="1037"/>
      <c r="C6" s="3578" t="s">
        <v>882</v>
      </c>
      <c r="D6" s="3579"/>
      <c r="E6" s="3580" t="s">
        <v>882</v>
      </c>
      <c r="F6" s="3581"/>
      <c r="G6" s="3578" t="s">
        <v>882</v>
      </c>
      <c r="H6" s="3579"/>
      <c r="I6" s="3578" t="s">
        <v>882</v>
      </c>
      <c r="J6" s="3579"/>
      <c r="K6" s="1158" t="s">
        <v>883</v>
      </c>
      <c r="L6" s="1159"/>
      <c r="M6" s="1160"/>
      <c r="N6" s="1160"/>
      <c r="O6" s="1160"/>
      <c r="P6" s="3550"/>
      <c r="Q6" s="3551"/>
      <c r="R6" s="3554"/>
      <c r="S6" s="3555"/>
      <c r="T6" s="3556"/>
      <c r="U6" s="3557"/>
      <c r="V6" s="3558"/>
      <c r="W6" s="3558"/>
      <c r="X6" s="1197"/>
      <c r="Y6" s="3556"/>
      <c r="Z6" s="3557"/>
      <c r="AA6" s="3545"/>
      <c r="AB6" s="3545"/>
      <c r="AC6" s="3545"/>
    </row>
    <row r="7" spans="1:29" s="1014" customFormat="1" ht="15">
      <c r="A7" s="1038" t="s">
        <v>884</v>
      </c>
      <c r="B7" s="1039"/>
      <c r="C7" s="1040">
        <f>'数据-取费表'!B2</f>
        <v>44873</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66" t="s">
        <v>885</v>
      </c>
      <c r="Q7" s="3582"/>
      <c r="R7" s="1199" t="s">
        <v>886</v>
      </c>
      <c r="S7" s="1200">
        <f t="shared" ref="S7:S15" si="0">F7</f>
        <v>0</v>
      </c>
      <c r="T7" s="1199" t="s">
        <v>886</v>
      </c>
      <c r="U7" s="1200">
        <f t="shared" ref="U7:U15" si="1">H7</f>
        <v>0</v>
      </c>
      <c r="V7" s="1199" t="s">
        <v>886</v>
      </c>
      <c r="W7" s="1200">
        <f t="shared" ref="W7:W15" si="2">J7</f>
        <v>0</v>
      </c>
      <c r="X7" s="1201"/>
      <c r="Y7" s="3566" t="s">
        <v>885</v>
      </c>
      <c r="Z7" s="3567"/>
      <c r="AA7" s="1214" t="e">
        <f>D7/F7</f>
        <v>#DIV/0!</v>
      </c>
      <c r="AB7" s="1214" t="e">
        <f>D7/H7</f>
        <v>#DIV/0!</v>
      </c>
      <c r="AC7" s="1214" t="e">
        <f>D7/J7</f>
        <v>#DIV/0!</v>
      </c>
    </row>
    <row r="8" spans="1:29" s="1014" customFormat="1" ht="15">
      <c r="A8" s="1038" t="s">
        <v>887</v>
      </c>
      <c r="B8" s="1039"/>
      <c r="C8" s="1045" t="s">
        <v>888</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66" t="s">
        <v>890</v>
      </c>
      <c r="Q8" s="3567"/>
      <c r="R8" s="1199" t="s">
        <v>886</v>
      </c>
      <c r="S8" s="1200">
        <f t="shared" si="0"/>
        <v>0</v>
      </c>
      <c r="T8" s="1199" t="s">
        <v>886</v>
      </c>
      <c r="U8" s="1200">
        <f t="shared" si="1"/>
        <v>0</v>
      </c>
      <c r="V8" s="1199" t="s">
        <v>886</v>
      </c>
      <c r="W8" s="1200">
        <f t="shared" si="2"/>
        <v>0</v>
      </c>
      <c r="X8" s="1201"/>
      <c r="Y8" s="3566" t="s">
        <v>890</v>
      </c>
      <c r="Z8" s="3567"/>
      <c r="AA8" s="1214" t="e">
        <f t="shared" ref="AA8:AA47" si="3">D8/F8</f>
        <v>#DIV/0!</v>
      </c>
      <c r="AB8" s="1214" t="e">
        <f t="shared" ref="AB8:AB47" si="4">D8/H8</f>
        <v>#DIV/0!</v>
      </c>
      <c r="AC8" s="1214" t="e">
        <f t="shared" ref="AC8:AC47" si="5">D8/J8</f>
        <v>#DIV/0!</v>
      </c>
    </row>
    <row r="9" spans="1:29" s="1014" customFormat="1">
      <c r="A9" s="1046" t="s">
        <v>891</v>
      </c>
      <c r="B9" s="1047" t="s">
        <v>892</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59" t="s">
        <v>893</v>
      </c>
      <c r="Q9" s="1203" t="str">
        <f t="shared" ref="Q9:Q15" si="6">B9</f>
        <v>用途</v>
      </c>
      <c r="R9" s="1199" t="s">
        <v>886</v>
      </c>
      <c r="S9" s="1200">
        <f t="shared" si="0"/>
        <v>100</v>
      </c>
      <c r="T9" s="1199" t="s">
        <v>886</v>
      </c>
      <c r="U9" s="1200">
        <f t="shared" si="1"/>
        <v>100</v>
      </c>
      <c r="V9" s="1199" t="s">
        <v>886</v>
      </c>
      <c r="W9" s="1200">
        <f t="shared" si="2"/>
        <v>100</v>
      </c>
      <c r="X9" s="1201"/>
      <c r="Y9" s="3415" t="s">
        <v>894</v>
      </c>
      <c r="Z9" s="1215" t="str">
        <f t="shared" ref="Z9:Z15" si="7">Q9</f>
        <v>用途</v>
      </c>
      <c r="AA9" s="1214">
        <f t="shared" si="3"/>
        <v>1</v>
      </c>
      <c r="AB9" s="1214">
        <f t="shared" si="4"/>
        <v>1</v>
      </c>
      <c r="AC9" s="1214">
        <f t="shared" si="5"/>
        <v>1</v>
      </c>
    </row>
    <row r="10" spans="1:29" s="1015" customFormat="1" ht="27">
      <c r="A10" s="1050"/>
      <c r="B10" s="1051" t="s">
        <v>895</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59"/>
      <c r="Q10" s="1203" t="str">
        <f t="shared" si="6"/>
        <v>土地使用年限（年）</v>
      </c>
      <c r="R10" s="1199" t="s">
        <v>886</v>
      </c>
      <c r="S10" s="1200">
        <f t="shared" si="0"/>
        <v>100</v>
      </c>
      <c r="T10" s="1199" t="s">
        <v>886</v>
      </c>
      <c r="U10" s="1200">
        <f t="shared" si="1"/>
        <v>100</v>
      </c>
      <c r="V10" s="1199" t="s">
        <v>886</v>
      </c>
      <c r="W10" s="1200">
        <f t="shared" si="2"/>
        <v>100</v>
      </c>
      <c r="X10" s="1201"/>
      <c r="Y10" s="3415"/>
      <c r="Z10" s="1215" t="str">
        <f t="shared" si="7"/>
        <v>土地使用年限（年）</v>
      </c>
      <c r="AA10" s="1214">
        <f t="shared" si="3"/>
        <v>1</v>
      </c>
      <c r="AB10" s="1214">
        <f t="shared" si="4"/>
        <v>1</v>
      </c>
      <c r="AC10" s="1214">
        <f t="shared" si="5"/>
        <v>1</v>
      </c>
    </row>
    <row r="11" spans="1:29" ht="15">
      <c r="A11" s="483"/>
      <c r="B11" s="1051" t="s">
        <v>896</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59"/>
      <c r="Q11" s="1203" t="str">
        <f t="shared" si="6"/>
        <v>容积率</v>
      </c>
      <c r="R11" s="1199" t="s">
        <v>886</v>
      </c>
      <c r="S11" s="1200" t="e">
        <f t="shared" si="0"/>
        <v>#N/A</v>
      </c>
      <c r="T11" s="1199" t="s">
        <v>886</v>
      </c>
      <c r="U11" s="1200" t="e">
        <f t="shared" si="1"/>
        <v>#N/A</v>
      </c>
      <c r="V11" s="1199" t="s">
        <v>886</v>
      </c>
      <c r="W11" s="1200" t="e">
        <f t="shared" si="2"/>
        <v>#N/A</v>
      </c>
      <c r="X11" s="1201"/>
      <c r="Y11" s="341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59"/>
      <c r="Q12" s="1203">
        <f t="shared" si="6"/>
        <v>111</v>
      </c>
      <c r="R12" s="1199" t="s">
        <v>886</v>
      </c>
      <c r="S12" s="1200">
        <f t="shared" si="0"/>
        <v>100</v>
      </c>
      <c r="T12" s="1199" t="s">
        <v>886</v>
      </c>
      <c r="U12" s="1200">
        <f t="shared" si="1"/>
        <v>100</v>
      </c>
      <c r="V12" s="1199" t="s">
        <v>886</v>
      </c>
      <c r="W12" s="1200">
        <f t="shared" si="2"/>
        <v>100</v>
      </c>
      <c r="X12" s="1201"/>
      <c r="Y12" s="3415"/>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59"/>
      <c r="Q13" s="1203">
        <f t="shared" si="6"/>
        <v>111</v>
      </c>
      <c r="R13" s="1199" t="s">
        <v>886</v>
      </c>
      <c r="S13" s="1200">
        <f t="shared" si="0"/>
        <v>100</v>
      </c>
      <c r="T13" s="1199" t="s">
        <v>886</v>
      </c>
      <c r="U13" s="1200">
        <f t="shared" si="1"/>
        <v>100</v>
      </c>
      <c r="V13" s="1199" t="s">
        <v>886</v>
      </c>
      <c r="W13" s="1200">
        <f t="shared" si="2"/>
        <v>100</v>
      </c>
      <c r="X13" s="1201"/>
      <c r="Y13" s="3415"/>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59"/>
      <c r="Q14" s="1203">
        <f t="shared" si="6"/>
        <v>111</v>
      </c>
      <c r="R14" s="1199" t="s">
        <v>886</v>
      </c>
      <c r="S14" s="1200">
        <f t="shared" si="0"/>
        <v>100</v>
      </c>
      <c r="T14" s="1199" t="s">
        <v>886</v>
      </c>
      <c r="U14" s="1200">
        <f t="shared" si="1"/>
        <v>100</v>
      </c>
      <c r="V14" s="1199" t="s">
        <v>886</v>
      </c>
      <c r="W14" s="1200">
        <f t="shared" si="2"/>
        <v>100</v>
      </c>
      <c r="X14" s="1201"/>
      <c r="Y14" s="3415"/>
      <c r="Z14" s="1215">
        <f t="shared" si="7"/>
        <v>111</v>
      </c>
      <c r="AA14" s="1214">
        <f t="shared" si="3"/>
        <v>1</v>
      </c>
      <c r="AB14" s="1214">
        <f t="shared" si="4"/>
        <v>1</v>
      </c>
      <c r="AC14" s="1214">
        <f t="shared" si="5"/>
        <v>1</v>
      </c>
    </row>
    <row r="15" spans="1:29" ht="71.25">
      <c r="A15" s="459" t="s">
        <v>897</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74" t="s">
        <v>898</v>
      </c>
      <c r="Q15" s="470" t="str">
        <f t="shared" si="6"/>
        <v>办公集聚程度</v>
      </c>
      <c r="R15" s="1204" t="s">
        <v>886</v>
      </c>
      <c r="S15" s="1205">
        <f t="shared" si="0"/>
        <v>100</v>
      </c>
      <c r="T15" s="1204" t="s">
        <v>886</v>
      </c>
      <c r="U15" s="1205">
        <f t="shared" si="1"/>
        <v>100</v>
      </c>
      <c r="V15" s="1204" t="s">
        <v>886</v>
      </c>
      <c r="W15" s="1205">
        <f t="shared" si="2"/>
        <v>100</v>
      </c>
      <c r="X15" s="1197"/>
      <c r="Y15" s="3574" t="s">
        <v>898</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75"/>
      <c r="Q16" s="470"/>
      <c r="R16" s="1204"/>
      <c r="S16" s="1205"/>
      <c r="T16" s="1204"/>
      <c r="U16" s="1205"/>
      <c r="V16" s="1204"/>
      <c r="W16" s="1205"/>
      <c r="X16" s="1197"/>
      <c r="Y16" s="3575"/>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75"/>
      <c r="Q17" s="470" t="str">
        <f>B17</f>
        <v>交通便捷度</v>
      </c>
      <c r="R17" s="1204" t="s">
        <v>886</v>
      </c>
      <c r="S17" s="1205">
        <f>F17</f>
        <v>100</v>
      </c>
      <c r="T17" s="1204" t="s">
        <v>886</v>
      </c>
      <c r="U17" s="1205">
        <f>H17</f>
        <v>100</v>
      </c>
      <c r="V17" s="1204" t="s">
        <v>886</v>
      </c>
      <c r="W17" s="1205">
        <f>J17</f>
        <v>100</v>
      </c>
      <c r="X17" s="1197"/>
      <c r="Y17" s="3575"/>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75"/>
      <c r="Q18" s="470"/>
      <c r="R18" s="1204"/>
      <c r="S18" s="1205"/>
      <c r="T18" s="1204"/>
      <c r="U18" s="1205"/>
      <c r="V18" s="1204"/>
      <c r="W18" s="1205"/>
      <c r="X18" s="1197"/>
      <c r="Y18" s="3575"/>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75"/>
      <c r="Q19" s="470" t="str">
        <f>B19</f>
        <v>公共配套设施</v>
      </c>
      <c r="R19" s="1204" t="s">
        <v>886</v>
      </c>
      <c r="S19" s="1205">
        <f>F19</f>
        <v>100</v>
      </c>
      <c r="T19" s="1204" t="s">
        <v>886</v>
      </c>
      <c r="U19" s="1205">
        <f>H19</f>
        <v>100</v>
      </c>
      <c r="V19" s="1204" t="s">
        <v>886</v>
      </c>
      <c r="W19" s="1205">
        <f>J19</f>
        <v>100</v>
      </c>
      <c r="X19" s="1197"/>
      <c r="Y19" s="3575"/>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75"/>
      <c r="Q20" s="470"/>
      <c r="R20" s="1204"/>
      <c r="S20" s="1205"/>
      <c r="T20" s="1204"/>
      <c r="U20" s="1205"/>
      <c r="V20" s="1204"/>
      <c r="W20" s="1205"/>
      <c r="X20" s="1197"/>
      <c r="Y20" s="3575"/>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75"/>
      <c r="Q21" s="470" t="str">
        <f>B21</f>
        <v>基础设施水平</v>
      </c>
      <c r="R21" s="1204" t="s">
        <v>886</v>
      </c>
      <c r="S21" s="1205">
        <f>F21</f>
        <v>100</v>
      </c>
      <c r="T21" s="1204" t="s">
        <v>886</v>
      </c>
      <c r="U21" s="1205">
        <f>H21</f>
        <v>100</v>
      </c>
      <c r="V21" s="1204" t="s">
        <v>886</v>
      </c>
      <c r="W21" s="1205">
        <f>J21</f>
        <v>100</v>
      </c>
      <c r="X21" s="1197"/>
      <c r="Y21" s="3575"/>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75"/>
      <c r="Q22" s="470"/>
      <c r="R22" s="1204"/>
      <c r="S22" s="1205"/>
      <c r="T22" s="1204"/>
      <c r="U22" s="1205"/>
      <c r="V22" s="1204"/>
      <c r="W22" s="1205"/>
      <c r="X22" s="1197"/>
      <c r="Y22" s="3575"/>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75"/>
      <c r="Q23" s="470" t="str">
        <f>B23</f>
        <v>环境质量</v>
      </c>
      <c r="R23" s="1204" t="s">
        <v>886</v>
      </c>
      <c r="S23" s="1205">
        <f>F23</f>
        <v>100</v>
      </c>
      <c r="T23" s="1204" t="s">
        <v>886</v>
      </c>
      <c r="U23" s="1205">
        <f>H23</f>
        <v>100</v>
      </c>
      <c r="V23" s="1204" t="s">
        <v>886</v>
      </c>
      <c r="W23" s="1205">
        <f>J23</f>
        <v>100</v>
      </c>
      <c r="X23" s="1197"/>
      <c r="Y23" s="3575"/>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75"/>
      <c r="Q24" s="470"/>
      <c r="R24" s="1204"/>
      <c r="S24" s="1205"/>
      <c r="T24" s="1204"/>
      <c r="U24" s="1205"/>
      <c r="V24" s="1204"/>
      <c r="W24" s="1205"/>
      <c r="X24" s="1197"/>
      <c r="Y24" s="3575"/>
      <c r="Z24" s="1196"/>
      <c r="AA24" s="1216">
        <v>1</v>
      </c>
      <c r="AB24" s="1216">
        <v>1</v>
      </c>
      <c r="AC24" s="1216">
        <v>1</v>
      </c>
    </row>
    <row r="25" spans="1:29" ht="27">
      <c r="A25" s="1034"/>
      <c r="B25" s="1500" t="s">
        <v>1508</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75"/>
      <c r="Q25" s="470" t="str">
        <f>B25</f>
        <v>毗邻道路的类型与等级</v>
      </c>
      <c r="R25" s="1204" t="s">
        <v>886</v>
      </c>
      <c r="S25" s="1205">
        <f>F25</f>
        <v>100</v>
      </c>
      <c r="T25" s="1204" t="s">
        <v>886</v>
      </c>
      <c r="U25" s="1205">
        <f>H25</f>
        <v>100</v>
      </c>
      <c r="V25" s="1204" t="s">
        <v>886</v>
      </c>
      <c r="W25" s="1205">
        <f>J25</f>
        <v>100</v>
      </c>
      <c r="X25" s="1197"/>
      <c r="Y25" s="3575"/>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75"/>
      <c r="Q26" s="470"/>
      <c r="R26" s="1204"/>
      <c r="S26" s="1205"/>
      <c r="T26" s="1204"/>
      <c r="U26" s="1205"/>
      <c r="V26" s="1204"/>
      <c r="W26" s="1205"/>
      <c r="X26" s="1197"/>
      <c r="Y26" s="3575"/>
      <c r="Z26" s="1196"/>
      <c r="AA26" s="1216">
        <v>1</v>
      </c>
      <c r="AB26" s="1216">
        <v>1</v>
      </c>
      <c r="AC26" s="1216">
        <v>1</v>
      </c>
    </row>
    <row r="27" spans="1:29" ht="15">
      <c r="A27" s="483"/>
      <c r="B27" s="1501" t="s">
        <v>1498</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75"/>
      <c r="Q27" s="470" t="str">
        <f t="shared" ref="Q27:Q47" si="11">B27</f>
        <v>楼层</v>
      </c>
      <c r="R27" s="1204" t="s">
        <v>886</v>
      </c>
      <c r="S27" s="1205">
        <f>F27</f>
        <v>100</v>
      </c>
      <c r="T27" s="1204" t="s">
        <v>886</v>
      </c>
      <c r="U27" s="1205">
        <f>H27</f>
        <v>100</v>
      </c>
      <c r="V27" s="1204" t="s">
        <v>886</v>
      </c>
      <c r="W27" s="1205">
        <f>J27</f>
        <v>100</v>
      </c>
      <c r="X27" s="1197"/>
      <c r="Y27" s="3575"/>
      <c r="Z27" s="1196" t="str">
        <f>Q27</f>
        <v>楼层</v>
      </c>
      <c r="AA27" s="1216">
        <f t="shared" si="3"/>
        <v>1</v>
      </c>
      <c r="AB27" s="1216">
        <f t="shared" si="4"/>
        <v>1</v>
      </c>
      <c r="AC27" s="1216">
        <f t="shared" si="5"/>
        <v>1</v>
      </c>
    </row>
    <row r="28" spans="1:29" s="1014" customFormat="1" ht="15">
      <c r="A28" s="1058"/>
      <c r="B28" s="1500" t="s">
        <v>904</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75"/>
      <c r="Q28" s="1203" t="str">
        <f t="shared" si="11"/>
        <v>朝向</v>
      </c>
      <c r="R28" s="1199" t="s">
        <v>886</v>
      </c>
      <c r="S28" s="1200">
        <f>F28</f>
        <v>100</v>
      </c>
      <c r="T28" s="1199" t="s">
        <v>886</v>
      </c>
      <c r="U28" s="1200">
        <f>H28</f>
        <v>100</v>
      </c>
      <c r="V28" s="1199" t="s">
        <v>886</v>
      </c>
      <c r="W28" s="1200">
        <f>J28</f>
        <v>100</v>
      </c>
      <c r="X28" s="1201"/>
      <c r="Y28" s="3575"/>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75"/>
      <c r="Q29" s="470">
        <f t="shared" si="11"/>
        <v>111</v>
      </c>
      <c r="R29" s="1204" t="s">
        <v>886</v>
      </c>
      <c r="S29" s="1205">
        <f t="shared" ref="S29:S47" si="12">F29</f>
        <v>100</v>
      </c>
      <c r="T29" s="1204" t="s">
        <v>886</v>
      </c>
      <c r="U29" s="1205">
        <f t="shared" ref="U29:U47" si="13">H29</f>
        <v>100</v>
      </c>
      <c r="V29" s="1204" t="s">
        <v>886</v>
      </c>
      <c r="W29" s="1205">
        <f t="shared" ref="W29:W47" si="14">J29</f>
        <v>100</v>
      </c>
      <c r="X29" s="1197"/>
      <c r="Y29" s="3575"/>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75"/>
      <c r="Q30" s="470">
        <f t="shared" si="11"/>
        <v>111</v>
      </c>
      <c r="R30" s="1204" t="s">
        <v>886</v>
      </c>
      <c r="S30" s="1205">
        <f t="shared" si="12"/>
        <v>100</v>
      </c>
      <c r="T30" s="1204" t="s">
        <v>886</v>
      </c>
      <c r="U30" s="1205">
        <f t="shared" si="13"/>
        <v>100</v>
      </c>
      <c r="V30" s="1204" t="s">
        <v>886</v>
      </c>
      <c r="W30" s="1205">
        <f t="shared" si="14"/>
        <v>100</v>
      </c>
      <c r="X30" s="1197"/>
      <c r="Y30" s="3575"/>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75"/>
      <c r="Q31" s="470">
        <f t="shared" si="11"/>
        <v>111</v>
      </c>
      <c r="R31" s="1204" t="s">
        <v>886</v>
      </c>
      <c r="S31" s="1205">
        <f t="shared" si="12"/>
        <v>100</v>
      </c>
      <c r="T31" s="1204" t="s">
        <v>886</v>
      </c>
      <c r="U31" s="1205">
        <f t="shared" si="13"/>
        <v>100</v>
      </c>
      <c r="V31" s="1204" t="s">
        <v>886</v>
      </c>
      <c r="W31" s="1205">
        <f t="shared" si="14"/>
        <v>100</v>
      </c>
      <c r="X31" s="1197"/>
      <c r="Y31" s="3575"/>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75"/>
      <c r="Q32" s="470">
        <f t="shared" si="11"/>
        <v>111</v>
      </c>
      <c r="R32" s="1204" t="s">
        <v>886</v>
      </c>
      <c r="S32" s="1205">
        <f t="shared" si="12"/>
        <v>100</v>
      </c>
      <c r="T32" s="1204" t="s">
        <v>886</v>
      </c>
      <c r="U32" s="1205">
        <f t="shared" si="13"/>
        <v>100</v>
      </c>
      <c r="V32" s="1204" t="s">
        <v>886</v>
      </c>
      <c r="W32" s="1205">
        <f t="shared" si="14"/>
        <v>100</v>
      </c>
      <c r="X32" s="1197"/>
      <c r="Y32" s="3575"/>
      <c r="Z32" s="1196">
        <f t="shared" si="15"/>
        <v>111</v>
      </c>
      <c r="AA32" s="1216">
        <f t="shared" si="3"/>
        <v>1</v>
      </c>
      <c r="AB32" s="1216">
        <f t="shared" si="4"/>
        <v>1</v>
      </c>
      <c r="AC32" s="1216">
        <f t="shared" si="5"/>
        <v>1</v>
      </c>
    </row>
    <row r="33" spans="1:29" ht="15">
      <c r="A33" s="459" t="s">
        <v>911</v>
      </c>
      <c r="B33" s="1047" t="s">
        <v>912</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23" t="s">
        <v>914</v>
      </c>
      <c r="Q33" s="470" t="str">
        <f t="shared" si="11"/>
        <v>建筑类型</v>
      </c>
      <c r="R33" s="1204" t="s">
        <v>886</v>
      </c>
      <c r="S33" s="1205">
        <f t="shared" si="12"/>
        <v>100</v>
      </c>
      <c r="T33" s="1204" t="s">
        <v>886</v>
      </c>
      <c r="U33" s="1205">
        <f t="shared" si="13"/>
        <v>100</v>
      </c>
      <c r="V33" s="1204" t="s">
        <v>886</v>
      </c>
      <c r="W33" s="1205">
        <f t="shared" si="14"/>
        <v>100</v>
      </c>
      <c r="X33" s="1197"/>
      <c r="Y33" s="3576" t="s">
        <v>914</v>
      </c>
      <c r="Z33" s="1196" t="str">
        <f t="shared" si="15"/>
        <v>建筑类型</v>
      </c>
      <c r="AA33" s="1216">
        <f t="shared" si="3"/>
        <v>1</v>
      </c>
      <c r="AB33" s="1216">
        <f t="shared" si="4"/>
        <v>1</v>
      </c>
      <c r="AC33" s="1216">
        <f t="shared" si="5"/>
        <v>1</v>
      </c>
    </row>
    <row r="34" spans="1:29" s="1016" customFormat="1" ht="15">
      <c r="A34" s="1114"/>
      <c r="B34" s="1051" t="s">
        <v>915</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76"/>
      <c r="Q34" s="1548" t="str">
        <f t="shared" si="11"/>
        <v>项目建筑规模</v>
      </c>
      <c r="R34" s="1206" t="s">
        <v>886</v>
      </c>
      <c r="S34" s="1207" t="e">
        <f t="shared" si="12"/>
        <v>#N/A</v>
      </c>
      <c r="T34" s="1206" t="s">
        <v>886</v>
      </c>
      <c r="U34" s="1207" t="e">
        <f t="shared" si="13"/>
        <v>#N/A</v>
      </c>
      <c r="V34" s="1206" t="s">
        <v>886</v>
      </c>
      <c r="W34" s="1207" t="e">
        <f t="shared" si="14"/>
        <v>#N/A</v>
      </c>
      <c r="X34" s="1208"/>
      <c r="Y34" s="3576"/>
      <c r="Z34" s="1217" t="str">
        <f t="shared" si="15"/>
        <v>项目建筑规模</v>
      </c>
      <c r="AA34" s="1216" t="e">
        <f t="shared" si="3"/>
        <v>#N/A</v>
      </c>
      <c r="AB34" s="1216" t="e">
        <f t="shared" si="4"/>
        <v>#N/A</v>
      </c>
      <c r="AC34" s="1216" t="e">
        <f t="shared" si="5"/>
        <v>#N/A</v>
      </c>
    </row>
    <row r="35" spans="1:29" ht="15">
      <c r="A35" s="1109"/>
      <c r="B35" s="1051" t="s">
        <v>916</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76"/>
      <c r="Q35" s="470" t="str">
        <f t="shared" si="11"/>
        <v>建筑结构</v>
      </c>
      <c r="R35" s="1204" t="s">
        <v>886</v>
      </c>
      <c r="S35" s="1205">
        <f t="shared" si="12"/>
        <v>100</v>
      </c>
      <c r="T35" s="1204" t="s">
        <v>886</v>
      </c>
      <c r="U35" s="1205">
        <f t="shared" si="13"/>
        <v>100</v>
      </c>
      <c r="V35" s="1204" t="s">
        <v>886</v>
      </c>
      <c r="W35" s="1205">
        <f t="shared" si="14"/>
        <v>100</v>
      </c>
      <c r="X35" s="1197"/>
      <c r="Y35" s="3576"/>
      <c r="Z35" s="1196" t="str">
        <f t="shared" si="15"/>
        <v>建筑结构</v>
      </c>
      <c r="AA35" s="1216">
        <f t="shared" si="3"/>
        <v>1</v>
      </c>
      <c r="AB35" s="1216">
        <f t="shared" si="4"/>
        <v>1</v>
      </c>
      <c r="AC35" s="1216">
        <f t="shared" si="5"/>
        <v>1</v>
      </c>
    </row>
    <row r="36" spans="1:29" ht="15">
      <c r="A36" s="1109"/>
      <c r="B36" s="1051" t="s">
        <v>919</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76"/>
      <c r="Q36" s="470" t="str">
        <f t="shared" si="11"/>
        <v>公共部分装修</v>
      </c>
      <c r="R36" s="1204" t="s">
        <v>886</v>
      </c>
      <c r="S36" s="1205">
        <f t="shared" si="12"/>
        <v>100</v>
      </c>
      <c r="T36" s="1204" t="s">
        <v>886</v>
      </c>
      <c r="U36" s="1205">
        <f t="shared" si="13"/>
        <v>100</v>
      </c>
      <c r="V36" s="1204" t="s">
        <v>886</v>
      </c>
      <c r="W36" s="1205">
        <f t="shared" si="14"/>
        <v>100</v>
      </c>
      <c r="X36" s="1197"/>
      <c r="Y36" s="3576"/>
      <c r="Z36" s="1196" t="str">
        <f t="shared" si="15"/>
        <v>公共部分装修</v>
      </c>
      <c r="AA36" s="1216">
        <f t="shared" si="3"/>
        <v>1</v>
      </c>
      <c r="AB36" s="1216">
        <f t="shared" si="4"/>
        <v>1</v>
      </c>
      <c r="AC36" s="1216">
        <f t="shared" si="5"/>
        <v>1</v>
      </c>
    </row>
    <row r="37" spans="1:29" ht="15">
      <c r="A37" s="1109"/>
      <c r="B37" s="1051" t="s">
        <v>920</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76"/>
      <c r="Q37" s="470" t="str">
        <f t="shared" si="11"/>
        <v>成新度</v>
      </c>
      <c r="R37" s="1204" t="s">
        <v>886</v>
      </c>
      <c r="S37" s="1205" t="e">
        <f t="shared" si="12"/>
        <v>#N/A</v>
      </c>
      <c r="T37" s="1204" t="s">
        <v>886</v>
      </c>
      <c r="U37" s="1205" t="e">
        <f t="shared" si="13"/>
        <v>#N/A</v>
      </c>
      <c r="V37" s="1204" t="s">
        <v>886</v>
      </c>
      <c r="W37" s="1205" t="e">
        <f t="shared" si="14"/>
        <v>#N/A</v>
      </c>
      <c r="X37" s="1197"/>
      <c r="Y37" s="3576"/>
      <c r="Z37" s="1196" t="str">
        <f t="shared" si="15"/>
        <v>成新度</v>
      </c>
      <c r="AA37" s="1216" t="e">
        <f t="shared" si="3"/>
        <v>#N/A</v>
      </c>
      <c r="AB37" s="1216" t="e">
        <f t="shared" si="4"/>
        <v>#N/A</v>
      </c>
      <c r="AC37" s="1216" t="e">
        <f t="shared" si="5"/>
        <v>#N/A</v>
      </c>
    </row>
    <row r="38" spans="1:29" s="1014" customFormat="1" ht="15">
      <c r="A38" s="1111"/>
      <c r="B38" s="1051" t="s">
        <v>1509</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76"/>
      <c r="Q38" s="1203" t="str">
        <f t="shared" si="11"/>
        <v>写字楼等级</v>
      </c>
      <c r="R38" s="1199" t="s">
        <v>886</v>
      </c>
      <c r="S38" s="1200">
        <f t="shared" si="12"/>
        <v>100</v>
      </c>
      <c r="T38" s="1199" t="s">
        <v>886</v>
      </c>
      <c r="U38" s="1200">
        <f t="shared" si="13"/>
        <v>100</v>
      </c>
      <c r="V38" s="1199" t="s">
        <v>886</v>
      </c>
      <c r="W38" s="1200">
        <f t="shared" si="14"/>
        <v>100</v>
      </c>
      <c r="X38" s="1201"/>
      <c r="Y38" s="3576"/>
      <c r="Z38" s="1215" t="str">
        <f t="shared" si="15"/>
        <v>写字楼等级</v>
      </c>
      <c r="AA38" s="1214">
        <f t="shared" si="3"/>
        <v>1</v>
      </c>
      <c r="AB38" s="1214">
        <f t="shared" si="4"/>
        <v>1</v>
      </c>
      <c r="AC38" s="1214">
        <f t="shared" si="5"/>
        <v>1</v>
      </c>
    </row>
    <row r="39" spans="1:29" ht="15">
      <c r="A39" s="1109"/>
      <c r="B39" s="1051" t="s">
        <v>921</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76" t="s">
        <v>914</v>
      </c>
      <c r="Q39" s="470" t="str">
        <f t="shared" si="11"/>
        <v>物业管理</v>
      </c>
      <c r="R39" s="1204" t="s">
        <v>886</v>
      </c>
      <c r="S39" s="1205">
        <f t="shared" si="12"/>
        <v>100</v>
      </c>
      <c r="T39" s="1204" t="s">
        <v>886</v>
      </c>
      <c r="U39" s="1205">
        <f t="shared" si="13"/>
        <v>100</v>
      </c>
      <c r="V39" s="1204" t="s">
        <v>886</v>
      </c>
      <c r="W39" s="1205">
        <f t="shared" si="14"/>
        <v>100</v>
      </c>
      <c r="X39" s="1197"/>
      <c r="Y39" s="3576" t="s">
        <v>914</v>
      </c>
      <c r="Z39" s="1196" t="str">
        <f t="shared" si="15"/>
        <v>物业管理</v>
      </c>
      <c r="AA39" s="1216">
        <f t="shared" si="3"/>
        <v>1</v>
      </c>
      <c r="AB39" s="1216">
        <f t="shared" si="4"/>
        <v>1</v>
      </c>
      <c r="AC39" s="1216">
        <f t="shared" si="5"/>
        <v>1</v>
      </c>
    </row>
    <row r="40" spans="1:29" ht="15">
      <c r="A40" s="1109"/>
      <c r="B40" s="1051" t="s">
        <v>923</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76"/>
      <c r="Q40" s="470" t="str">
        <f t="shared" si="11"/>
        <v>市政基础设施</v>
      </c>
      <c r="R40" s="1204" t="s">
        <v>886</v>
      </c>
      <c r="S40" s="1205">
        <f t="shared" si="12"/>
        <v>100</v>
      </c>
      <c r="T40" s="1204" t="s">
        <v>886</v>
      </c>
      <c r="U40" s="1205">
        <f t="shared" si="13"/>
        <v>100</v>
      </c>
      <c r="V40" s="1204" t="s">
        <v>886</v>
      </c>
      <c r="W40" s="1205">
        <f t="shared" si="14"/>
        <v>100</v>
      </c>
      <c r="X40" s="1197"/>
      <c r="Y40" s="3576"/>
      <c r="Z40" s="1196" t="str">
        <f t="shared" si="15"/>
        <v>市政基础设施</v>
      </c>
      <c r="AA40" s="1216">
        <f t="shared" si="3"/>
        <v>1</v>
      </c>
      <c r="AB40" s="1216">
        <f t="shared" si="4"/>
        <v>1</v>
      </c>
      <c r="AC40" s="1216">
        <f t="shared" si="5"/>
        <v>1</v>
      </c>
    </row>
    <row r="41" spans="1:29" ht="15">
      <c r="A41" s="1109"/>
      <c r="B41" s="1051" t="s">
        <v>1501</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76"/>
      <c r="Q41" s="470" t="str">
        <f t="shared" si="11"/>
        <v>层高</v>
      </c>
      <c r="R41" s="1204" t="s">
        <v>886</v>
      </c>
      <c r="S41" s="1205">
        <f t="shared" si="12"/>
        <v>100</v>
      </c>
      <c r="T41" s="1204" t="s">
        <v>886</v>
      </c>
      <c r="U41" s="1205">
        <f t="shared" si="13"/>
        <v>100</v>
      </c>
      <c r="V41" s="1204" t="s">
        <v>886</v>
      </c>
      <c r="W41" s="1205">
        <f t="shared" si="14"/>
        <v>100</v>
      </c>
      <c r="X41" s="1197"/>
      <c r="Y41" s="3576"/>
      <c r="Z41" s="1196" t="str">
        <f t="shared" si="15"/>
        <v>层高</v>
      </c>
      <c r="AA41" s="1216">
        <f t="shared" si="3"/>
        <v>1</v>
      </c>
      <c r="AB41" s="1216">
        <f t="shared" si="4"/>
        <v>1</v>
      </c>
      <c r="AC41" s="1216">
        <f t="shared" si="5"/>
        <v>1</v>
      </c>
    </row>
    <row r="42" spans="1:29" s="1016" customFormat="1" ht="15">
      <c r="A42" s="1114"/>
      <c r="B42" s="1190" t="s">
        <v>1510</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76"/>
      <c r="Q42" s="1548" t="str">
        <f t="shared" si="11"/>
        <v>单套建筑面积</v>
      </c>
      <c r="R42" s="1206" t="s">
        <v>886</v>
      </c>
      <c r="S42" s="1207">
        <f t="shared" si="12"/>
        <v>100</v>
      </c>
      <c r="T42" s="1206" t="s">
        <v>886</v>
      </c>
      <c r="U42" s="1207">
        <f t="shared" si="13"/>
        <v>100</v>
      </c>
      <c r="V42" s="1206" t="s">
        <v>886</v>
      </c>
      <c r="W42" s="1207">
        <f t="shared" si="14"/>
        <v>100</v>
      </c>
      <c r="X42" s="1208"/>
      <c r="Y42" s="3576"/>
      <c r="Z42" s="1217" t="str">
        <f t="shared" si="15"/>
        <v>单套建筑面积</v>
      </c>
      <c r="AA42" s="1216">
        <f t="shared" si="3"/>
        <v>1</v>
      </c>
      <c r="AB42" s="1216">
        <f t="shared" si="4"/>
        <v>1</v>
      </c>
      <c r="AC42" s="1216">
        <f t="shared" si="5"/>
        <v>1</v>
      </c>
    </row>
    <row r="43" spans="1:29" ht="15">
      <c r="A43" s="1109"/>
      <c r="B43" s="1051" t="s">
        <v>926</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76"/>
      <c r="Q43" s="470" t="str">
        <f t="shared" si="11"/>
        <v>内部装修</v>
      </c>
      <c r="R43" s="1204" t="s">
        <v>886</v>
      </c>
      <c r="S43" s="1205">
        <f t="shared" si="12"/>
        <v>100</v>
      </c>
      <c r="T43" s="1204" t="s">
        <v>886</v>
      </c>
      <c r="U43" s="1205">
        <f t="shared" si="13"/>
        <v>100</v>
      </c>
      <c r="V43" s="1204" t="s">
        <v>886</v>
      </c>
      <c r="W43" s="1205">
        <f t="shared" si="14"/>
        <v>100</v>
      </c>
      <c r="X43" s="1197"/>
      <c r="Y43" s="3576"/>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76"/>
      <c r="Q44" s="470" t="str">
        <f t="shared" si="11"/>
        <v>内部装修维护情况</v>
      </c>
      <c r="R44" s="1204" t="s">
        <v>886</v>
      </c>
      <c r="S44" s="1205">
        <f t="shared" si="12"/>
        <v>100</v>
      </c>
      <c r="T44" s="1204" t="s">
        <v>886</v>
      </c>
      <c r="U44" s="1205">
        <f t="shared" si="13"/>
        <v>100</v>
      </c>
      <c r="V44" s="1204" t="s">
        <v>886</v>
      </c>
      <c r="W44" s="1205">
        <f t="shared" si="14"/>
        <v>100</v>
      </c>
      <c r="X44" s="1197"/>
      <c r="Y44" s="3576"/>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76"/>
      <c r="Q45" s="1203">
        <f t="shared" si="11"/>
        <v>111</v>
      </c>
      <c r="R45" s="1199" t="s">
        <v>886</v>
      </c>
      <c r="S45" s="1200">
        <f t="shared" si="12"/>
        <v>100</v>
      </c>
      <c r="T45" s="1199" t="s">
        <v>886</v>
      </c>
      <c r="U45" s="1200">
        <f t="shared" si="13"/>
        <v>100</v>
      </c>
      <c r="V45" s="1199" t="s">
        <v>886</v>
      </c>
      <c r="W45" s="1200">
        <f t="shared" si="14"/>
        <v>100</v>
      </c>
      <c r="X45" s="1201"/>
      <c r="Y45" s="3576"/>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76"/>
      <c r="Q46" s="470">
        <f t="shared" si="11"/>
        <v>111</v>
      </c>
      <c r="R46" s="1204" t="s">
        <v>886</v>
      </c>
      <c r="S46" s="1205">
        <f t="shared" si="12"/>
        <v>100</v>
      </c>
      <c r="T46" s="1204" t="s">
        <v>886</v>
      </c>
      <c r="U46" s="1205">
        <f t="shared" si="13"/>
        <v>100</v>
      </c>
      <c r="V46" s="1204" t="s">
        <v>886</v>
      </c>
      <c r="W46" s="1205">
        <f t="shared" si="14"/>
        <v>100</v>
      </c>
      <c r="X46" s="1197"/>
      <c r="Y46" s="3576"/>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77"/>
      <c r="Q47" s="470">
        <f t="shared" si="11"/>
        <v>111</v>
      </c>
      <c r="R47" s="1204" t="s">
        <v>886</v>
      </c>
      <c r="S47" s="1205">
        <f t="shared" si="12"/>
        <v>100</v>
      </c>
      <c r="T47" s="1204" t="s">
        <v>886</v>
      </c>
      <c r="U47" s="1205">
        <f t="shared" si="13"/>
        <v>100</v>
      </c>
      <c r="V47" s="1204" t="s">
        <v>886</v>
      </c>
      <c r="W47" s="1205">
        <f t="shared" si="14"/>
        <v>100</v>
      </c>
      <c r="X47" s="1197"/>
      <c r="Y47" s="3577"/>
      <c r="Z47" s="1196">
        <f t="shared" si="15"/>
        <v>111</v>
      </c>
      <c r="AA47" s="1216">
        <f t="shared" si="3"/>
        <v>1</v>
      </c>
      <c r="AB47" s="1216">
        <f t="shared" si="4"/>
        <v>1</v>
      </c>
      <c r="AC47" s="1216">
        <f t="shared" si="5"/>
        <v>1</v>
      </c>
    </row>
    <row r="48" spans="1:29" ht="15">
      <c r="A48" s="1117" t="s">
        <v>929</v>
      </c>
      <c r="B48" s="1519"/>
      <c r="C48" s="1520" t="s">
        <v>121</v>
      </c>
      <c r="D48" s="1521"/>
      <c r="E48" s="1522"/>
      <c r="F48" s="1523"/>
      <c r="G48" s="1524"/>
      <c r="H48" s="1525"/>
      <c r="I48" s="1522"/>
      <c r="J48" s="1525"/>
      <c r="K48" s="1187"/>
      <c r="L48" s="1188"/>
      <c r="M48" s="1160"/>
      <c r="N48" s="1160"/>
      <c r="O48" s="1160"/>
      <c r="P48" s="3559" t="str">
        <f>A48</f>
        <v>成交单价（元/平方米）</v>
      </c>
      <c r="Q48" s="3559"/>
      <c r="R48" s="3560">
        <f>E48</f>
        <v>0</v>
      </c>
      <c r="S48" s="3560"/>
      <c r="T48" s="3560">
        <f>G48</f>
        <v>0</v>
      </c>
      <c r="U48" s="3560"/>
      <c r="V48" s="3560">
        <f>I48</f>
        <v>0</v>
      </c>
      <c r="W48" s="3560"/>
      <c r="X48" s="1209"/>
      <c r="Y48" s="1218"/>
      <c r="Z48" s="1209"/>
      <c r="AA48" s="1209"/>
      <c r="AB48" s="1209"/>
      <c r="AC48" s="1209"/>
    </row>
    <row r="49" spans="1:29" ht="15">
      <c r="A49" s="1125" t="s">
        <v>930</v>
      </c>
      <c r="B49" s="1526"/>
      <c r="C49" s="1527" t="e">
        <f>R50</f>
        <v>#DIV/0!</v>
      </c>
      <c r="D49" s="790" t="s">
        <v>931</v>
      </c>
      <c r="E49" s="1528" t="e">
        <f>R49</f>
        <v>#DIV/0!</v>
      </c>
      <c r="F49" s="791"/>
      <c r="G49" s="1527" t="e">
        <f>T49</f>
        <v>#DIV/0!</v>
      </c>
      <c r="H49" s="791"/>
      <c r="I49" s="1528" t="e">
        <f>V49</f>
        <v>#DIV/0!</v>
      </c>
      <c r="J49" s="791"/>
      <c r="K49" s="869">
        <f>F49+H49+J49</f>
        <v>0</v>
      </c>
      <c r="L49" s="1188"/>
      <c r="M49" s="1160"/>
      <c r="N49" s="1160"/>
      <c r="O49" s="1160"/>
      <c r="P49" s="3559" t="str">
        <f>A49</f>
        <v>比较价值（元/平方米）</v>
      </c>
      <c r="Q49" s="3559"/>
      <c r="R49" s="3560" t="e">
        <f>IF(E1="售价",ROUND(PRODUCT(R48,AA7:AA47),0),ROUND(PRODUCT(R48,AA7:AA47),1))</f>
        <v>#DIV/0!</v>
      </c>
      <c r="S49" s="3560"/>
      <c r="T49" s="3560" t="e">
        <f>IF(E1="售价",ROUND(PRODUCT(T48,AB7:AB47),0),ROUND(PRODUCT(T48,AB7:AB47),1))</f>
        <v>#DIV/0!</v>
      </c>
      <c r="U49" s="3560"/>
      <c r="V49" s="3560" t="e">
        <f>IF(E1="售价",ROUND(PRODUCT(V48,AC7:AC47),0),ROUND(PRODUCT(V48,AC7:AC47),1))</f>
        <v>#DIV/0!</v>
      </c>
      <c r="W49" s="3560"/>
      <c r="X49" s="1209"/>
      <c r="Y49" s="1209"/>
      <c r="Z49" s="1209"/>
      <c r="AA49" s="1209"/>
      <c r="AB49" s="1209"/>
      <c r="AC49" s="1209"/>
    </row>
    <row r="50" spans="1:29" ht="15">
      <c r="A50" s="1129" t="s">
        <v>932</v>
      </c>
      <c r="B50" s="1130"/>
      <c r="C50" s="1529" t="e">
        <f>R50</f>
        <v>#DIV/0!</v>
      </c>
      <c r="D50" s="1529"/>
      <c r="E50" s="1529"/>
      <c r="F50" s="1529"/>
      <c r="G50" s="1529"/>
      <c r="H50" s="1529"/>
      <c r="I50" s="1529"/>
      <c r="J50" s="1529"/>
      <c r="K50" s="1189"/>
      <c r="L50" s="1188"/>
      <c r="M50" s="1160"/>
      <c r="N50" s="1160"/>
      <c r="O50" s="1160"/>
      <c r="P50" s="3563" t="str">
        <f>A50</f>
        <v>估价对象XX用房的比较价值（楼面单价，元/平方米）</v>
      </c>
      <c r="Q50" s="3564"/>
      <c r="R50" s="3565" t="e">
        <f>IF(E1="售价",ROUND(IF(D49="简单平均",AVERAGE(R49:V49),R49*F49+T49*H49+V49*J49),0),ROUND(IF(D49="简单平均",AVERAGE(R49:V49),R49*F49+T49*H49+V49*J49),1))</f>
        <v>#DIV/0!</v>
      </c>
      <c r="S50" s="3565"/>
      <c r="T50" s="3565"/>
      <c r="U50" s="3565"/>
      <c r="V50" s="3565"/>
      <c r="W50" s="3565"/>
      <c r="X50" s="1209"/>
      <c r="Y50" s="1209"/>
      <c r="Z50" s="1209"/>
      <c r="AA50" s="1209"/>
      <c r="AB50" s="1209"/>
      <c r="AC50" s="1209"/>
    </row>
    <row r="51" spans="1:29">
      <c r="G51" s="1132"/>
    </row>
    <row r="53" spans="1:29" ht="13.5" customHeight="1">
      <c r="C53" s="797" t="s">
        <v>933</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934</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935</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936</v>
      </c>
      <c r="B58" s="1209"/>
      <c r="C58" s="1228"/>
      <c r="D58" s="1228"/>
      <c r="E58" s="1228"/>
      <c r="F58" s="1228"/>
      <c r="G58" s="1228"/>
      <c r="H58" s="1228"/>
      <c r="I58" s="1228"/>
      <c r="J58" s="1228"/>
      <c r="K58" s="1542"/>
      <c r="L58" s="1543"/>
      <c r="M58" s="1228"/>
      <c r="N58" s="1544"/>
      <c r="O58" s="1544"/>
      <c r="P58" s="1282"/>
      <c r="Q58" s="1286"/>
    </row>
    <row r="59" spans="1:29" s="1477" customFormat="1" ht="15">
      <c r="A59" s="1530" t="s">
        <v>884</v>
      </c>
      <c r="B59" s="1531"/>
      <c r="C59" s="1532" t="str">
        <f>YEAR(C7)&amp;"-"&amp;MONTH(C7)</f>
        <v>2022-11</v>
      </c>
      <c r="D59" s="1533">
        <f>EDATE(C59,-1)</f>
        <v>44835</v>
      </c>
      <c r="E59" s="1533">
        <f t="shared" ref="E59:O59" si="16">EDATE(D59,-1)</f>
        <v>44805</v>
      </c>
      <c r="F59" s="1533">
        <f t="shared" si="16"/>
        <v>44774</v>
      </c>
      <c r="G59" s="1533">
        <f t="shared" si="16"/>
        <v>44743</v>
      </c>
      <c r="H59" s="1533">
        <f t="shared" si="16"/>
        <v>44713</v>
      </c>
      <c r="I59" s="1533">
        <f t="shared" si="16"/>
        <v>44682</v>
      </c>
      <c r="J59" s="1533">
        <f t="shared" si="16"/>
        <v>44652</v>
      </c>
      <c r="K59" s="1533">
        <f t="shared" si="16"/>
        <v>44621</v>
      </c>
      <c r="L59" s="1533">
        <f t="shared" si="16"/>
        <v>44593</v>
      </c>
      <c r="M59" s="1533">
        <f t="shared" si="16"/>
        <v>44562</v>
      </c>
      <c r="N59" s="1533">
        <f t="shared" si="16"/>
        <v>44531</v>
      </c>
      <c r="O59" s="1533">
        <f t="shared" si="16"/>
        <v>44501</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937</v>
      </c>
      <c r="B61" s="1236"/>
      <c r="C61" s="1237"/>
      <c r="D61" s="1238"/>
      <c r="E61" s="1238"/>
      <c r="F61" s="1238"/>
      <c r="G61" s="1238"/>
      <c r="H61" s="1238"/>
      <c r="I61" s="1238"/>
      <c r="J61" s="1238"/>
      <c r="K61" s="1238"/>
      <c r="L61" s="1238"/>
      <c r="M61" s="1287"/>
      <c r="N61" s="1238"/>
      <c r="O61" s="1547"/>
      <c r="P61" s="1286"/>
      <c r="Q61" s="1286"/>
    </row>
    <row r="62" spans="1:29" s="1014" customFormat="1" ht="15">
      <c r="A62" s="1239" t="s">
        <v>887</v>
      </c>
      <c r="B62" s="1240"/>
      <c r="C62" s="1241" t="s">
        <v>888</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938</v>
      </c>
      <c r="B64" s="1245" t="s">
        <v>892</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895</v>
      </c>
      <c r="C66" s="1250" t="s">
        <v>939</v>
      </c>
      <c r="D66" s="1250" t="s">
        <v>940</v>
      </c>
      <c r="E66" s="1250" t="s">
        <v>941</v>
      </c>
      <c r="F66" s="1250" t="s">
        <v>942</v>
      </c>
      <c r="G66" s="1250" t="s">
        <v>943</v>
      </c>
      <c r="H66" s="1250" t="s">
        <v>944</v>
      </c>
      <c r="I66" s="1250" t="s">
        <v>945</v>
      </c>
      <c r="J66" s="1250"/>
      <c r="K66" s="973"/>
      <c r="L66" s="973"/>
      <c r="M66" s="1298"/>
      <c r="N66" s="1294"/>
      <c r="O66" s="1294"/>
      <c r="P66" s="1295"/>
      <c r="Q66" s="1286"/>
    </row>
    <row r="67" spans="1:17" ht="15">
      <c r="A67" s="1246"/>
      <c r="B67" s="1251"/>
      <c r="C67" s="1252" t="s">
        <v>1505</v>
      </c>
      <c r="D67" s="1252" t="s">
        <v>1505</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896</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897</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946</v>
      </c>
      <c r="D83" s="1250" t="s">
        <v>947</v>
      </c>
      <c r="E83" s="1250" t="s">
        <v>948</v>
      </c>
      <c r="F83" s="1250" t="s">
        <v>949</v>
      </c>
      <c r="G83" s="1250" t="s">
        <v>950</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1508</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911</v>
      </c>
      <c r="B101" s="1245" t="s">
        <v>912</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915</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916</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919</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920</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1509</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921</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923</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1511</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1502</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926</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866</v>
      </c>
      <c r="B1" s="1387" t="s">
        <v>1512</v>
      </c>
      <c r="C1" s="1465"/>
      <c r="D1" s="1325"/>
      <c r="E1" s="1326"/>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871</v>
      </c>
      <c r="B3" s="698" t="e">
        <f ca="1">ROUND(IF(D2="——",C43,IF(C2="万元",B2*10000/D3,B2/D3)),0)</f>
        <v>#DIV/0!</v>
      </c>
      <c r="C3" s="1335" t="s">
        <v>872</v>
      </c>
      <c r="D3" s="1336">
        <f>IF(C1="仅计算典型户型",'数据-取费表'!E5,'数据-取费表'!B5)</f>
        <v>59.11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58" t="s">
        <v>874</v>
      </c>
      <c r="D4" s="3659"/>
      <c r="E4" s="3660" t="s">
        <v>875</v>
      </c>
      <c r="F4" s="3661"/>
      <c r="G4" s="3658" t="s">
        <v>876</v>
      </c>
      <c r="H4" s="3659"/>
      <c r="I4" s="3658" t="s">
        <v>877</v>
      </c>
      <c r="J4" s="3659"/>
      <c r="K4" s="841" t="s">
        <v>878</v>
      </c>
      <c r="L4" s="842"/>
      <c r="M4" s="843"/>
      <c r="N4" s="843"/>
      <c r="O4" s="843"/>
      <c r="P4" s="3627" t="s">
        <v>879</v>
      </c>
      <c r="Q4" s="3628"/>
      <c r="R4" s="3633" t="s">
        <v>875</v>
      </c>
      <c r="S4" s="3634"/>
      <c r="T4" s="3633" t="s">
        <v>876</v>
      </c>
      <c r="U4" s="3634"/>
      <c r="V4" s="3639" t="s">
        <v>877</v>
      </c>
      <c r="W4" s="3639"/>
      <c r="X4" s="881"/>
      <c r="Y4" s="3633" t="s">
        <v>879</v>
      </c>
      <c r="Z4" s="3634"/>
      <c r="AA4" s="3624" t="s">
        <v>875</v>
      </c>
      <c r="AB4" s="3625" t="s">
        <v>876</v>
      </c>
      <c r="AC4" s="3624" t="s">
        <v>877</v>
      </c>
    </row>
    <row r="5" spans="1:29" ht="15">
      <c r="A5" s="701"/>
      <c r="B5" s="702"/>
      <c r="C5" s="3662" t="s">
        <v>880</v>
      </c>
      <c r="D5" s="3663"/>
      <c r="E5" s="3664" t="s">
        <v>1493</v>
      </c>
      <c r="F5" s="3665"/>
      <c r="G5" s="3662" t="s">
        <v>1494</v>
      </c>
      <c r="H5" s="3663"/>
      <c r="I5" s="3662" t="s">
        <v>1495</v>
      </c>
      <c r="J5" s="3663"/>
      <c r="K5" s="841"/>
      <c r="L5" s="842"/>
      <c r="M5" s="843"/>
      <c r="N5" s="843"/>
      <c r="O5" s="843"/>
      <c r="P5" s="3629"/>
      <c r="Q5" s="3630"/>
      <c r="R5" s="3635"/>
      <c r="S5" s="3636"/>
      <c r="T5" s="3635"/>
      <c r="U5" s="3636"/>
      <c r="V5" s="3639"/>
      <c r="W5" s="3639"/>
      <c r="X5" s="881"/>
      <c r="Y5" s="3635"/>
      <c r="Z5" s="3636"/>
      <c r="AA5" s="3625"/>
      <c r="AB5" s="3625"/>
      <c r="AC5" s="3625"/>
    </row>
    <row r="6" spans="1:29" ht="15">
      <c r="A6" s="703"/>
      <c r="B6" s="704"/>
      <c r="C6" s="3653" t="s">
        <v>882</v>
      </c>
      <c r="D6" s="3654"/>
      <c r="E6" s="3655" t="s">
        <v>882</v>
      </c>
      <c r="F6" s="3656"/>
      <c r="G6" s="3653" t="s">
        <v>882</v>
      </c>
      <c r="H6" s="3654"/>
      <c r="I6" s="3653" t="s">
        <v>882</v>
      </c>
      <c r="J6" s="3654"/>
      <c r="K6" s="841" t="s">
        <v>883</v>
      </c>
      <c r="L6" s="842"/>
      <c r="M6" s="843"/>
      <c r="N6" s="843"/>
      <c r="O6" s="843"/>
      <c r="P6" s="3631"/>
      <c r="Q6" s="3632"/>
      <c r="R6" s="3635"/>
      <c r="S6" s="3636"/>
      <c r="T6" s="3637"/>
      <c r="U6" s="3638"/>
      <c r="V6" s="3639"/>
      <c r="W6" s="3639"/>
      <c r="X6" s="881"/>
      <c r="Y6" s="3637"/>
      <c r="Z6" s="3638"/>
      <c r="AA6" s="3626"/>
      <c r="AB6" s="3626"/>
      <c r="AC6" s="3626"/>
    </row>
    <row r="7" spans="1:29" s="678" customFormat="1" ht="15">
      <c r="A7" s="705" t="s">
        <v>884</v>
      </c>
      <c r="B7" s="706"/>
      <c r="C7" s="707">
        <f>'数据-取费表'!B2</f>
        <v>44873</v>
      </c>
      <c r="D7" s="708">
        <v>100</v>
      </c>
      <c r="E7" s="709"/>
      <c r="F7" s="710">
        <f>SUMIF(52:52,YEAR(E7)&amp;"-"&amp;MONTH(E7),53:53)</f>
        <v>0</v>
      </c>
      <c r="G7" s="709"/>
      <c r="H7" s="708">
        <f>SUMIF(52:52,YEAR(G7)&amp;"-"&amp;MONTH(G7),53:53)</f>
        <v>0</v>
      </c>
      <c r="I7" s="709"/>
      <c r="J7" s="708">
        <f>SUMIF(52:52,YEAR(I7)&amp;"-"&amp;MONTH(I7),53:53)</f>
        <v>0</v>
      </c>
      <c r="K7" s="844"/>
      <c r="L7" s="845"/>
      <c r="M7" s="846"/>
      <c r="N7" s="846"/>
      <c r="O7" s="846"/>
      <c r="P7" s="3645" t="s">
        <v>885</v>
      </c>
      <c r="Q7" s="3657"/>
      <c r="R7" s="882" t="s">
        <v>886</v>
      </c>
      <c r="S7" s="883">
        <f t="shared" ref="S7:S15" si="0">F7</f>
        <v>0</v>
      </c>
      <c r="T7" s="882" t="s">
        <v>886</v>
      </c>
      <c r="U7" s="883">
        <f t="shared" ref="U7:U15" si="1">H7</f>
        <v>0</v>
      </c>
      <c r="V7" s="882" t="s">
        <v>886</v>
      </c>
      <c r="W7" s="883">
        <f t="shared" ref="W7:W15" si="2">J7</f>
        <v>0</v>
      </c>
      <c r="X7" s="884"/>
      <c r="Y7" s="3645" t="s">
        <v>885</v>
      </c>
      <c r="Z7" s="3646"/>
      <c r="AA7" s="895" t="e">
        <f>D7/F7</f>
        <v>#DIV/0!</v>
      </c>
      <c r="AB7" s="895" t="e">
        <f>D7/H7</f>
        <v>#DIV/0!</v>
      </c>
      <c r="AC7" s="895" t="e">
        <f>D7/J7</f>
        <v>#DIV/0!</v>
      </c>
    </row>
    <row r="8" spans="1:29" s="678" customFormat="1" ht="15">
      <c r="A8" s="705" t="s">
        <v>887</v>
      </c>
      <c r="B8" s="706"/>
      <c r="C8" s="712" t="s">
        <v>889</v>
      </c>
      <c r="D8" s="708">
        <v>100</v>
      </c>
      <c r="E8" s="712"/>
      <c r="F8" s="710">
        <f>SUMIF(55:55,E8,56:56)-SUMIF(55:55,C8,56:56)+100</f>
        <v>0</v>
      </c>
      <c r="G8" s="712"/>
      <c r="H8" s="708">
        <f>SUMIF(55:55,G8,56:56)-SUMIF(55:55,C8,56:56)+100</f>
        <v>0</v>
      </c>
      <c r="I8" s="712"/>
      <c r="J8" s="708">
        <f>SUMIF(55:55,I8,56:56)-SUMIF(55:55,C8,56:56)+100</f>
        <v>0</v>
      </c>
      <c r="K8" s="844"/>
      <c r="L8" s="845"/>
      <c r="M8" s="846"/>
      <c r="N8" s="846"/>
      <c r="O8" s="846"/>
      <c r="P8" s="3645" t="s">
        <v>890</v>
      </c>
      <c r="Q8" s="3646"/>
      <c r="R8" s="882" t="s">
        <v>886</v>
      </c>
      <c r="S8" s="883">
        <f t="shared" si="0"/>
        <v>0</v>
      </c>
      <c r="T8" s="882" t="s">
        <v>886</v>
      </c>
      <c r="U8" s="883">
        <f t="shared" si="1"/>
        <v>0</v>
      </c>
      <c r="V8" s="882" t="s">
        <v>886</v>
      </c>
      <c r="W8" s="883">
        <f t="shared" si="2"/>
        <v>0</v>
      </c>
      <c r="X8" s="884"/>
      <c r="Y8" s="3645" t="s">
        <v>890</v>
      </c>
      <c r="Z8" s="3646"/>
      <c r="AA8" s="895" t="e">
        <f t="shared" ref="AA8:AA40" si="3">D8/F8</f>
        <v>#DIV/0!</v>
      </c>
      <c r="AB8" s="895" t="e">
        <f t="shared" ref="AB8:AB40" si="4">D8/H8</f>
        <v>#DIV/0!</v>
      </c>
      <c r="AC8" s="895" t="e">
        <f t="shared" ref="AC8:AC40" si="5">D8/J8</f>
        <v>#DIV/0!</v>
      </c>
    </row>
    <row r="9" spans="1:29" s="678" customFormat="1">
      <c r="A9" s="713" t="s">
        <v>891</v>
      </c>
      <c r="B9" s="714" t="s">
        <v>892</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40" t="s">
        <v>893</v>
      </c>
      <c r="Q9" s="885" t="str">
        <f t="shared" ref="Q9:Q15" si="6">B9</f>
        <v>用途</v>
      </c>
      <c r="R9" s="882" t="s">
        <v>886</v>
      </c>
      <c r="S9" s="883">
        <f t="shared" si="0"/>
        <v>100</v>
      </c>
      <c r="T9" s="882" t="s">
        <v>886</v>
      </c>
      <c r="U9" s="883">
        <f t="shared" si="1"/>
        <v>100</v>
      </c>
      <c r="V9" s="882" t="s">
        <v>886</v>
      </c>
      <c r="W9" s="883">
        <f t="shared" si="2"/>
        <v>100</v>
      </c>
      <c r="X9" s="884"/>
      <c r="Y9" s="3652" t="s">
        <v>894</v>
      </c>
      <c r="Z9" s="896" t="str">
        <f t="shared" ref="Z9:Z15" si="7">Q9</f>
        <v>用途</v>
      </c>
      <c r="AA9" s="895">
        <f t="shared" si="3"/>
        <v>1</v>
      </c>
      <c r="AB9" s="895">
        <f t="shared" si="4"/>
        <v>1</v>
      </c>
      <c r="AC9" s="895">
        <f t="shared" si="5"/>
        <v>1</v>
      </c>
    </row>
    <row r="10" spans="1:29" s="679" customFormat="1" ht="27">
      <c r="A10" s="717"/>
      <c r="B10" s="718" t="s">
        <v>895</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40"/>
      <c r="Q10" s="885" t="str">
        <f t="shared" si="6"/>
        <v>土地使用年限（年）</v>
      </c>
      <c r="R10" s="882" t="s">
        <v>886</v>
      </c>
      <c r="S10" s="883">
        <f t="shared" si="0"/>
        <v>100</v>
      </c>
      <c r="T10" s="882" t="s">
        <v>886</v>
      </c>
      <c r="U10" s="883">
        <f t="shared" si="1"/>
        <v>100</v>
      </c>
      <c r="V10" s="882" t="s">
        <v>886</v>
      </c>
      <c r="W10" s="883">
        <f t="shared" si="2"/>
        <v>100</v>
      </c>
      <c r="X10" s="884"/>
      <c r="Y10" s="3652"/>
      <c r="Z10" s="896" t="str">
        <f t="shared" si="7"/>
        <v>土地使用年限（年）</v>
      </c>
      <c r="AA10" s="895">
        <f t="shared" si="3"/>
        <v>1</v>
      </c>
      <c r="AB10" s="895">
        <f t="shared" si="4"/>
        <v>1</v>
      </c>
      <c r="AC10" s="895">
        <f t="shared" si="5"/>
        <v>1</v>
      </c>
    </row>
    <row r="11" spans="1:29" ht="15">
      <c r="A11" s="721"/>
      <c r="B11" s="718" t="s">
        <v>896</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40"/>
      <c r="Q11" s="885" t="str">
        <f t="shared" si="6"/>
        <v>容积率</v>
      </c>
      <c r="R11" s="882" t="s">
        <v>886</v>
      </c>
      <c r="S11" s="883" t="e">
        <f t="shared" si="0"/>
        <v>#N/A</v>
      </c>
      <c r="T11" s="882" t="s">
        <v>886</v>
      </c>
      <c r="U11" s="883" t="e">
        <f t="shared" si="1"/>
        <v>#N/A</v>
      </c>
      <c r="V11" s="882" t="s">
        <v>886</v>
      </c>
      <c r="W11" s="883" t="e">
        <f t="shared" si="2"/>
        <v>#N/A</v>
      </c>
      <c r="X11" s="884"/>
      <c r="Y11" s="3652"/>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40"/>
      <c r="Q12" s="885">
        <f t="shared" si="6"/>
        <v>111</v>
      </c>
      <c r="R12" s="882" t="s">
        <v>886</v>
      </c>
      <c r="S12" s="883">
        <f t="shared" si="0"/>
        <v>100</v>
      </c>
      <c r="T12" s="882" t="s">
        <v>886</v>
      </c>
      <c r="U12" s="883">
        <f t="shared" si="1"/>
        <v>100</v>
      </c>
      <c r="V12" s="882" t="s">
        <v>886</v>
      </c>
      <c r="W12" s="883">
        <f t="shared" si="2"/>
        <v>100</v>
      </c>
      <c r="X12" s="884"/>
      <c r="Y12" s="3652"/>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40"/>
      <c r="Q13" s="885">
        <f t="shared" si="6"/>
        <v>111</v>
      </c>
      <c r="R13" s="882" t="s">
        <v>886</v>
      </c>
      <c r="S13" s="883">
        <f t="shared" si="0"/>
        <v>100</v>
      </c>
      <c r="T13" s="882" t="s">
        <v>886</v>
      </c>
      <c r="U13" s="883">
        <f t="shared" si="1"/>
        <v>100</v>
      </c>
      <c r="V13" s="882" t="s">
        <v>886</v>
      </c>
      <c r="W13" s="883">
        <f t="shared" si="2"/>
        <v>100</v>
      </c>
      <c r="X13" s="884"/>
      <c r="Y13" s="3652"/>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40"/>
      <c r="Q14" s="885">
        <f t="shared" si="6"/>
        <v>111</v>
      </c>
      <c r="R14" s="882" t="s">
        <v>886</v>
      </c>
      <c r="S14" s="883">
        <f t="shared" si="0"/>
        <v>100</v>
      </c>
      <c r="T14" s="882" t="s">
        <v>886</v>
      </c>
      <c r="U14" s="883">
        <f t="shared" si="1"/>
        <v>100</v>
      </c>
      <c r="V14" s="882" t="s">
        <v>886</v>
      </c>
      <c r="W14" s="883">
        <f t="shared" si="2"/>
        <v>100</v>
      </c>
      <c r="X14" s="884"/>
      <c r="Y14" s="3652"/>
      <c r="Z14" s="896">
        <f t="shared" si="7"/>
        <v>111</v>
      </c>
      <c r="AA14" s="895">
        <f t="shared" si="3"/>
        <v>1</v>
      </c>
      <c r="AB14" s="895">
        <f t="shared" si="4"/>
        <v>1</v>
      </c>
      <c r="AC14" s="895">
        <f t="shared" si="5"/>
        <v>1</v>
      </c>
    </row>
    <row r="15" spans="1:29" ht="57">
      <c r="A15" s="735" t="s">
        <v>897</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47" t="s">
        <v>898</v>
      </c>
      <c r="Q15" s="848" t="str">
        <f t="shared" si="6"/>
        <v>产业集聚程度</v>
      </c>
      <c r="R15" s="886" t="s">
        <v>886</v>
      </c>
      <c r="S15" s="887">
        <f t="shared" si="0"/>
        <v>100</v>
      </c>
      <c r="T15" s="886" t="s">
        <v>886</v>
      </c>
      <c r="U15" s="887">
        <f t="shared" si="1"/>
        <v>100</v>
      </c>
      <c r="V15" s="886" t="s">
        <v>886</v>
      </c>
      <c r="W15" s="887">
        <f t="shared" si="2"/>
        <v>100</v>
      </c>
      <c r="X15" s="881"/>
      <c r="Y15" s="3647" t="s">
        <v>898</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48"/>
      <c r="Q16" s="848"/>
      <c r="R16" s="886"/>
      <c r="S16" s="887"/>
      <c r="T16" s="886"/>
      <c r="U16" s="887"/>
      <c r="V16" s="886"/>
      <c r="W16" s="887"/>
      <c r="X16" s="881"/>
      <c r="Y16" s="3648"/>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48"/>
      <c r="Q17" s="848" t="str">
        <f>B17</f>
        <v>交通便捷度</v>
      </c>
      <c r="R17" s="886" t="s">
        <v>886</v>
      </c>
      <c r="S17" s="887">
        <f>F17</f>
        <v>100</v>
      </c>
      <c r="T17" s="886" t="s">
        <v>886</v>
      </c>
      <c r="U17" s="887">
        <f>H17</f>
        <v>100</v>
      </c>
      <c r="V17" s="886" t="s">
        <v>886</v>
      </c>
      <c r="W17" s="887">
        <f>J17</f>
        <v>100</v>
      </c>
      <c r="X17" s="881"/>
      <c r="Y17" s="3648"/>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48"/>
      <c r="Q18" s="848"/>
      <c r="R18" s="886"/>
      <c r="S18" s="887"/>
      <c r="T18" s="886"/>
      <c r="U18" s="887"/>
      <c r="V18" s="886"/>
      <c r="W18" s="887"/>
      <c r="X18" s="881"/>
      <c r="Y18" s="3648"/>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48"/>
      <c r="Q19" s="848" t="str">
        <f>B19</f>
        <v>公共配套设施</v>
      </c>
      <c r="R19" s="886" t="s">
        <v>886</v>
      </c>
      <c r="S19" s="887">
        <f>F19</f>
        <v>100</v>
      </c>
      <c r="T19" s="886" t="s">
        <v>886</v>
      </c>
      <c r="U19" s="887">
        <f>H19</f>
        <v>100</v>
      </c>
      <c r="V19" s="886" t="s">
        <v>886</v>
      </c>
      <c r="W19" s="887">
        <f>J19</f>
        <v>100</v>
      </c>
      <c r="X19" s="881"/>
      <c r="Y19" s="3648"/>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48"/>
      <c r="Q20" s="848"/>
      <c r="R20" s="886"/>
      <c r="S20" s="887"/>
      <c r="T20" s="886"/>
      <c r="U20" s="887"/>
      <c r="V20" s="886"/>
      <c r="W20" s="887"/>
      <c r="X20" s="881"/>
      <c r="Y20" s="3648"/>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48"/>
      <c r="Q21" s="848" t="str">
        <f>B21</f>
        <v>基础设施水平</v>
      </c>
      <c r="R21" s="886" t="s">
        <v>886</v>
      </c>
      <c r="S21" s="887">
        <f>F21</f>
        <v>100</v>
      </c>
      <c r="T21" s="886" t="s">
        <v>886</v>
      </c>
      <c r="U21" s="887">
        <f>H21</f>
        <v>100</v>
      </c>
      <c r="V21" s="886" t="s">
        <v>886</v>
      </c>
      <c r="W21" s="887">
        <f>J21</f>
        <v>100</v>
      </c>
      <c r="X21" s="881"/>
      <c r="Y21" s="3648"/>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48"/>
      <c r="Q22" s="848"/>
      <c r="R22" s="886"/>
      <c r="S22" s="887"/>
      <c r="T22" s="886"/>
      <c r="U22" s="887"/>
      <c r="V22" s="886"/>
      <c r="W22" s="887"/>
      <c r="X22" s="881"/>
      <c r="Y22" s="3648"/>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48"/>
      <c r="Q23" s="848" t="str">
        <f>B23</f>
        <v>环境质量</v>
      </c>
      <c r="R23" s="886" t="s">
        <v>886</v>
      </c>
      <c r="S23" s="887">
        <f>F23</f>
        <v>100</v>
      </c>
      <c r="T23" s="886" t="s">
        <v>886</v>
      </c>
      <c r="U23" s="887">
        <f>H23</f>
        <v>100</v>
      </c>
      <c r="V23" s="886" t="s">
        <v>886</v>
      </c>
      <c r="W23" s="887">
        <f>J23</f>
        <v>100</v>
      </c>
      <c r="X23" s="881"/>
      <c r="Y23" s="3648"/>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48"/>
      <c r="Q24" s="848"/>
      <c r="R24" s="886"/>
      <c r="S24" s="887"/>
      <c r="T24" s="886"/>
      <c r="U24" s="887"/>
      <c r="V24" s="886"/>
      <c r="W24" s="887"/>
      <c r="X24" s="881"/>
      <c r="Y24" s="3648"/>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48"/>
      <c r="Q25" s="848">
        <f>B25</f>
        <v>111</v>
      </c>
      <c r="R25" s="886" t="s">
        <v>886</v>
      </c>
      <c r="S25" s="887">
        <f>F25</f>
        <v>100</v>
      </c>
      <c r="T25" s="886" t="s">
        <v>886</v>
      </c>
      <c r="U25" s="887">
        <f>H25</f>
        <v>100</v>
      </c>
      <c r="V25" s="886" t="s">
        <v>886</v>
      </c>
      <c r="W25" s="887">
        <f>J25</f>
        <v>100</v>
      </c>
      <c r="X25" s="881"/>
      <c r="Y25" s="3648"/>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48"/>
      <c r="Q26" s="848">
        <f t="shared" ref="Q26:Q40" si="11">B26</f>
        <v>111</v>
      </c>
      <c r="R26" s="886" t="s">
        <v>886</v>
      </c>
      <c r="S26" s="887">
        <f>F26</f>
        <v>100</v>
      </c>
      <c r="T26" s="886" t="s">
        <v>886</v>
      </c>
      <c r="U26" s="887">
        <f>H26</f>
        <v>100</v>
      </c>
      <c r="V26" s="886" t="s">
        <v>886</v>
      </c>
      <c r="W26" s="887">
        <f>J26</f>
        <v>100</v>
      </c>
      <c r="X26" s="881"/>
      <c r="Y26" s="3648"/>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48"/>
      <c r="Q27" s="885">
        <f t="shared" si="11"/>
        <v>111</v>
      </c>
      <c r="R27" s="882" t="s">
        <v>886</v>
      </c>
      <c r="S27" s="883">
        <f>F27</f>
        <v>100</v>
      </c>
      <c r="T27" s="882" t="s">
        <v>886</v>
      </c>
      <c r="U27" s="883">
        <f>H27</f>
        <v>100</v>
      </c>
      <c r="V27" s="882" t="s">
        <v>886</v>
      </c>
      <c r="W27" s="883">
        <f>J27</f>
        <v>100</v>
      </c>
      <c r="X27" s="884"/>
      <c r="Y27" s="3648"/>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48"/>
      <c r="Q28" s="848">
        <f t="shared" si="11"/>
        <v>111</v>
      </c>
      <c r="R28" s="886" t="s">
        <v>886</v>
      </c>
      <c r="S28" s="887">
        <f t="shared" ref="S28:S40" si="12">F28</f>
        <v>100</v>
      </c>
      <c r="T28" s="886" t="s">
        <v>886</v>
      </c>
      <c r="U28" s="887">
        <f t="shared" ref="U28:U40" si="13">H28</f>
        <v>100</v>
      </c>
      <c r="V28" s="886" t="s">
        <v>886</v>
      </c>
      <c r="W28" s="887">
        <f t="shared" ref="W28:W40" si="14">J28</f>
        <v>100</v>
      </c>
      <c r="X28" s="881"/>
      <c r="Y28" s="3648"/>
      <c r="Z28" s="810">
        <f t="shared" ref="Z28:Z40" si="15">Q28</f>
        <v>111</v>
      </c>
      <c r="AA28" s="897">
        <f t="shared" si="3"/>
        <v>1</v>
      </c>
      <c r="AB28" s="897">
        <f t="shared" si="4"/>
        <v>1</v>
      </c>
      <c r="AC28" s="897">
        <f t="shared" si="5"/>
        <v>1</v>
      </c>
    </row>
    <row r="29" spans="1:29" ht="28.5">
      <c r="A29" s="1356" t="s">
        <v>911</v>
      </c>
      <c r="B29" s="714" t="s">
        <v>912</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49" t="s">
        <v>914</v>
      </c>
      <c r="Q29" s="848" t="str">
        <f t="shared" si="11"/>
        <v>建筑类型</v>
      </c>
      <c r="R29" s="886" t="s">
        <v>886</v>
      </c>
      <c r="S29" s="887">
        <f t="shared" si="12"/>
        <v>100</v>
      </c>
      <c r="T29" s="886" t="s">
        <v>886</v>
      </c>
      <c r="U29" s="887">
        <f t="shared" si="13"/>
        <v>100</v>
      </c>
      <c r="V29" s="886" t="s">
        <v>886</v>
      </c>
      <c r="W29" s="887">
        <f t="shared" si="14"/>
        <v>100</v>
      </c>
      <c r="X29" s="881"/>
      <c r="Y29" s="3650" t="s">
        <v>914</v>
      </c>
      <c r="Z29" s="810" t="str">
        <f t="shared" si="15"/>
        <v>建筑类型</v>
      </c>
      <c r="AA29" s="897">
        <f t="shared" si="3"/>
        <v>1</v>
      </c>
      <c r="AB29" s="897">
        <f t="shared" si="4"/>
        <v>1</v>
      </c>
      <c r="AC29" s="897">
        <f t="shared" si="5"/>
        <v>1</v>
      </c>
    </row>
    <row r="30" spans="1:29" s="680" customFormat="1" ht="15">
      <c r="A30" s="777"/>
      <c r="B30" s="718" t="s">
        <v>915</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50"/>
      <c r="Q30" s="1397" t="str">
        <f t="shared" si="11"/>
        <v>项目建筑规模</v>
      </c>
      <c r="R30" s="888" t="s">
        <v>886</v>
      </c>
      <c r="S30" s="889" t="e">
        <f t="shared" si="12"/>
        <v>#N/A</v>
      </c>
      <c r="T30" s="888" t="s">
        <v>886</v>
      </c>
      <c r="U30" s="889" t="e">
        <f t="shared" si="13"/>
        <v>#N/A</v>
      </c>
      <c r="V30" s="888" t="s">
        <v>886</v>
      </c>
      <c r="W30" s="889" t="e">
        <f t="shared" si="14"/>
        <v>#N/A</v>
      </c>
      <c r="X30" s="890"/>
      <c r="Y30" s="3650"/>
      <c r="Z30" s="898" t="str">
        <f t="shared" si="15"/>
        <v>项目建筑规模</v>
      </c>
      <c r="AA30" s="897" t="e">
        <f t="shared" si="3"/>
        <v>#N/A</v>
      </c>
      <c r="AB30" s="897" t="e">
        <f t="shared" si="4"/>
        <v>#N/A</v>
      </c>
      <c r="AC30" s="897" t="e">
        <f t="shared" si="5"/>
        <v>#N/A</v>
      </c>
    </row>
    <row r="31" spans="1:29" ht="15">
      <c r="A31" s="769"/>
      <c r="B31" s="718" t="s">
        <v>916</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50"/>
      <c r="Q31" s="848" t="str">
        <f t="shared" si="11"/>
        <v>建筑结构</v>
      </c>
      <c r="R31" s="886" t="s">
        <v>886</v>
      </c>
      <c r="S31" s="887">
        <f t="shared" si="12"/>
        <v>100</v>
      </c>
      <c r="T31" s="886" t="s">
        <v>886</v>
      </c>
      <c r="U31" s="887">
        <f t="shared" si="13"/>
        <v>100</v>
      </c>
      <c r="V31" s="886" t="s">
        <v>886</v>
      </c>
      <c r="W31" s="887">
        <f t="shared" si="14"/>
        <v>100</v>
      </c>
      <c r="X31" s="881"/>
      <c r="Y31" s="3650"/>
      <c r="Z31" s="810" t="str">
        <f t="shared" si="15"/>
        <v>建筑结构</v>
      </c>
      <c r="AA31" s="897">
        <f t="shared" si="3"/>
        <v>1</v>
      </c>
      <c r="AB31" s="897">
        <f t="shared" si="4"/>
        <v>1</v>
      </c>
      <c r="AC31" s="897">
        <f t="shared" si="5"/>
        <v>1</v>
      </c>
    </row>
    <row r="32" spans="1:29" ht="15">
      <c r="A32" s="769"/>
      <c r="B32" s="718" t="s">
        <v>919</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50"/>
      <c r="Q32" s="848" t="str">
        <f t="shared" si="11"/>
        <v>公共部分装修</v>
      </c>
      <c r="R32" s="886" t="s">
        <v>886</v>
      </c>
      <c r="S32" s="887">
        <f t="shared" si="12"/>
        <v>100</v>
      </c>
      <c r="T32" s="886" t="s">
        <v>886</v>
      </c>
      <c r="U32" s="887">
        <f t="shared" si="13"/>
        <v>100</v>
      </c>
      <c r="V32" s="886" t="s">
        <v>886</v>
      </c>
      <c r="W32" s="887">
        <f t="shared" si="14"/>
        <v>100</v>
      </c>
      <c r="X32" s="881"/>
      <c r="Y32" s="3650"/>
      <c r="Z32" s="810" t="str">
        <f t="shared" si="15"/>
        <v>公共部分装修</v>
      </c>
      <c r="AA32" s="897">
        <f t="shared" si="3"/>
        <v>1</v>
      </c>
      <c r="AB32" s="897">
        <f t="shared" si="4"/>
        <v>1</v>
      </c>
      <c r="AC32" s="897">
        <f t="shared" si="5"/>
        <v>1</v>
      </c>
    </row>
    <row r="33" spans="1:29" ht="15">
      <c r="A33" s="769"/>
      <c r="B33" s="718" t="s">
        <v>920</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50"/>
      <c r="Q33" s="848" t="str">
        <f t="shared" si="11"/>
        <v>成新度</v>
      </c>
      <c r="R33" s="886" t="s">
        <v>886</v>
      </c>
      <c r="S33" s="887" t="e">
        <f t="shared" si="12"/>
        <v>#N/A</v>
      </c>
      <c r="T33" s="886" t="s">
        <v>886</v>
      </c>
      <c r="U33" s="887" t="e">
        <f t="shared" si="13"/>
        <v>#N/A</v>
      </c>
      <c r="V33" s="886" t="s">
        <v>886</v>
      </c>
      <c r="W33" s="887" t="e">
        <f t="shared" si="14"/>
        <v>#N/A</v>
      </c>
      <c r="X33" s="881"/>
      <c r="Y33" s="3650"/>
      <c r="Z33" s="810" t="str">
        <f t="shared" si="15"/>
        <v>成新度</v>
      </c>
      <c r="AA33" s="897" t="e">
        <f t="shared" si="3"/>
        <v>#N/A</v>
      </c>
      <c r="AB33" s="897" t="e">
        <f t="shared" si="4"/>
        <v>#N/A</v>
      </c>
      <c r="AC33" s="897" t="e">
        <f t="shared" si="5"/>
        <v>#N/A</v>
      </c>
    </row>
    <row r="34" spans="1:29" s="678" customFormat="1" ht="15">
      <c r="A34" s="774"/>
      <c r="B34" s="718" t="s">
        <v>921</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50"/>
      <c r="Q34" s="885" t="str">
        <f t="shared" si="11"/>
        <v>物业管理</v>
      </c>
      <c r="R34" s="882" t="s">
        <v>886</v>
      </c>
      <c r="S34" s="883">
        <f t="shared" si="12"/>
        <v>100</v>
      </c>
      <c r="T34" s="882" t="s">
        <v>886</v>
      </c>
      <c r="U34" s="883">
        <f t="shared" si="13"/>
        <v>100</v>
      </c>
      <c r="V34" s="882" t="s">
        <v>886</v>
      </c>
      <c r="W34" s="883">
        <f t="shared" si="14"/>
        <v>100</v>
      </c>
      <c r="X34" s="884"/>
      <c r="Y34" s="3650"/>
      <c r="Z34" s="896" t="str">
        <f t="shared" si="15"/>
        <v>物业管理</v>
      </c>
      <c r="AA34" s="895">
        <f t="shared" si="3"/>
        <v>1</v>
      </c>
      <c r="AB34" s="895">
        <f t="shared" si="4"/>
        <v>1</v>
      </c>
      <c r="AC34" s="895">
        <f t="shared" si="5"/>
        <v>1</v>
      </c>
    </row>
    <row r="35" spans="1:29" ht="15">
      <c r="A35" s="769"/>
      <c r="B35" s="718" t="s">
        <v>923</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50" t="s">
        <v>914</v>
      </c>
      <c r="Q35" s="848" t="str">
        <f t="shared" si="11"/>
        <v>市政基础设施</v>
      </c>
      <c r="R35" s="886" t="s">
        <v>886</v>
      </c>
      <c r="S35" s="887">
        <f t="shared" si="12"/>
        <v>100</v>
      </c>
      <c r="T35" s="886" t="s">
        <v>886</v>
      </c>
      <c r="U35" s="887">
        <f t="shared" si="13"/>
        <v>100</v>
      </c>
      <c r="V35" s="886" t="s">
        <v>886</v>
      </c>
      <c r="W35" s="887">
        <f t="shared" si="14"/>
        <v>100</v>
      </c>
      <c r="X35" s="881"/>
      <c r="Y35" s="3650" t="s">
        <v>914</v>
      </c>
      <c r="Z35" s="810" t="str">
        <f t="shared" si="15"/>
        <v>市政基础设施</v>
      </c>
      <c r="AA35" s="897">
        <f t="shared" si="3"/>
        <v>1</v>
      </c>
      <c r="AB35" s="897">
        <f t="shared" si="4"/>
        <v>1</v>
      </c>
      <c r="AC35" s="897">
        <f t="shared" si="5"/>
        <v>1</v>
      </c>
    </row>
    <row r="36" spans="1:29" ht="15">
      <c r="A36" s="769"/>
      <c r="B36" s="718" t="s">
        <v>926</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50"/>
      <c r="Q36" s="848" t="str">
        <f t="shared" si="11"/>
        <v>内部装修</v>
      </c>
      <c r="R36" s="886" t="s">
        <v>886</v>
      </c>
      <c r="S36" s="887">
        <f t="shared" si="12"/>
        <v>100</v>
      </c>
      <c r="T36" s="886" t="s">
        <v>886</v>
      </c>
      <c r="U36" s="887">
        <f t="shared" si="13"/>
        <v>100</v>
      </c>
      <c r="V36" s="886" t="s">
        <v>886</v>
      </c>
      <c r="W36" s="887">
        <f t="shared" si="14"/>
        <v>100</v>
      </c>
      <c r="X36" s="881"/>
      <c r="Y36" s="3650"/>
      <c r="Z36" s="810" t="str">
        <f t="shared" si="15"/>
        <v>内部装修</v>
      </c>
      <c r="AA36" s="897">
        <f t="shared" si="3"/>
        <v>1</v>
      </c>
      <c r="AB36" s="897">
        <f t="shared" si="4"/>
        <v>1</v>
      </c>
      <c r="AC36" s="897">
        <f t="shared" si="5"/>
        <v>1</v>
      </c>
    </row>
    <row r="37" spans="1:29" ht="15">
      <c r="A37" s="769"/>
      <c r="B37" s="718" t="s">
        <v>1513</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50"/>
      <c r="Q37" s="848" t="str">
        <f t="shared" si="11"/>
        <v>内部装修状况</v>
      </c>
      <c r="R37" s="886" t="s">
        <v>886</v>
      </c>
      <c r="S37" s="887">
        <f t="shared" si="12"/>
        <v>100</v>
      </c>
      <c r="T37" s="886" t="s">
        <v>886</v>
      </c>
      <c r="U37" s="887">
        <f t="shared" si="13"/>
        <v>100</v>
      </c>
      <c r="V37" s="886" t="s">
        <v>886</v>
      </c>
      <c r="W37" s="887">
        <f t="shared" si="14"/>
        <v>100</v>
      </c>
      <c r="X37" s="881"/>
      <c r="Y37" s="3650"/>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50"/>
      <c r="Q38" s="1397">
        <f t="shared" si="11"/>
        <v>111</v>
      </c>
      <c r="R38" s="888" t="s">
        <v>886</v>
      </c>
      <c r="S38" s="889">
        <f t="shared" si="12"/>
        <v>100</v>
      </c>
      <c r="T38" s="888" t="s">
        <v>886</v>
      </c>
      <c r="U38" s="889">
        <f t="shared" si="13"/>
        <v>100</v>
      </c>
      <c r="V38" s="888" t="s">
        <v>886</v>
      </c>
      <c r="W38" s="889">
        <f t="shared" si="14"/>
        <v>100</v>
      </c>
      <c r="X38" s="890"/>
      <c r="Y38" s="3650"/>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50"/>
      <c r="Q39" s="848">
        <f t="shared" si="11"/>
        <v>111</v>
      </c>
      <c r="R39" s="886" t="s">
        <v>886</v>
      </c>
      <c r="S39" s="887">
        <f t="shared" si="12"/>
        <v>100</v>
      </c>
      <c r="T39" s="886" t="s">
        <v>886</v>
      </c>
      <c r="U39" s="887">
        <f t="shared" si="13"/>
        <v>100</v>
      </c>
      <c r="V39" s="886" t="s">
        <v>886</v>
      </c>
      <c r="W39" s="887">
        <f t="shared" si="14"/>
        <v>100</v>
      </c>
      <c r="X39" s="881"/>
      <c r="Y39" s="3650"/>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51"/>
      <c r="Q40" s="848">
        <f t="shared" si="11"/>
        <v>111</v>
      </c>
      <c r="R40" s="886" t="s">
        <v>886</v>
      </c>
      <c r="S40" s="887">
        <f t="shared" si="12"/>
        <v>100</v>
      </c>
      <c r="T40" s="886" t="s">
        <v>886</v>
      </c>
      <c r="U40" s="887">
        <f t="shared" si="13"/>
        <v>100</v>
      </c>
      <c r="V40" s="886" t="s">
        <v>886</v>
      </c>
      <c r="W40" s="887">
        <f t="shared" si="14"/>
        <v>100</v>
      </c>
      <c r="X40" s="881"/>
      <c r="Y40" s="3651"/>
      <c r="Z40" s="810">
        <f t="shared" si="15"/>
        <v>111</v>
      </c>
      <c r="AA40" s="897">
        <f t="shared" si="3"/>
        <v>1</v>
      </c>
      <c r="AB40" s="897">
        <f t="shared" si="4"/>
        <v>1</v>
      </c>
      <c r="AC40" s="897">
        <f t="shared" si="5"/>
        <v>1</v>
      </c>
    </row>
    <row r="41" spans="1:29" ht="15">
      <c r="A41" s="779" t="s">
        <v>929</v>
      </c>
      <c r="B41" s="1367"/>
      <c r="C41" s="1368" t="s">
        <v>121</v>
      </c>
      <c r="D41" s="1369"/>
      <c r="E41" s="1370"/>
      <c r="F41" s="1371"/>
      <c r="G41" s="1372"/>
      <c r="H41" s="1373"/>
      <c r="I41" s="1370"/>
      <c r="J41" s="1373"/>
      <c r="K41" s="867"/>
      <c r="L41" s="868"/>
      <c r="N41" s="843"/>
      <c r="P41" s="3640" t="str">
        <f>A41</f>
        <v>成交单价（元/平方米）</v>
      </c>
      <c r="Q41" s="3640"/>
      <c r="R41" s="3641">
        <f>E41</f>
        <v>0</v>
      </c>
      <c r="S41" s="3641"/>
      <c r="T41" s="3641">
        <f>G41</f>
        <v>0</v>
      </c>
      <c r="U41" s="3641"/>
      <c r="V41" s="3641">
        <f>I41</f>
        <v>0</v>
      </c>
      <c r="W41" s="3641"/>
      <c r="X41" s="831"/>
      <c r="Y41" s="899"/>
      <c r="Z41" s="831"/>
      <c r="AA41" s="831"/>
      <c r="AB41" s="831"/>
      <c r="AC41" s="831"/>
    </row>
    <row r="42" spans="1:29" ht="15">
      <c r="A42" s="787" t="s">
        <v>930</v>
      </c>
      <c r="B42" s="1374"/>
      <c r="C42" s="1375" t="e">
        <f>R43</f>
        <v>#DIV/0!</v>
      </c>
      <c r="D42" s="790" t="s">
        <v>931</v>
      </c>
      <c r="E42" s="1376" t="e">
        <f>R42</f>
        <v>#DIV/0!</v>
      </c>
      <c r="F42" s="791"/>
      <c r="G42" s="1375" t="e">
        <f>T42</f>
        <v>#DIV/0!</v>
      </c>
      <c r="H42" s="791"/>
      <c r="I42" s="1376" t="e">
        <f>V42</f>
        <v>#DIV/0!</v>
      </c>
      <c r="J42" s="791"/>
      <c r="K42" s="869">
        <f>F42+H42+J42</f>
        <v>0</v>
      </c>
      <c r="L42" s="868"/>
      <c r="N42" s="8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831"/>
      <c r="Y42" s="831"/>
      <c r="Z42" s="831"/>
      <c r="AA42" s="831"/>
      <c r="AB42" s="831"/>
      <c r="AC42" s="831"/>
    </row>
    <row r="43" spans="1:29" ht="15">
      <c r="A43" s="793" t="s">
        <v>932</v>
      </c>
      <c r="B43" s="794"/>
      <c r="C43" s="1377" t="e">
        <f>R43</f>
        <v>#DIV/0!</v>
      </c>
      <c r="D43" s="1377"/>
      <c r="E43" s="1377"/>
      <c r="F43" s="1377"/>
      <c r="G43" s="1377"/>
      <c r="H43" s="1377"/>
      <c r="I43" s="1377"/>
      <c r="J43" s="1377"/>
      <c r="K43" s="870"/>
      <c r="L43" s="868"/>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831"/>
      <c r="Y43" s="831"/>
      <c r="Z43" s="831"/>
      <c r="AA43" s="831"/>
      <c r="AB43" s="831"/>
      <c r="AC43" s="831"/>
    </row>
    <row r="44" spans="1:29">
      <c r="G44" s="796"/>
    </row>
    <row r="46" spans="1:29" ht="13.5" customHeight="1">
      <c r="C46" s="797" t="s">
        <v>933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934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936</v>
      </c>
      <c r="B51" s="831"/>
      <c r="C51" s="832"/>
      <c r="D51" s="832"/>
      <c r="E51" s="832"/>
      <c r="F51" s="833"/>
      <c r="G51" s="833"/>
      <c r="H51" s="832"/>
      <c r="I51" s="832"/>
      <c r="J51" s="832"/>
      <c r="K51" s="1392"/>
      <c r="L51" s="1393"/>
      <c r="M51" s="832"/>
      <c r="N51" s="1394"/>
      <c r="O51" s="1394"/>
      <c r="P51" s="880"/>
      <c r="Q51" s="891"/>
    </row>
    <row r="52" spans="1:17" s="683" customFormat="1" ht="15">
      <c r="A52" s="1378" t="s">
        <v>884</v>
      </c>
      <c r="B52" s="1379"/>
      <c r="C52" s="1380" t="str">
        <f>YEAR(C7)&amp;"-"&amp;MONTH(C7)</f>
        <v>2022-11</v>
      </c>
      <c r="D52" s="1381">
        <f>EDATE(C52,-1)</f>
        <v>44835</v>
      </c>
      <c r="E52" s="1474">
        <f t="shared" ref="E52:O52" si="16">EDATE(D52,-1)</f>
        <v>44805</v>
      </c>
      <c r="F52" s="1474">
        <f t="shared" si="16"/>
        <v>44774</v>
      </c>
      <c r="G52" s="1474">
        <f t="shared" si="16"/>
        <v>44743</v>
      </c>
      <c r="H52" s="1474">
        <f t="shared" si="16"/>
        <v>44713</v>
      </c>
      <c r="I52" s="1474">
        <f t="shared" si="16"/>
        <v>44682</v>
      </c>
      <c r="J52" s="1474">
        <f t="shared" si="16"/>
        <v>44652</v>
      </c>
      <c r="K52" s="1474">
        <f t="shared" si="16"/>
        <v>44621</v>
      </c>
      <c r="L52" s="1474">
        <f t="shared" si="16"/>
        <v>44593</v>
      </c>
      <c r="M52" s="1474">
        <f t="shared" si="16"/>
        <v>44562</v>
      </c>
      <c r="N52" s="1474">
        <f t="shared" si="16"/>
        <v>44531</v>
      </c>
      <c r="O52" s="1474">
        <f t="shared" si="16"/>
        <v>44501</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937</v>
      </c>
      <c r="B54" s="907"/>
      <c r="C54" s="908"/>
      <c r="D54" s="909"/>
      <c r="E54" s="909"/>
      <c r="F54" s="909"/>
      <c r="G54" s="909"/>
      <c r="H54" s="909"/>
      <c r="I54" s="909"/>
      <c r="J54" s="909"/>
      <c r="K54" s="909"/>
      <c r="L54" s="909"/>
      <c r="M54" s="958"/>
      <c r="N54" s="909"/>
      <c r="O54" s="1396"/>
      <c r="P54" s="891"/>
      <c r="Q54" s="891"/>
    </row>
    <row r="55" spans="1:17" s="678" customFormat="1" ht="15">
      <c r="A55" s="910" t="s">
        <v>887</v>
      </c>
      <c r="B55" s="911"/>
      <c r="C55" s="912" t="s">
        <v>888</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938</v>
      </c>
      <c r="B57" s="917" t="s">
        <v>892</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895</v>
      </c>
      <c r="C59" s="922" t="s">
        <v>939</v>
      </c>
      <c r="D59" s="922" t="s">
        <v>940</v>
      </c>
      <c r="E59" s="922" t="s">
        <v>941</v>
      </c>
      <c r="F59" s="922" t="s">
        <v>942</v>
      </c>
      <c r="G59" s="922" t="s">
        <v>943</v>
      </c>
      <c r="H59" s="922" t="s">
        <v>944</v>
      </c>
      <c r="I59" s="922" t="s">
        <v>945</v>
      </c>
      <c r="J59" s="922"/>
      <c r="K59" s="972"/>
      <c r="L59" s="973"/>
      <c r="M59" s="974"/>
      <c r="N59" s="968"/>
      <c r="O59" s="968"/>
      <c r="P59" s="969"/>
      <c r="Q59" s="891"/>
    </row>
    <row r="60" spans="1:17" ht="15">
      <c r="A60" s="918"/>
      <c r="B60" s="923"/>
      <c r="C60" s="924" t="s">
        <v>1505</v>
      </c>
      <c r="D60" s="924" t="s">
        <v>1505</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896</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897</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946</v>
      </c>
      <c r="D76" s="922" t="s">
        <v>947</v>
      </c>
      <c r="E76" s="922" t="s">
        <v>948</v>
      </c>
      <c r="F76" s="922" t="s">
        <v>949</v>
      </c>
      <c r="G76" s="922" t="s">
        <v>950</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911</v>
      </c>
      <c r="B88" s="917" t="s">
        <v>912</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915</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916</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919</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920</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921</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923</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926</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1514</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1515</v>
      </c>
      <c r="B1" s="1323"/>
      <c r="C1" s="1324"/>
      <c r="D1" s="1407"/>
      <c r="E1" s="1326"/>
      <c r="F1" s="1408" t="s">
        <v>869</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IF(AND(D2="——",B37="元/平方米"),C39,ROUND(F3*C39/D3,0))</f>
        <v>#DIV/0!</v>
      </c>
      <c r="C3" s="1335" t="s">
        <v>872</v>
      </c>
      <c r="D3" s="1336">
        <f>IF(C1="仅计算典型户型",'数据-取费表'!E5,'数据-取费表'!B5)</f>
        <v>59.11</v>
      </c>
      <c r="E3" s="1410" t="s">
        <v>1516</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58" t="s">
        <v>874</v>
      </c>
      <c r="D4" s="3659"/>
      <c r="E4" s="3660" t="s">
        <v>875</v>
      </c>
      <c r="F4" s="3661"/>
      <c r="G4" s="3658" t="s">
        <v>876</v>
      </c>
      <c r="H4" s="3659"/>
      <c r="I4" s="3658" t="s">
        <v>877</v>
      </c>
      <c r="J4" s="3659"/>
      <c r="K4" s="841" t="s">
        <v>878</v>
      </c>
      <c r="L4" s="842"/>
      <c r="M4" s="843"/>
      <c r="N4" s="843"/>
      <c r="O4" s="843"/>
      <c r="P4" s="3627" t="s">
        <v>879</v>
      </c>
      <c r="Q4" s="3628"/>
      <c r="R4" s="3633" t="s">
        <v>875</v>
      </c>
      <c r="S4" s="3634"/>
      <c r="T4" s="3633" t="s">
        <v>876</v>
      </c>
      <c r="U4" s="3634"/>
      <c r="V4" s="3639" t="s">
        <v>877</v>
      </c>
      <c r="W4" s="3639"/>
      <c r="X4" s="881"/>
      <c r="Y4" s="3633" t="s">
        <v>879</v>
      </c>
      <c r="Z4" s="3634"/>
      <c r="AA4" s="3624" t="s">
        <v>875</v>
      </c>
      <c r="AB4" s="3625" t="s">
        <v>876</v>
      </c>
      <c r="AC4" s="3624" t="s">
        <v>877</v>
      </c>
    </row>
    <row r="5" spans="1:29" ht="15">
      <c r="A5" s="701"/>
      <c r="B5" s="702"/>
      <c r="C5" s="3662" t="s">
        <v>880</v>
      </c>
      <c r="D5" s="3663"/>
      <c r="E5" s="3664" t="s">
        <v>1493</v>
      </c>
      <c r="F5" s="3665"/>
      <c r="G5" s="3662" t="s">
        <v>1494</v>
      </c>
      <c r="H5" s="3663"/>
      <c r="I5" s="3662" t="s">
        <v>1495</v>
      </c>
      <c r="J5" s="3663"/>
      <c r="K5" s="841"/>
      <c r="L5" s="842"/>
      <c r="M5" s="843"/>
      <c r="N5" s="843"/>
      <c r="O5" s="843"/>
      <c r="P5" s="3629"/>
      <c r="Q5" s="3630"/>
      <c r="R5" s="3635"/>
      <c r="S5" s="3636"/>
      <c r="T5" s="3635"/>
      <c r="U5" s="3636"/>
      <c r="V5" s="3639"/>
      <c r="W5" s="3639"/>
      <c r="X5" s="881"/>
      <c r="Y5" s="3635"/>
      <c r="Z5" s="3636"/>
      <c r="AA5" s="3625"/>
      <c r="AB5" s="3625"/>
      <c r="AC5" s="3625"/>
    </row>
    <row r="6" spans="1:29" ht="15">
      <c r="A6" s="703"/>
      <c r="B6" s="704"/>
      <c r="C6" s="3653" t="s">
        <v>882</v>
      </c>
      <c r="D6" s="3654"/>
      <c r="E6" s="3655" t="s">
        <v>882</v>
      </c>
      <c r="F6" s="3656"/>
      <c r="G6" s="3653" t="s">
        <v>882</v>
      </c>
      <c r="H6" s="3654"/>
      <c r="I6" s="3653" t="s">
        <v>882</v>
      </c>
      <c r="J6" s="3654"/>
      <c r="K6" s="841" t="s">
        <v>883</v>
      </c>
      <c r="L6" s="842"/>
      <c r="M6" s="843"/>
      <c r="N6" s="843"/>
      <c r="O6" s="843"/>
      <c r="P6" s="3631"/>
      <c r="Q6" s="3632"/>
      <c r="R6" s="3635"/>
      <c r="S6" s="3636"/>
      <c r="T6" s="3637"/>
      <c r="U6" s="3638"/>
      <c r="V6" s="3639"/>
      <c r="W6" s="3639"/>
      <c r="X6" s="881"/>
      <c r="Y6" s="3637"/>
      <c r="Z6" s="3638"/>
      <c r="AA6" s="3626"/>
      <c r="AB6" s="3626"/>
      <c r="AC6" s="3626"/>
    </row>
    <row r="7" spans="1:29" s="678" customFormat="1" ht="15">
      <c r="A7" s="705" t="s">
        <v>884</v>
      </c>
      <c r="B7" s="706"/>
      <c r="C7" s="707">
        <f>'数据-取费表'!B2</f>
        <v>44873</v>
      </c>
      <c r="D7" s="708">
        <v>100</v>
      </c>
      <c r="E7" s="709"/>
      <c r="F7" s="710">
        <f>SUMIF(48:48,YEAR(E7)&amp;"-"&amp;MONTH(E7),49:49)</f>
        <v>0</v>
      </c>
      <c r="G7" s="709"/>
      <c r="H7" s="708">
        <f>SUMIF(48:48,YEAR(G7)&amp;"-"&amp;MONTH(G7),49:49)</f>
        <v>0</v>
      </c>
      <c r="I7" s="709"/>
      <c r="J7" s="708">
        <f>SUMIF(48:48,YEAR(I7)&amp;"-"&amp;MONTH(I7),49:49)</f>
        <v>0</v>
      </c>
      <c r="K7" s="844"/>
      <c r="L7" s="845"/>
      <c r="M7" s="846"/>
      <c r="N7" s="846"/>
      <c r="O7" s="846"/>
      <c r="P7" s="3645" t="s">
        <v>885</v>
      </c>
      <c r="Q7" s="3657"/>
      <c r="R7" s="882" t="s">
        <v>886</v>
      </c>
      <c r="S7" s="883">
        <f t="shared" ref="S7:S14" si="0">F7</f>
        <v>0</v>
      </c>
      <c r="T7" s="882" t="s">
        <v>886</v>
      </c>
      <c r="U7" s="883">
        <f t="shared" ref="U7:U14" si="1">H7</f>
        <v>0</v>
      </c>
      <c r="V7" s="882" t="s">
        <v>886</v>
      </c>
      <c r="W7" s="883">
        <f t="shared" ref="W7:W14" si="2">J7</f>
        <v>0</v>
      </c>
      <c r="X7" s="884"/>
      <c r="Y7" s="3645" t="s">
        <v>885</v>
      </c>
      <c r="Z7" s="3646"/>
      <c r="AA7" s="895" t="e">
        <f>D7/F7</f>
        <v>#DIV/0!</v>
      </c>
      <c r="AB7" s="895" t="e">
        <f>D7/H7</f>
        <v>#DIV/0!</v>
      </c>
      <c r="AC7" s="895" t="e">
        <f>D7/J7</f>
        <v>#DIV/0!</v>
      </c>
    </row>
    <row r="8" spans="1:29" s="678" customFormat="1" ht="15">
      <c r="A8" s="705" t="s">
        <v>887</v>
      </c>
      <c r="B8" s="706"/>
      <c r="C8" s="712" t="s">
        <v>888</v>
      </c>
      <c r="D8" s="708">
        <v>100</v>
      </c>
      <c r="E8" s="712"/>
      <c r="F8" s="710">
        <f>SUMIF(51:51,E8,52:52)-SUMIF(51:51,C8,52:52)+100</f>
        <v>0</v>
      </c>
      <c r="G8" s="712"/>
      <c r="H8" s="708">
        <f>SUMIF(51:51,G8,52:52)-SUMIF(51:51,C8,52:52)+100</f>
        <v>0</v>
      </c>
      <c r="I8" s="712"/>
      <c r="J8" s="708">
        <f>SUMIF(51:51,I8,52:52)-SUMIF(51:51,C8,52:52)+100</f>
        <v>0</v>
      </c>
      <c r="K8" s="844"/>
      <c r="L8" s="845"/>
      <c r="M8" s="846"/>
      <c r="N8" s="846"/>
      <c r="O8" s="846"/>
      <c r="P8" s="3645" t="s">
        <v>890</v>
      </c>
      <c r="Q8" s="3646"/>
      <c r="R8" s="882" t="s">
        <v>886</v>
      </c>
      <c r="S8" s="883">
        <f t="shared" si="0"/>
        <v>0</v>
      </c>
      <c r="T8" s="882" t="s">
        <v>886</v>
      </c>
      <c r="U8" s="883">
        <f t="shared" si="1"/>
        <v>0</v>
      </c>
      <c r="V8" s="882" t="s">
        <v>886</v>
      </c>
      <c r="W8" s="883">
        <f t="shared" si="2"/>
        <v>0</v>
      </c>
      <c r="X8" s="884"/>
      <c r="Y8" s="3645" t="s">
        <v>890</v>
      </c>
      <c r="Z8" s="3646"/>
      <c r="AA8" s="895" t="e">
        <f t="shared" ref="AA8:AA36" si="3">D8/F8</f>
        <v>#DIV/0!</v>
      </c>
      <c r="AB8" s="895" t="e">
        <f t="shared" ref="AB8:AB36" si="4">D8/H8</f>
        <v>#DIV/0!</v>
      </c>
      <c r="AC8" s="895" t="e">
        <f t="shared" ref="AC8:AC36" si="5">D8/J8</f>
        <v>#DIV/0!</v>
      </c>
    </row>
    <row r="9" spans="1:29" s="678" customFormat="1">
      <c r="A9" s="1411" t="s">
        <v>891</v>
      </c>
      <c r="B9" s="1412" t="s">
        <v>892</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40" t="s">
        <v>893</v>
      </c>
      <c r="Q9" s="885" t="str">
        <f t="shared" ref="Q9:Q14" si="6">B9</f>
        <v>用途</v>
      </c>
      <c r="R9" s="882" t="s">
        <v>886</v>
      </c>
      <c r="S9" s="883">
        <f t="shared" si="0"/>
        <v>100</v>
      </c>
      <c r="T9" s="882" t="s">
        <v>886</v>
      </c>
      <c r="U9" s="883">
        <f t="shared" si="1"/>
        <v>100</v>
      </c>
      <c r="V9" s="882" t="s">
        <v>886</v>
      </c>
      <c r="W9" s="883">
        <f t="shared" si="2"/>
        <v>100</v>
      </c>
      <c r="X9" s="884"/>
      <c r="Y9" s="3652" t="s">
        <v>894</v>
      </c>
      <c r="Z9" s="896" t="str">
        <f t="shared" ref="Z9:Z14" si="7">Q9</f>
        <v>用途</v>
      </c>
      <c r="AA9" s="895">
        <f t="shared" si="3"/>
        <v>1</v>
      </c>
      <c r="AB9" s="895">
        <f t="shared" si="4"/>
        <v>1</v>
      </c>
      <c r="AC9" s="895">
        <f t="shared" si="5"/>
        <v>1</v>
      </c>
    </row>
    <row r="10" spans="1:29" s="679" customFormat="1" ht="27">
      <c r="A10" s="1414"/>
      <c r="B10" s="1415" t="s">
        <v>895</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40"/>
      <c r="Q10" s="885" t="str">
        <f t="shared" si="6"/>
        <v>土地使用年限（年）</v>
      </c>
      <c r="R10" s="882" t="s">
        <v>886</v>
      </c>
      <c r="S10" s="883">
        <f t="shared" si="0"/>
        <v>100</v>
      </c>
      <c r="T10" s="882" t="s">
        <v>886</v>
      </c>
      <c r="U10" s="883">
        <f t="shared" si="1"/>
        <v>100</v>
      </c>
      <c r="V10" s="882" t="s">
        <v>886</v>
      </c>
      <c r="W10" s="883">
        <f t="shared" si="2"/>
        <v>100</v>
      </c>
      <c r="X10" s="884"/>
      <c r="Y10" s="3652"/>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40"/>
      <c r="Q11" s="885">
        <f t="shared" si="6"/>
        <v>111</v>
      </c>
      <c r="R11" s="882" t="s">
        <v>886</v>
      </c>
      <c r="S11" s="883">
        <f t="shared" si="0"/>
        <v>100</v>
      </c>
      <c r="T11" s="882" t="s">
        <v>886</v>
      </c>
      <c r="U11" s="883">
        <f t="shared" si="1"/>
        <v>100</v>
      </c>
      <c r="V11" s="882" t="s">
        <v>886</v>
      </c>
      <c r="W11" s="883">
        <f t="shared" si="2"/>
        <v>100</v>
      </c>
      <c r="X11" s="884"/>
      <c r="Y11" s="3652"/>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40"/>
      <c r="Q12" s="885">
        <f t="shared" si="6"/>
        <v>111</v>
      </c>
      <c r="R12" s="882" t="s">
        <v>886</v>
      </c>
      <c r="S12" s="883">
        <f t="shared" si="0"/>
        <v>100</v>
      </c>
      <c r="T12" s="882" t="s">
        <v>886</v>
      </c>
      <c r="U12" s="883">
        <f t="shared" si="1"/>
        <v>100</v>
      </c>
      <c r="V12" s="882" t="s">
        <v>886</v>
      </c>
      <c r="W12" s="883">
        <f t="shared" si="2"/>
        <v>100</v>
      </c>
      <c r="X12" s="884"/>
      <c r="Y12" s="3652"/>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40"/>
      <c r="Q13" s="885">
        <f t="shared" si="6"/>
        <v>111</v>
      </c>
      <c r="R13" s="882" t="s">
        <v>886</v>
      </c>
      <c r="S13" s="883">
        <f t="shared" si="0"/>
        <v>100</v>
      </c>
      <c r="T13" s="882" t="s">
        <v>886</v>
      </c>
      <c r="U13" s="883">
        <f t="shared" si="1"/>
        <v>100</v>
      </c>
      <c r="V13" s="882" t="s">
        <v>886</v>
      </c>
      <c r="W13" s="883">
        <f t="shared" si="2"/>
        <v>100</v>
      </c>
      <c r="X13" s="884"/>
      <c r="Y13" s="3652"/>
      <c r="Z13" s="896">
        <f t="shared" si="7"/>
        <v>111</v>
      </c>
      <c r="AA13" s="895">
        <f t="shared" si="3"/>
        <v>1</v>
      </c>
      <c r="AB13" s="895">
        <f t="shared" si="4"/>
        <v>1</v>
      </c>
      <c r="AC13" s="895">
        <f t="shared" si="5"/>
        <v>1</v>
      </c>
    </row>
    <row r="14" spans="1:29" ht="85.5">
      <c r="A14" s="699" t="s">
        <v>897</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47" t="s">
        <v>898</v>
      </c>
      <c r="Q14" s="848" t="str">
        <f t="shared" si="6"/>
        <v>交通便捷度</v>
      </c>
      <c r="R14" s="886" t="s">
        <v>886</v>
      </c>
      <c r="S14" s="887">
        <f t="shared" si="0"/>
        <v>100</v>
      </c>
      <c r="T14" s="886" t="s">
        <v>886</v>
      </c>
      <c r="U14" s="887">
        <f t="shared" si="1"/>
        <v>100</v>
      </c>
      <c r="V14" s="886" t="s">
        <v>886</v>
      </c>
      <c r="W14" s="887">
        <f t="shared" si="2"/>
        <v>100</v>
      </c>
      <c r="X14" s="881"/>
      <c r="Y14" s="3647" t="s">
        <v>898</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48"/>
      <c r="Q15" s="848"/>
      <c r="R15" s="886"/>
      <c r="S15" s="887"/>
      <c r="T15" s="886"/>
      <c r="U15" s="887"/>
      <c r="V15" s="886"/>
      <c r="W15" s="887"/>
      <c r="X15" s="881"/>
      <c r="Y15" s="3648"/>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48"/>
      <c r="Q16" s="848" t="str">
        <f>B16</f>
        <v>公共配套设施</v>
      </c>
      <c r="R16" s="886" t="s">
        <v>886</v>
      </c>
      <c r="S16" s="887">
        <f>F16</f>
        <v>100</v>
      </c>
      <c r="T16" s="886" t="s">
        <v>886</v>
      </c>
      <c r="U16" s="887">
        <f>H16</f>
        <v>100</v>
      </c>
      <c r="V16" s="886" t="s">
        <v>886</v>
      </c>
      <c r="W16" s="887">
        <f>J16</f>
        <v>100</v>
      </c>
      <c r="X16" s="881"/>
      <c r="Y16" s="3648"/>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48"/>
      <c r="Q17" s="848"/>
      <c r="R17" s="886"/>
      <c r="S17" s="887"/>
      <c r="T17" s="886"/>
      <c r="U17" s="887"/>
      <c r="V17" s="886"/>
      <c r="W17" s="887"/>
      <c r="X17" s="881"/>
      <c r="Y17" s="3648"/>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48"/>
      <c r="Q18" s="848" t="str">
        <f>B18</f>
        <v>基础设施水平</v>
      </c>
      <c r="R18" s="886" t="s">
        <v>886</v>
      </c>
      <c r="S18" s="887">
        <f>F18</f>
        <v>100</v>
      </c>
      <c r="T18" s="886" t="s">
        <v>886</v>
      </c>
      <c r="U18" s="887">
        <f>H18</f>
        <v>100</v>
      </c>
      <c r="V18" s="886" t="s">
        <v>886</v>
      </c>
      <c r="W18" s="887">
        <f>J18</f>
        <v>100</v>
      </c>
      <c r="X18" s="881"/>
      <c r="Y18" s="3648"/>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48"/>
      <c r="Q19" s="848"/>
      <c r="R19" s="886"/>
      <c r="S19" s="887"/>
      <c r="T19" s="886"/>
      <c r="U19" s="887"/>
      <c r="V19" s="886"/>
      <c r="W19" s="887"/>
      <c r="X19" s="881"/>
      <c r="Y19" s="3648"/>
      <c r="Z19" s="810"/>
      <c r="AA19" s="897">
        <v>1</v>
      </c>
      <c r="AB19" s="897">
        <v>1</v>
      </c>
      <c r="AC19" s="897">
        <v>1</v>
      </c>
    </row>
    <row r="20" spans="1:29" ht="57">
      <c r="A20" s="701"/>
      <c r="B20" s="745" t="s">
        <v>902</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48"/>
      <c r="Q20" s="848" t="str">
        <f>B20</f>
        <v>自然及人文环境</v>
      </c>
      <c r="R20" s="886" t="s">
        <v>886</v>
      </c>
      <c r="S20" s="887">
        <f>F20</f>
        <v>100</v>
      </c>
      <c r="T20" s="886" t="s">
        <v>886</v>
      </c>
      <c r="U20" s="887">
        <f>H20</f>
        <v>100</v>
      </c>
      <c r="V20" s="886" t="s">
        <v>886</v>
      </c>
      <c r="W20" s="887">
        <f>J20</f>
        <v>100</v>
      </c>
      <c r="X20" s="881"/>
      <c r="Y20" s="3648"/>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48"/>
      <c r="Q21" s="848"/>
      <c r="R21" s="886"/>
      <c r="S21" s="887"/>
      <c r="T21" s="886"/>
      <c r="U21" s="887"/>
      <c r="V21" s="886"/>
      <c r="W21" s="887"/>
      <c r="X21" s="881"/>
      <c r="Y21" s="3648"/>
      <c r="Z21" s="810"/>
      <c r="AA21" s="897">
        <v>1</v>
      </c>
      <c r="AB21" s="897">
        <v>1</v>
      </c>
      <c r="AC21" s="897">
        <v>1</v>
      </c>
    </row>
    <row r="22" spans="1:29" ht="15">
      <c r="A22" s="701"/>
      <c r="B22" s="745" t="s">
        <v>1498</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48"/>
      <c r="Q22" s="848" t="str">
        <f>B22</f>
        <v>楼层</v>
      </c>
      <c r="R22" s="886" t="s">
        <v>886</v>
      </c>
      <c r="S22" s="887">
        <f>F22</f>
        <v>100</v>
      </c>
      <c r="T22" s="886" t="s">
        <v>886</v>
      </c>
      <c r="U22" s="887">
        <f>H22</f>
        <v>100</v>
      </c>
      <c r="V22" s="886" t="s">
        <v>886</v>
      </c>
      <c r="W22" s="887">
        <f>J22</f>
        <v>100</v>
      </c>
      <c r="X22" s="881"/>
      <c r="Y22" s="3648"/>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48"/>
      <c r="Q23" s="848">
        <f>B23</f>
        <v>111</v>
      </c>
      <c r="R23" s="886" t="s">
        <v>886</v>
      </c>
      <c r="S23" s="887">
        <f>F23</f>
        <v>100</v>
      </c>
      <c r="T23" s="886" t="s">
        <v>886</v>
      </c>
      <c r="U23" s="887">
        <f>H23</f>
        <v>100</v>
      </c>
      <c r="V23" s="886" t="s">
        <v>886</v>
      </c>
      <c r="W23" s="887">
        <f>J23</f>
        <v>100</v>
      </c>
      <c r="X23" s="881"/>
      <c r="Y23" s="3648"/>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48"/>
      <c r="Q24" s="848">
        <f t="shared" ref="Q24:Q36" si="11">B24</f>
        <v>111</v>
      </c>
      <c r="R24" s="886" t="s">
        <v>886</v>
      </c>
      <c r="S24" s="887">
        <f>F24</f>
        <v>100</v>
      </c>
      <c r="T24" s="886" t="s">
        <v>886</v>
      </c>
      <c r="U24" s="887">
        <f>H24</f>
        <v>100</v>
      </c>
      <c r="V24" s="886" t="s">
        <v>886</v>
      </c>
      <c r="W24" s="887">
        <f>J24</f>
        <v>100</v>
      </c>
      <c r="X24" s="881"/>
      <c r="Y24" s="3648"/>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48"/>
      <c r="Q25" s="885">
        <f t="shared" si="11"/>
        <v>111</v>
      </c>
      <c r="R25" s="882" t="s">
        <v>886</v>
      </c>
      <c r="S25" s="883">
        <f>F25</f>
        <v>100</v>
      </c>
      <c r="T25" s="882" t="s">
        <v>886</v>
      </c>
      <c r="U25" s="883">
        <f>H25</f>
        <v>100</v>
      </c>
      <c r="V25" s="882" t="s">
        <v>886</v>
      </c>
      <c r="W25" s="883">
        <f>J25</f>
        <v>100</v>
      </c>
      <c r="X25" s="884"/>
      <c r="Y25" s="3648"/>
      <c r="Z25" s="896">
        <f>Q25</f>
        <v>111</v>
      </c>
      <c r="AA25" s="897">
        <f t="shared" si="3"/>
        <v>1</v>
      </c>
      <c r="AB25" s="897">
        <f t="shared" si="4"/>
        <v>1</v>
      </c>
      <c r="AC25" s="897">
        <f t="shared" si="5"/>
        <v>1</v>
      </c>
    </row>
    <row r="26" spans="1:29" ht="28.5">
      <c r="A26" s="1441" t="s">
        <v>911</v>
      </c>
      <c r="B26" s="1442" t="s">
        <v>1517</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49" t="s">
        <v>914</v>
      </c>
      <c r="Q26" s="848" t="str">
        <f t="shared" si="11"/>
        <v>配套类型</v>
      </c>
      <c r="R26" s="886" t="s">
        <v>886</v>
      </c>
      <c r="S26" s="887">
        <f t="shared" ref="S26:S36" si="12">F26</f>
        <v>100</v>
      </c>
      <c r="T26" s="886" t="s">
        <v>886</v>
      </c>
      <c r="U26" s="887">
        <f t="shared" ref="U26:U36" si="13">H26</f>
        <v>100</v>
      </c>
      <c r="V26" s="886" t="s">
        <v>886</v>
      </c>
      <c r="W26" s="887">
        <f t="shared" ref="W26:W36" si="14">J26</f>
        <v>100</v>
      </c>
      <c r="X26" s="881"/>
      <c r="Y26" s="3650" t="s">
        <v>914</v>
      </c>
      <c r="Z26" s="810" t="str">
        <f t="shared" ref="Z26:Z36" si="15">Q26</f>
        <v>配套类型</v>
      </c>
      <c r="AA26" s="897">
        <f t="shared" si="3"/>
        <v>1</v>
      </c>
      <c r="AB26" s="897">
        <f t="shared" si="4"/>
        <v>1</v>
      </c>
      <c r="AC26" s="897">
        <f t="shared" si="5"/>
        <v>1</v>
      </c>
    </row>
    <row r="27" spans="1:29" s="680" customFormat="1" ht="15">
      <c r="A27" s="1444"/>
      <c r="B27" s="758" t="s">
        <v>1518</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50"/>
      <c r="Q27" s="1397" t="str">
        <f t="shared" si="11"/>
        <v>项目停车位配比</v>
      </c>
      <c r="R27" s="888" t="s">
        <v>886</v>
      </c>
      <c r="S27" s="889">
        <f t="shared" si="12"/>
        <v>100</v>
      </c>
      <c r="T27" s="888" t="s">
        <v>886</v>
      </c>
      <c r="U27" s="889">
        <f t="shared" si="13"/>
        <v>100</v>
      </c>
      <c r="V27" s="888" t="s">
        <v>886</v>
      </c>
      <c r="W27" s="889">
        <f t="shared" si="14"/>
        <v>100</v>
      </c>
      <c r="X27" s="890"/>
      <c r="Y27" s="3650"/>
      <c r="Z27" s="898" t="str">
        <f t="shared" si="15"/>
        <v>项目停车位配比</v>
      </c>
      <c r="AA27" s="897">
        <f t="shared" si="3"/>
        <v>1</v>
      </c>
      <c r="AB27" s="897">
        <f t="shared" si="4"/>
        <v>1</v>
      </c>
      <c r="AC27" s="897">
        <f t="shared" si="5"/>
        <v>1</v>
      </c>
    </row>
    <row r="28" spans="1:29" ht="15">
      <c r="A28" s="1446"/>
      <c r="B28" s="758" t="s">
        <v>919</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50"/>
      <c r="Q28" s="848" t="str">
        <f t="shared" si="11"/>
        <v>公共部分装修</v>
      </c>
      <c r="R28" s="886" t="s">
        <v>886</v>
      </c>
      <c r="S28" s="887">
        <f t="shared" si="12"/>
        <v>100</v>
      </c>
      <c r="T28" s="886" t="s">
        <v>886</v>
      </c>
      <c r="U28" s="887">
        <f t="shared" si="13"/>
        <v>100</v>
      </c>
      <c r="V28" s="886" t="s">
        <v>886</v>
      </c>
      <c r="W28" s="887">
        <f t="shared" si="14"/>
        <v>100</v>
      </c>
      <c r="X28" s="881"/>
      <c r="Y28" s="3650"/>
      <c r="Z28" s="810" t="str">
        <f t="shared" si="15"/>
        <v>公共部分装修</v>
      </c>
      <c r="AA28" s="897">
        <f t="shared" si="3"/>
        <v>1</v>
      </c>
      <c r="AB28" s="897">
        <f t="shared" si="4"/>
        <v>1</v>
      </c>
      <c r="AC28" s="897">
        <f t="shared" si="5"/>
        <v>1</v>
      </c>
    </row>
    <row r="29" spans="1:29" ht="15">
      <c r="A29" s="1446"/>
      <c r="B29" s="758" t="s">
        <v>1519</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50"/>
      <c r="Q29" s="848" t="str">
        <f t="shared" si="11"/>
        <v>成新率</v>
      </c>
      <c r="R29" s="886" t="s">
        <v>886</v>
      </c>
      <c r="S29" s="887" t="e">
        <f t="shared" si="12"/>
        <v>#N/A</v>
      </c>
      <c r="T29" s="886" t="s">
        <v>886</v>
      </c>
      <c r="U29" s="887" t="e">
        <f t="shared" si="13"/>
        <v>#N/A</v>
      </c>
      <c r="V29" s="886" t="s">
        <v>886</v>
      </c>
      <c r="W29" s="887" t="e">
        <f t="shared" si="14"/>
        <v>#N/A</v>
      </c>
      <c r="X29" s="881"/>
      <c r="Y29" s="3650"/>
      <c r="Z29" s="810" t="str">
        <f t="shared" si="15"/>
        <v>成新率</v>
      </c>
      <c r="AA29" s="897" t="e">
        <f t="shared" si="3"/>
        <v>#N/A</v>
      </c>
      <c r="AB29" s="897" t="e">
        <f t="shared" si="4"/>
        <v>#N/A</v>
      </c>
      <c r="AC29" s="897" t="e">
        <f t="shared" si="5"/>
        <v>#N/A</v>
      </c>
    </row>
    <row r="30" spans="1:29" ht="15">
      <c r="A30" s="1446"/>
      <c r="B30" s="758" t="s">
        <v>1520</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50"/>
      <c r="Q30" s="848" t="str">
        <f t="shared" si="11"/>
        <v>物业等级</v>
      </c>
      <c r="R30" s="886" t="s">
        <v>886</v>
      </c>
      <c r="S30" s="887">
        <f t="shared" si="12"/>
        <v>100</v>
      </c>
      <c r="T30" s="886" t="s">
        <v>886</v>
      </c>
      <c r="U30" s="887">
        <f t="shared" si="13"/>
        <v>100</v>
      </c>
      <c r="V30" s="886" t="s">
        <v>886</v>
      </c>
      <c r="W30" s="887">
        <f t="shared" si="14"/>
        <v>100</v>
      </c>
      <c r="X30" s="881"/>
      <c r="Y30" s="3650"/>
      <c r="Z30" s="810" t="str">
        <f t="shared" si="15"/>
        <v>物业等级</v>
      </c>
      <c r="AA30" s="897">
        <f t="shared" si="3"/>
        <v>1</v>
      </c>
      <c r="AB30" s="897">
        <f t="shared" si="4"/>
        <v>1</v>
      </c>
      <c r="AC30" s="897">
        <f t="shared" si="5"/>
        <v>1</v>
      </c>
    </row>
    <row r="31" spans="1:29" s="678" customFormat="1" ht="15">
      <c r="A31" s="1447"/>
      <c r="B31" s="758" t="s">
        <v>1521</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50"/>
      <c r="Q31" s="885" t="str">
        <f t="shared" si="11"/>
        <v>停车位面积</v>
      </c>
      <c r="R31" s="882" t="s">
        <v>886</v>
      </c>
      <c r="S31" s="883" t="e">
        <f t="shared" si="12"/>
        <v>#N/A</v>
      </c>
      <c r="T31" s="882" t="s">
        <v>886</v>
      </c>
      <c r="U31" s="883" t="e">
        <f t="shared" si="13"/>
        <v>#N/A</v>
      </c>
      <c r="V31" s="882" t="s">
        <v>886</v>
      </c>
      <c r="W31" s="883" t="e">
        <f t="shared" si="14"/>
        <v>#N/A</v>
      </c>
      <c r="X31" s="884"/>
      <c r="Y31" s="3650"/>
      <c r="Z31" s="896" t="str">
        <f t="shared" si="15"/>
        <v>停车位面积</v>
      </c>
      <c r="AA31" s="895" t="e">
        <f t="shared" si="3"/>
        <v>#N/A</v>
      </c>
      <c r="AB31" s="895" t="e">
        <f t="shared" si="4"/>
        <v>#N/A</v>
      </c>
      <c r="AC31" s="895" t="e">
        <f t="shared" si="5"/>
        <v>#N/A</v>
      </c>
    </row>
    <row r="32" spans="1:29" ht="15">
      <c r="A32" s="1446"/>
      <c r="B32" s="758" t="s">
        <v>1522</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50" t="s">
        <v>914</v>
      </c>
      <c r="Q32" s="848" t="str">
        <f t="shared" si="11"/>
        <v>车位类型</v>
      </c>
      <c r="R32" s="886" t="s">
        <v>886</v>
      </c>
      <c r="S32" s="887">
        <f t="shared" si="12"/>
        <v>100</v>
      </c>
      <c r="T32" s="886" t="s">
        <v>886</v>
      </c>
      <c r="U32" s="887">
        <f t="shared" si="13"/>
        <v>100</v>
      </c>
      <c r="V32" s="886" t="s">
        <v>886</v>
      </c>
      <c r="W32" s="887">
        <f t="shared" si="14"/>
        <v>100</v>
      </c>
      <c r="X32" s="881"/>
      <c r="Y32" s="3650" t="s">
        <v>914</v>
      </c>
      <c r="Z32" s="810" t="str">
        <f t="shared" si="15"/>
        <v>车位类型</v>
      </c>
      <c r="AA32" s="897">
        <f t="shared" si="3"/>
        <v>1</v>
      </c>
      <c r="AB32" s="897">
        <f t="shared" si="4"/>
        <v>1</v>
      </c>
      <c r="AC32" s="897">
        <f t="shared" si="5"/>
        <v>1</v>
      </c>
    </row>
    <row r="33" spans="1:29" ht="15">
      <c r="A33" s="1446"/>
      <c r="B33" s="758" t="s">
        <v>1523</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50"/>
      <c r="Q33" s="848" t="str">
        <f t="shared" si="11"/>
        <v>是否直接入户</v>
      </c>
      <c r="R33" s="886" t="s">
        <v>886</v>
      </c>
      <c r="S33" s="887">
        <f t="shared" si="12"/>
        <v>100</v>
      </c>
      <c r="T33" s="886" t="s">
        <v>886</v>
      </c>
      <c r="U33" s="887">
        <f t="shared" si="13"/>
        <v>100</v>
      </c>
      <c r="V33" s="886" t="s">
        <v>886</v>
      </c>
      <c r="W33" s="887">
        <f t="shared" si="14"/>
        <v>100</v>
      </c>
      <c r="X33" s="881"/>
      <c r="Y33" s="3650"/>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50"/>
      <c r="Q34" s="848">
        <f t="shared" si="11"/>
        <v>111</v>
      </c>
      <c r="R34" s="886" t="s">
        <v>886</v>
      </c>
      <c r="S34" s="887">
        <f t="shared" si="12"/>
        <v>100</v>
      </c>
      <c r="T34" s="886" t="s">
        <v>886</v>
      </c>
      <c r="U34" s="887">
        <f t="shared" si="13"/>
        <v>100</v>
      </c>
      <c r="V34" s="886" t="s">
        <v>886</v>
      </c>
      <c r="W34" s="887">
        <f t="shared" si="14"/>
        <v>100</v>
      </c>
      <c r="X34" s="881"/>
      <c r="Y34" s="3650"/>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50"/>
      <c r="Q35" s="1397">
        <f t="shared" si="11"/>
        <v>111</v>
      </c>
      <c r="R35" s="888" t="s">
        <v>886</v>
      </c>
      <c r="S35" s="889">
        <f t="shared" si="12"/>
        <v>100</v>
      </c>
      <c r="T35" s="888" t="s">
        <v>886</v>
      </c>
      <c r="U35" s="889">
        <f t="shared" si="13"/>
        <v>100</v>
      </c>
      <c r="V35" s="888" t="s">
        <v>886</v>
      </c>
      <c r="W35" s="889">
        <f t="shared" si="14"/>
        <v>100</v>
      </c>
      <c r="X35" s="890"/>
      <c r="Y35" s="3650"/>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50"/>
      <c r="Q36" s="848">
        <f t="shared" si="11"/>
        <v>111</v>
      </c>
      <c r="R36" s="886" t="s">
        <v>886</v>
      </c>
      <c r="S36" s="887">
        <f t="shared" si="12"/>
        <v>100</v>
      </c>
      <c r="T36" s="886" t="s">
        <v>886</v>
      </c>
      <c r="U36" s="887">
        <f t="shared" si="13"/>
        <v>100</v>
      </c>
      <c r="V36" s="886" t="s">
        <v>886</v>
      </c>
      <c r="W36" s="887">
        <f t="shared" si="14"/>
        <v>100</v>
      </c>
      <c r="X36" s="881"/>
      <c r="Y36" s="3650"/>
      <c r="Z36" s="810">
        <f t="shared" si="15"/>
        <v>111</v>
      </c>
      <c r="AA36" s="897">
        <f t="shared" si="3"/>
        <v>1</v>
      </c>
      <c r="AB36" s="897">
        <f t="shared" si="4"/>
        <v>1</v>
      </c>
      <c r="AC36" s="897">
        <f t="shared" si="5"/>
        <v>1</v>
      </c>
    </row>
    <row r="37" spans="1:29" ht="15">
      <c r="A37" s="779" t="s">
        <v>1524</v>
      </c>
      <c r="B37" s="1449" t="s">
        <v>1525</v>
      </c>
      <c r="C37" s="1368" t="s">
        <v>121</v>
      </c>
      <c r="D37" s="1369"/>
      <c r="E37" s="1370"/>
      <c r="F37" s="1371"/>
      <c r="G37" s="1372"/>
      <c r="H37" s="1373"/>
      <c r="I37" s="1370"/>
      <c r="J37" s="1373"/>
      <c r="K37" s="1453"/>
      <c r="L37" s="868"/>
      <c r="N37" s="843"/>
      <c r="P37" s="3640" t="str">
        <f>A37</f>
        <v>成交单价</v>
      </c>
      <c r="Q37" s="3640"/>
      <c r="R37" s="3641">
        <f>E37</f>
        <v>0</v>
      </c>
      <c r="S37" s="3641"/>
      <c r="T37" s="3641">
        <f>G37</f>
        <v>0</v>
      </c>
      <c r="U37" s="3641"/>
      <c r="V37" s="3641">
        <f>I37</f>
        <v>0</v>
      </c>
      <c r="W37" s="3641"/>
      <c r="X37" s="831"/>
      <c r="Y37" s="899"/>
      <c r="Z37" s="831"/>
      <c r="AA37" s="831"/>
      <c r="AB37" s="831"/>
      <c r="AC37" s="831"/>
    </row>
    <row r="38" spans="1:29" ht="15">
      <c r="A38" s="787" t="s">
        <v>1526</v>
      </c>
      <c r="B38" s="1374" t="str">
        <f>B37</f>
        <v>元/平方米</v>
      </c>
      <c r="C38" s="1375" t="e">
        <f>R39</f>
        <v>#DIV/0!</v>
      </c>
      <c r="D38" s="790" t="s">
        <v>931</v>
      </c>
      <c r="E38" s="1376" t="e">
        <f>R38</f>
        <v>#DIV/0!</v>
      </c>
      <c r="F38" s="791"/>
      <c r="G38" s="1375" t="e">
        <f>T38</f>
        <v>#DIV/0!</v>
      </c>
      <c r="H38" s="791"/>
      <c r="I38" s="1376" t="e">
        <f>V38</f>
        <v>#DIV/0!</v>
      </c>
      <c r="J38" s="791"/>
      <c r="K38" s="869">
        <f>F38+H38+J38</f>
        <v>0</v>
      </c>
      <c r="L38" s="868"/>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831"/>
      <c r="Y38" s="831"/>
      <c r="Z38" s="831"/>
      <c r="AA38" s="831"/>
      <c r="AB38" s="831"/>
      <c r="AC38" s="831"/>
    </row>
    <row r="39" spans="1:29" ht="15">
      <c r="A39" s="793" t="s">
        <v>932</v>
      </c>
      <c r="B39" s="794"/>
      <c r="C39" s="1377" t="e">
        <f>R39</f>
        <v>#DIV/0!</v>
      </c>
      <c r="D39" s="1377"/>
      <c r="E39" s="1377"/>
      <c r="F39" s="1377"/>
      <c r="G39" s="1377"/>
      <c r="H39" s="1377"/>
      <c r="I39" s="1377"/>
      <c r="J39" s="1377"/>
      <c r="K39" s="1454"/>
      <c r="L39" s="868"/>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933</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934</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935</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936</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884</v>
      </c>
      <c r="B48" s="1379"/>
      <c r="C48" s="1380" t="str">
        <f>YEAR(C7)&amp;"-"&amp;MONTH(C7)</f>
        <v>2022-11</v>
      </c>
      <c r="D48" s="1381">
        <f>EDATE(C48,-1)</f>
        <v>44835</v>
      </c>
      <c r="E48" s="1381">
        <f t="shared" ref="E48:O48" si="16">EDATE(D48,-1)</f>
        <v>44805</v>
      </c>
      <c r="F48" s="1381">
        <f t="shared" si="16"/>
        <v>44774</v>
      </c>
      <c r="G48" s="1381">
        <f t="shared" si="16"/>
        <v>44743</v>
      </c>
      <c r="H48" s="1381">
        <f t="shared" si="16"/>
        <v>44713</v>
      </c>
      <c r="I48" s="1381">
        <f t="shared" si="16"/>
        <v>44682</v>
      </c>
      <c r="J48" s="1381">
        <f t="shared" si="16"/>
        <v>44652</v>
      </c>
      <c r="K48" s="1381">
        <f t="shared" si="16"/>
        <v>44621</v>
      </c>
      <c r="L48" s="1381">
        <f t="shared" si="16"/>
        <v>44593</v>
      </c>
      <c r="M48" s="1381">
        <f t="shared" si="16"/>
        <v>44562</v>
      </c>
      <c r="N48" s="1381">
        <f t="shared" si="16"/>
        <v>44531</v>
      </c>
      <c r="O48" s="1381">
        <f t="shared" si="16"/>
        <v>44501</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937</v>
      </c>
      <c r="B50" s="907"/>
      <c r="C50" s="908"/>
      <c r="D50" s="909"/>
      <c r="E50" s="909"/>
      <c r="F50" s="909"/>
      <c r="G50" s="909"/>
      <c r="H50" s="909"/>
      <c r="I50" s="909"/>
      <c r="J50" s="909"/>
      <c r="K50" s="909"/>
      <c r="L50" s="909"/>
      <c r="M50" s="958"/>
      <c r="N50" s="909"/>
      <c r="O50" s="1396"/>
      <c r="P50" s="891"/>
      <c r="Q50" s="891"/>
    </row>
    <row r="51" spans="1:17" s="678" customFormat="1" ht="15">
      <c r="A51" s="910" t="s">
        <v>887</v>
      </c>
      <c r="B51" s="911"/>
      <c r="C51" s="912" t="s">
        <v>888</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938</v>
      </c>
      <c r="B53" s="917" t="s">
        <v>892</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895</v>
      </c>
      <c r="C55" s="922" t="s">
        <v>939</v>
      </c>
      <c r="D55" s="922" t="s">
        <v>940</v>
      </c>
      <c r="E55" s="922" t="s">
        <v>941</v>
      </c>
      <c r="F55" s="922" t="s">
        <v>942</v>
      </c>
      <c r="G55" s="922" t="s">
        <v>943</v>
      </c>
      <c r="H55" s="922" t="s">
        <v>944</v>
      </c>
      <c r="I55" s="922" t="s">
        <v>945</v>
      </c>
      <c r="J55" s="922"/>
      <c r="K55" s="972"/>
      <c r="L55" s="973"/>
      <c r="M55" s="974"/>
      <c r="N55" s="968"/>
      <c r="O55" s="968"/>
      <c r="P55" s="969"/>
      <c r="Q55" s="891"/>
    </row>
    <row r="56" spans="1:17" ht="15">
      <c r="A56" s="918"/>
      <c r="B56" s="923"/>
      <c r="C56" s="924" t="s">
        <v>1505</v>
      </c>
      <c r="D56" s="924" t="s">
        <v>1505</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897</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946</v>
      </c>
      <c r="D67" s="922" t="s">
        <v>947</v>
      </c>
      <c r="E67" s="922" t="s">
        <v>948</v>
      </c>
      <c r="F67" s="922" t="s">
        <v>949</v>
      </c>
      <c r="G67" s="922" t="s">
        <v>950</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902</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1498</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911</v>
      </c>
      <c r="B79" s="917" t="s">
        <v>1527</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1518</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919</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1519</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1520</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1521</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1522</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1523</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1515</v>
      </c>
      <c r="B1" s="1323"/>
      <c r="C1" s="1324"/>
      <c r="D1" s="1325"/>
      <c r="E1" s="1326" t="s">
        <v>868</v>
      </c>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 ca="1">ROUND(IF(D2="——",C37,IF(C2="万元",B2*10000/D3,B2/D3)),0)</f>
        <v>#DIV/0!</v>
      </c>
      <c r="C3" s="1335" t="s">
        <v>872</v>
      </c>
      <c r="D3" s="1336">
        <f>IF(C1="仅计算典型户型",'数据-取费表'!E5,'数据-取费表'!B5)</f>
        <v>59.11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58" t="s">
        <v>874</v>
      </c>
      <c r="D4" s="3659"/>
      <c r="E4" s="3660" t="s">
        <v>875</v>
      </c>
      <c r="F4" s="3661"/>
      <c r="G4" s="3658" t="s">
        <v>876</v>
      </c>
      <c r="H4" s="3659"/>
      <c r="I4" s="3658" t="s">
        <v>877</v>
      </c>
      <c r="J4" s="3659"/>
      <c r="K4" s="841" t="s">
        <v>878</v>
      </c>
      <c r="L4" s="842"/>
      <c r="M4" s="843"/>
      <c r="N4" s="843"/>
      <c r="O4" s="843"/>
      <c r="P4" s="3627" t="s">
        <v>879</v>
      </c>
      <c r="Q4" s="3628"/>
      <c r="R4" s="3633" t="s">
        <v>875</v>
      </c>
      <c r="S4" s="3634"/>
      <c r="T4" s="3633" t="s">
        <v>876</v>
      </c>
      <c r="U4" s="3634"/>
      <c r="V4" s="3639" t="s">
        <v>877</v>
      </c>
      <c r="W4" s="3639"/>
      <c r="X4" s="881"/>
      <c r="Y4" s="3633" t="s">
        <v>879</v>
      </c>
      <c r="Z4" s="3634"/>
      <c r="AA4" s="3624" t="s">
        <v>875</v>
      </c>
      <c r="AB4" s="3625" t="s">
        <v>876</v>
      </c>
      <c r="AC4" s="3624" t="s">
        <v>877</v>
      </c>
    </row>
    <row r="5" spans="1:29" ht="15">
      <c r="A5" s="701"/>
      <c r="B5" s="702"/>
      <c r="C5" s="3662" t="s">
        <v>880</v>
      </c>
      <c r="D5" s="3663"/>
      <c r="E5" s="3664" t="s">
        <v>1493</v>
      </c>
      <c r="F5" s="3665"/>
      <c r="G5" s="3662" t="s">
        <v>1494</v>
      </c>
      <c r="H5" s="3663"/>
      <c r="I5" s="3662" t="s">
        <v>1495</v>
      </c>
      <c r="J5" s="3663"/>
      <c r="K5" s="841"/>
      <c r="L5" s="842"/>
      <c r="M5" s="843"/>
      <c r="N5" s="843"/>
      <c r="O5" s="843"/>
      <c r="P5" s="3629"/>
      <c r="Q5" s="3630"/>
      <c r="R5" s="3635"/>
      <c r="S5" s="3636"/>
      <c r="T5" s="3635"/>
      <c r="U5" s="3636"/>
      <c r="V5" s="3639"/>
      <c r="W5" s="3639"/>
      <c r="X5" s="881"/>
      <c r="Y5" s="3635"/>
      <c r="Z5" s="3636"/>
      <c r="AA5" s="3625"/>
      <c r="AB5" s="3625"/>
      <c r="AC5" s="3625"/>
    </row>
    <row r="6" spans="1:29" ht="15">
      <c r="A6" s="703"/>
      <c r="B6" s="704"/>
      <c r="C6" s="3653" t="s">
        <v>882</v>
      </c>
      <c r="D6" s="3654"/>
      <c r="E6" s="3655" t="s">
        <v>882</v>
      </c>
      <c r="F6" s="3656"/>
      <c r="G6" s="3653" t="s">
        <v>882</v>
      </c>
      <c r="H6" s="3654"/>
      <c r="I6" s="3653" t="s">
        <v>882</v>
      </c>
      <c r="J6" s="3654"/>
      <c r="K6" s="841" t="s">
        <v>883</v>
      </c>
      <c r="L6" s="842"/>
      <c r="M6" s="843"/>
      <c r="N6" s="843"/>
      <c r="O6" s="843"/>
      <c r="P6" s="3631"/>
      <c r="Q6" s="3632"/>
      <c r="R6" s="3635"/>
      <c r="S6" s="3636"/>
      <c r="T6" s="3637"/>
      <c r="U6" s="3638"/>
      <c r="V6" s="3639"/>
      <c r="W6" s="3639"/>
      <c r="X6" s="881"/>
      <c r="Y6" s="3637"/>
      <c r="Z6" s="3638"/>
      <c r="AA6" s="3626"/>
      <c r="AB6" s="3626"/>
      <c r="AC6" s="3626"/>
    </row>
    <row r="7" spans="1:29" s="678" customFormat="1" ht="15">
      <c r="A7" s="705" t="s">
        <v>884</v>
      </c>
      <c r="B7" s="706"/>
      <c r="C7" s="707">
        <f>'数据-取费表'!B2</f>
        <v>44873</v>
      </c>
      <c r="D7" s="708">
        <v>100</v>
      </c>
      <c r="E7" s="711"/>
      <c r="F7" s="708">
        <f>SUMIF(46:46,YEAR(E7)&amp;"-"&amp;MONTH(E7),47:47)</f>
        <v>0</v>
      </c>
      <c r="G7" s="709"/>
      <c r="H7" s="708">
        <f>SUMIF(46:46,YEAR(G7)&amp;"-"&amp;MONTH(G7),47:47)</f>
        <v>0</v>
      </c>
      <c r="I7" s="709"/>
      <c r="J7" s="708">
        <f>SUMIF(46:46,YEAR(I7)&amp;"-"&amp;MONTH(I7),47:47)</f>
        <v>0</v>
      </c>
      <c r="K7" s="844"/>
      <c r="L7" s="845"/>
      <c r="M7" s="846"/>
      <c r="N7" s="846"/>
      <c r="O7" s="846"/>
      <c r="P7" s="3645" t="s">
        <v>885</v>
      </c>
      <c r="Q7" s="3657"/>
      <c r="R7" s="882" t="s">
        <v>886</v>
      </c>
      <c r="S7" s="883">
        <f t="shared" ref="S7:S14" si="0">F7</f>
        <v>0</v>
      </c>
      <c r="T7" s="882" t="s">
        <v>886</v>
      </c>
      <c r="U7" s="883">
        <f t="shared" ref="U7:U14" si="1">H7</f>
        <v>0</v>
      </c>
      <c r="V7" s="882" t="s">
        <v>886</v>
      </c>
      <c r="W7" s="883">
        <f t="shared" ref="W7:W14" si="2">J7</f>
        <v>0</v>
      </c>
      <c r="X7" s="884"/>
      <c r="Y7" s="3645" t="s">
        <v>885</v>
      </c>
      <c r="Z7" s="3646"/>
      <c r="AA7" s="895" t="e">
        <f>D7/F7</f>
        <v>#DIV/0!</v>
      </c>
      <c r="AB7" s="895" t="e">
        <f>D7/H7</f>
        <v>#DIV/0!</v>
      </c>
      <c r="AC7" s="895" t="e">
        <f>D7/J7</f>
        <v>#DIV/0!</v>
      </c>
    </row>
    <row r="8" spans="1:29" s="678" customFormat="1" ht="15">
      <c r="A8" s="705" t="s">
        <v>887</v>
      </c>
      <c r="B8" s="706"/>
      <c r="C8" s="712" t="s">
        <v>888</v>
      </c>
      <c r="D8" s="708">
        <v>100</v>
      </c>
      <c r="E8" s="712"/>
      <c r="F8" s="710">
        <f>SUMIF(49:49,E8,50:50)-SUMIF(49:49,C8,50:50)+100</f>
        <v>0</v>
      </c>
      <c r="G8" s="712"/>
      <c r="H8" s="708">
        <f>SUMIF(49:49,G8,50:50)-SUMIF(49:49,C8,50:50)+100</f>
        <v>0</v>
      </c>
      <c r="I8" s="712"/>
      <c r="J8" s="708">
        <f>SUMIF(49:49,I8,50:50)-SUMIF(49:49,C8,50:50)+100</f>
        <v>0</v>
      </c>
      <c r="K8" s="844"/>
      <c r="L8" s="845"/>
      <c r="M8" s="846"/>
      <c r="N8" s="846"/>
      <c r="O8" s="846"/>
      <c r="P8" s="3645" t="s">
        <v>890</v>
      </c>
      <c r="Q8" s="3646"/>
      <c r="R8" s="882" t="s">
        <v>886</v>
      </c>
      <c r="S8" s="883">
        <f t="shared" si="0"/>
        <v>0</v>
      </c>
      <c r="T8" s="882" t="s">
        <v>886</v>
      </c>
      <c r="U8" s="883">
        <f t="shared" si="1"/>
        <v>0</v>
      </c>
      <c r="V8" s="882" t="s">
        <v>886</v>
      </c>
      <c r="W8" s="883">
        <f t="shared" si="2"/>
        <v>0</v>
      </c>
      <c r="X8" s="884"/>
      <c r="Y8" s="3645" t="s">
        <v>890</v>
      </c>
      <c r="Z8" s="3646"/>
      <c r="AA8" s="895" t="e">
        <f t="shared" ref="AA8:AA34" si="3">D8/F8</f>
        <v>#DIV/0!</v>
      </c>
      <c r="AB8" s="895" t="e">
        <f t="shared" ref="AB8:AB34" si="4">D8/H8</f>
        <v>#DIV/0!</v>
      </c>
      <c r="AC8" s="895" t="e">
        <f t="shared" ref="AC8:AC34" si="5">D8/J8</f>
        <v>#DIV/0!</v>
      </c>
    </row>
    <row r="9" spans="1:29" s="678" customFormat="1">
      <c r="A9" s="713" t="s">
        <v>891</v>
      </c>
      <c r="B9" s="714" t="s">
        <v>892</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40" t="s">
        <v>893</v>
      </c>
      <c r="Q9" s="885" t="str">
        <f t="shared" ref="Q9:Q14" si="6">B9</f>
        <v>用途</v>
      </c>
      <c r="R9" s="882" t="s">
        <v>886</v>
      </c>
      <c r="S9" s="883">
        <f t="shared" si="0"/>
        <v>100</v>
      </c>
      <c r="T9" s="882" t="s">
        <v>886</v>
      </c>
      <c r="U9" s="883">
        <f t="shared" si="1"/>
        <v>100</v>
      </c>
      <c r="V9" s="882" t="s">
        <v>886</v>
      </c>
      <c r="W9" s="883">
        <f t="shared" si="2"/>
        <v>100</v>
      </c>
      <c r="X9" s="884"/>
      <c r="Y9" s="3652" t="s">
        <v>894</v>
      </c>
      <c r="Z9" s="896" t="str">
        <f t="shared" ref="Z9:Z14" si="7">Q9</f>
        <v>用途</v>
      </c>
      <c r="AA9" s="895">
        <f t="shared" si="3"/>
        <v>1</v>
      </c>
      <c r="AB9" s="895">
        <f t="shared" si="4"/>
        <v>1</v>
      </c>
      <c r="AC9" s="895">
        <f t="shared" si="5"/>
        <v>1</v>
      </c>
    </row>
    <row r="10" spans="1:29" s="679" customFormat="1" ht="27">
      <c r="A10" s="717"/>
      <c r="B10" s="718" t="s">
        <v>895</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40"/>
      <c r="Q10" s="885" t="str">
        <f t="shared" si="6"/>
        <v>土地使用年限（年）</v>
      </c>
      <c r="R10" s="882" t="s">
        <v>886</v>
      </c>
      <c r="S10" s="883">
        <f t="shared" si="0"/>
        <v>100</v>
      </c>
      <c r="T10" s="882" t="s">
        <v>886</v>
      </c>
      <c r="U10" s="883">
        <f t="shared" si="1"/>
        <v>100</v>
      </c>
      <c r="V10" s="882" t="s">
        <v>886</v>
      </c>
      <c r="W10" s="883">
        <f t="shared" si="2"/>
        <v>100</v>
      </c>
      <c r="X10" s="884"/>
      <c r="Y10" s="3652"/>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40"/>
      <c r="Q11" s="885">
        <f t="shared" si="6"/>
        <v>111</v>
      </c>
      <c r="R11" s="882" t="s">
        <v>886</v>
      </c>
      <c r="S11" s="883">
        <f t="shared" si="0"/>
        <v>100</v>
      </c>
      <c r="T11" s="882" t="s">
        <v>886</v>
      </c>
      <c r="U11" s="883">
        <f t="shared" si="1"/>
        <v>100</v>
      </c>
      <c r="V11" s="882" t="s">
        <v>886</v>
      </c>
      <c r="W11" s="883">
        <f t="shared" si="2"/>
        <v>100</v>
      </c>
      <c r="X11" s="884"/>
      <c r="Y11" s="3652"/>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40"/>
      <c r="Q12" s="885">
        <f t="shared" si="6"/>
        <v>111</v>
      </c>
      <c r="R12" s="882" t="s">
        <v>886</v>
      </c>
      <c r="S12" s="883">
        <f t="shared" si="0"/>
        <v>100</v>
      </c>
      <c r="T12" s="882" t="s">
        <v>886</v>
      </c>
      <c r="U12" s="883">
        <f t="shared" si="1"/>
        <v>100</v>
      </c>
      <c r="V12" s="882" t="s">
        <v>886</v>
      </c>
      <c r="W12" s="883">
        <f t="shared" si="2"/>
        <v>100</v>
      </c>
      <c r="X12" s="884"/>
      <c r="Y12" s="3652"/>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40"/>
      <c r="Q13" s="885">
        <f t="shared" si="6"/>
        <v>111</v>
      </c>
      <c r="R13" s="882" t="s">
        <v>886</v>
      </c>
      <c r="S13" s="883">
        <f t="shared" si="0"/>
        <v>100</v>
      </c>
      <c r="T13" s="882" t="s">
        <v>886</v>
      </c>
      <c r="U13" s="883">
        <f t="shared" si="1"/>
        <v>100</v>
      </c>
      <c r="V13" s="882" t="s">
        <v>886</v>
      </c>
      <c r="W13" s="883">
        <f t="shared" si="2"/>
        <v>100</v>
      </c>
      <c r="X13" s="884"/>
      <c r="Y13" s="3652"/>
      <c r="Z13" s="896">
        <f t="shared" si="7"/>
        <v>111</v>
      </c>
      <c r="AA13" s="895">
        <f t="shared" si="3"/>
        <v>1</v>
      </c>
      <c r="AB13" s="895">
        <f t="shared" si="4"/>
        <v>1</v>
      </c>
      <c r="AC13" s="895">
        <f t="shared" si="5"/>
        <v>1</v>
      </c>
    </row>
    <row r="14" spans="1:29" ht="85.5">
      <c r="A14" s="735" t="s">
        <v>897</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47" t="s">
        <v>898</v>
      </c>
      <c r="Q14" s="848" t="str">
        <f t="shared" si="6"/>
        <v>交通便捷度</v>
      </c>
      <c r="R14" s="886" t="s">
        <v>886</v>
      </c>
      <c r="S14" s="887">
        <f t="shared" si="0"/>
        <v>100</v>
      </c>
      <c r="T14" s="886" t="s">
        <v>886</v>
      </c>
      <c r="U14" s="887">
        <f t="shared" si="1"/>
        <v>100</v>
      </c>
      <c r="V14" s="886" t="s">
        <v>886</v>
      </c>
      <c r="W14" s="887">
        <f t="shared" si="2"/>
        <v>100</v>
      </c>
      <c r="X14" s="881"/>
      <c r="Y14" s="3647" t="s">
        <v>898</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48"/>
      <c r="Q15" s="848"/>
      <c r="R15" s="886"/>
      <c r="S15" s="887"/>
      <c r="T15" s="886"/>
      <c r="U15" s="887"/>
      <c r="V15" s="886"/>
      <c r="W15" s="887"/>
      <c r="X15" s="881"/>
      <c r="Y15" s="3648"/>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48"/>
      <c r="Q16" s="848" t="str">
        <f>B16</f>
        <v>公共配套设施</v>
      </c>
      <c r="R16" s="886" t="s">
        <v>886</v>
      </c>
      <c r="S16" s="887">
        <f>F16</f>
        <v>100</v>
      </c>
      <c r="T16" s="886" t="s">
        <v>886</v>
      </c>
      <c r="U16" s="887">
        <f>H16</f>
        <v>100</v>
      </c>
      <c r="V16" s="886" t="s">
        <v>886</v>
      </c>
      <c r="W16" s="887">
        <f>J16</f>
        <v>100</v>
      </c>
      <c r="X16" s="881"/>
      <c r="Y16" s="3648"/>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48"/>
      <c r="Q17" s="848"/>
      <c r="R17" s="886"/>
      <c r="S17" s="887"/>
      <c r="T17" s="886"/>
      <c r="U17" s="887"/>
      <c r="V17" s="886"/>
      <c r="W17" s="887"/>
      <c r="X17" s="881"/>
      <c r="Y17" s="3648"/>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48"/>
      <c r="Q18" s="848" t="str">
        <f>B18</f>
        <v>基础设施水平</v>
      </c>
      <c r="R18" s="886" t="s">
        <v>886</v>
      </c>
      <c r="S18" s="887">
        <f>F18</f>
        <v>100</v>
      </c>
      <c r="T18" s="886" t="s">
        <v>886</v>
      </c>
      <c r="U18" s="887">
        <f>H18</f>
        <v>100</v>
      </c>
      <c r="V18" s="886" t="s">
        <v>886</v>
      </c>
      <c r="W18" s="887">
        <f>J18</f>
        <v>100</v>
      </c>
      <c r="X18" s="881"/>
      <c r="Y18" s="3648"/>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48"/>
      <c r="Q19" s="848"/>
      <c r="R19" s="886"/>
      <c r="S19" s="887"/>
      <c r="T19" s="886"/>
      <c r="U19" s="887"/>
      <c r="V19" s="886"/>
      <c r="W19" s="887"/>
      <c r="X19" s="881"/>
      <c r="Y19" s="3648"/>
      <c r="Z19" s="810"/>
      <c r="AA19" s="897">
        <v>1</v>
      </c>
      <c r="AB19" s="897">
        <v>1</v>
      </c>
      <c r="AC19" s="897">
        <v>1</v>
      </c>
    </row>
    <row r="20" spans="1:29" ht="57">
      <c r="A20" s="721"/>
      <c r="B20" s="1348" t="s">
        <v>902</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48"/>
      <c r="Q20" s="848" t="str">
        <f>B20</f>
        <v>自然及人文环境</v>
      </c>
      <c r="R20" s="886" t="s">
        <v>886</v>
      </c>
      <c r="S20" s="887">
        <f>F20</f>
        <v>100</v>
      </c>
      <c r="T20" s="886" t="s">
        <v>886</v>
      </c>
      <c r="U20" s="887">
        <f>H20</f>
        <v>100</v>
      </c>
      <c r="V20" s="886" t="s">
        <v>886</v>
      </c>
      <c r="W20" s="887">
        <f>J20</f>
        <v>100</v>
      </c>
      <c r="X20" s="881"/>
      <c r="Y20" s="3648"/>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48"/>
      <c r="Q21" s="848"/>
      <c r="R21" s="886"/>
      <c r="S21" s="887"/>
      <c r="T21" s="886"/>
      <c r="U21" s="887"/>
      <c r="V21" s="886"/>
      <c r="W21" s="887"/>
      <c r="X21" s="881"/>
      <c r="Y21" s="3648"/>
      <c r="Z21" s="810"/>
      <c r="AA21" s="897">
        <v>1</v>
      </c>
      <c r="AB21" s="897">
        <v>1</v>
      </c>
      <c r="AC21" s="897">
        <v>1</v>
      </c>
    </row>
    <row r="22" spans="1:29" ht="15">
      <c r="A22" s="721"/>
      <c r="B22" s="1348" t="s">
        <v>1498</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48"/>
      <c r="Q22" s="848" t="str">
        <f>B22</f>
        <v>楼层</v>
      </c>
      <c r="R22" s="886" t="s">
        <v>886</v>
      </c>
      <c r="S22" s="887">
        <f>F22</f>
        <v>100</v>
      </c>
      <c r="T22" s="886" t="s">
        <v>886</v>
      </c>
      <c r="U22" s="887">
        <f>H22</f>
        <v>100</v>
      </c>
      <c r="V22" s="886" t="s">
        <v>886</v>
      </c>
      <c r="W22" s="887">
        <f>J22</f>
        <v>100</v>
      </c>
      <c r="X22" s="881"/>
      <c r="Y22" s="3648"/>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48"/>
      <c r="Q23" s="848">
        <f>B23</f>
        <v>111</v>
      </c>
      <c r="R23" s="886" t="s">
        <v>886</v>
      </c>
      <c r="S23" s="887">
        <f>F23</f>
        <v>100</v>
      </c>
      <c r="T23" s="886" t="s">
        <v>886</v>
      </c>
      <c r="U23" s="887">
        <f>H23</f>
        <v>100</v>
      </c>
      <c r="V23" s="886" t="s">
        <v>886</v>
      </c>
      <c r="W23" s="887">
        <f>J23</f>
        <v>100</v>
      </c>
      <c r="X23" s="881"/>
      <c r="Y23" s="3648"/>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48"/>
      <c r="Q24" s="848">
        <f t="shared" ref="Q24:Q34" si="11">B24</f>
        <v>111</v>
      </c>
      <c r="R24" s="886" t="s">
        <v>886</v>
      </c>
      <c r="S24" s="887">
        <f>F24</f>
        <v>100</v>
      </c>
      <c r="T24" s="886" t="s">
        <v>886</v>
      </c>
      <c r="U24" s="887">
        <f>H24</f>
        <v>100</v>
      </c>
      <c r="V24" s="886" t="s">
        <v>886</v>
      </c>
      <c r="W24" s="887">
        <f>J24</f>
        <v>100</v>
      </c>
      <c r="X24" s="881"/>
      <c r="Y24" s="3648"/>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48"/>
      <c r="Q25" s="885">
        <f t="shared" si="11"/>
        <v>111</v>
      </c>
      <c r="R25" s="882" t="s">
        <v>886</v>
      </c>
      <c r="S25" s="883">
        <f>F25</f>
        <v>100</v>
      </c>
      <c r="T25" s="882" t="s">
        <v>886</v>
      </c>
      <c r="U25" s="883">
        <f>H25</f>
        <v>100</v>
      </c>
      <c r="V25" s="882" t="s">
        <v>886</v>
      </c>
      <c r="W25" s="883">
        <f>J25</f>
        <v>100</v>
      </c>
      <c r="X25" s="884"/>
      <c r="Y25" s="3648"/>
      <c r="Z25" s="896">
        <f>Q25</f>
        <v>111</v>
      </c>
      <c r="AA25" s="897">
        <f t="shared" si="3"/>
        <v>1</v>
      </c>
      <c r="AB25" s="897">
        <f t="shared" si="4"/>
        <v>1</v>
      </c>
      <c r="AC25" s="897">
        <f t="shared" si="5"/>
        <v>1</v>
      </c>
    </row>
    <row r="26" spans="1:29" ht="28.5">
      <c r="A26" s="1356" t="s">
        <v>911</v>
      </c>
      <c r="B26" s="714" t="s">
        <v>919</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49" t="s">
        <v>914</v>
      </c>
      <c r="Q26" s="848" t="str">
        <f t="shared" si="11"/>
        <v>公共部分装修</v>
      </c>
      <c r="R26" s="886" t="s">
        <v>886</v>
      </c>
      <c r="S26" s="887">
        <f t="shared" ref="S26:S34" si="12">F26</f>
        <v>100</v>
      </c>
      <c r="T26" s="886" t="s">
        <v>886</v>
      </c>
      <c r="U26" s="887">
        <f t="shared" ref="U26:U34" si="13">H26</f>
        <v>100</v>
      </c>
      <c r="V26" s="886" t="s">
        <v>886</v>
      </c>
      <c r="W26" s="887">
        <f t="shared" ref="W26:W34" si="14">J26</f>
        <v>100</v>
      </c>
      <c r="X26" s="881"/>
      <c r="Y26" s="3650" t="s">
        <v>914</v>
      </c>
      <c r="Z26" s="810" t="str">
        <f t="shared" ref="Z26:Z34" si="15">Q26</f>
        <v>公共部分装修</v>
      </c>
      <c r="AA26" s="897">
        <f t="shared" si="3"/>
        <v>1</v>
      </c>
      <c r="AB26" s="897">
        <f t="shared" si="4"/>
        <v>1</v>
      </c>
      <c r="AC26" s="897">
        <f t="shared" si="5"/>
        <v>1</v>
      </c>
    </row>
    <row r="27" spans="1:29" s="680" customFormat="1" ht="15">
      <c r="A27" s="777"/>
      <c r="B27" s="718" t="s">
        <v>1519</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50"/>
      <c r="Q27" s="1397" t="str">
        <f t="shared" si="11"/>
        <v>成新率</v>
      </c>
      <c r="R27" s="888" t="s">
        <v>886</v>
      </c>
      <c r="S27" s="889" t="e">
        <f t="shared" si="12"/>
        <v>#N/A</v>
      </c>
      <c r="T27" s="888" t="s">
        <v>886</v>
      </c>
      <c r="U27" s="889" t="e">
        <f t="shared" si="13"/>
        <v>#N/A</v>
      </c>
      <c r="V27" s="888" t="s">
        <v>886</v>
      </c>
      <c r="W27" s="889" t="e">
        <f t="shared" si="14"/>
        <v>#N/A</v>
      </c>
      <c r="X27" s="890"/>
      <c r="Y27" s="3650"/>
      <c r="Z27" s="898" t="str">
        <f t="shared" si="15"/>
        <v>成新率</v>
      </c>
      <c r="AA27" s="897" t="e">
        <f t="shared" si="3"/>
        <v>#N/A</v>
      </c>
      <c r="AB27" s="897" t="e">
        <f t="shared" si="4"/>
        <v>#N/A</v>
      </c>
      <c r="AC27" s="897" t="e">
        <f t="shared" si="5"/>
        <v>#N/A</v>
      </c>
    </row>
    <row r="28" spans="1:29" ht="15">
      <c r="A28" s="769"/>
      <c r="B28" s="718" t="s">
        <v>1520</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50"/>
      <c r="Q28" s="848" t="str">
        <f t="shared" si="11"/>
        <v>物业等级</v>
      </c>
      <c r="R28" s="886" t="s">
        <v>886</v>
      </c>
      <c r="S28" s="887">
        <f t="shared" si="12"/>
        <v>100</v>
      </c>
      <c r="T28" s="886" t="s">
        <v>886</v>
      </c>
      <c r="U28" s="887">
        <f t="shared" si="13"/>
        <v>100</v>
      </c>
      <c r="V28" s="886" t="s">
        <v>886</v>
      </c>
      <c r="W28" s="887">
        <f t="shared" si="14"/>
        <v>100</v>
      </c>
      <c r="X28" s="881"/>
      <c r="Y28" s="3650"/>
      <c r="Z28" s="810" t="str">
        <f t="shared" si="15"/>
        <v>物业等级</v>
      </c>
      <c r="AA28" s="897">
        <f t="shared" si="3"/>
        <v>1</v>
      </c>
      <c r="AB28" s="897">
        <f t="shared" si="4"/>
        <v>1</v>
      </c>
      <c r="AC28" s="897">
        <f t="shared" si="5"/>
        <v>1</v>
      </c>
    </row>
    <row r="29" spans="1:29" ht="15">
      <c r="A29" s="769"/>
      <c r="B29" s="718" t="s">
        <v>1528</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50"/>
      <c r="Q29" s="848" t="str">
        <f t="shared" si="11"/>
        <v>有无电梯</v>
      </c>
      <c r="R29" s="886" t="s">
        <v>886</v>
      </c>
      <c r="S29" s="887">
        <f t="shared" si="12"/>
        <v>100</v>
      </c>
      <c r="T29" s="886" t="s">
        <v>886</v>
      </c>
      <c r="U29" s="887">
        <f t="shared" si="13"/>
        <v>100</v>
      </c>
      <c r="V29" s="886" t="s">
        <v>886</v>
      </c>
      <c r="W29" s="887">
        <f t="shared" si="14"/>
        <v>100</v>
      </c>
      <c r="X29" s="881"/>
      <c r="Y29" s="3650"/>
      <c r="Z29" s="810" t="str">
        <f t="shared" si="15"/>
        <v>有无电梯</v>
      </c>
      <c r="AA29" s="897">
        <f t="shared" si="3"/>
        <v>1</v>
      </c>
      <c r="AB29" s="897">
        <f t="shared" si="4"/>
        <v>1</v>
      </c>
      <c r="AC29" s="897">
        <f t="shared" si="5"/>
        <v>1</v>
      </c>
    </row>
    <row r="30" spans="1:29" ht="15">
      <c r="A30" s="769"/>
      <c r="B30" s="718" t="s">
        <v>1529</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50"/>
      <c r="Q30" s="848" t="str">
        <f t="shared" si="11"/>
        <v>建筑面积</v>
      </c>
      <c r="R30" s="886" t="s">
        <v>886</v>
      </c>
      <c r="S30" s="887" t="e">
        <f t="shared" si="12"/>
        <v>#N/A</v>
      </c>
      <c r="T30" s="886" t="s">
        <v>886</v>
      </c>
      <c r="U30" s="887" t="e">
        <f t="shared" si="13"/>
        <v>#N/A</v>
      </c>
      <c r="V30" s="886" t="s">
        <v>886</v>
      </c>
      <c r="W30" s="887" t="e">
        <f t="shared" si="14"/>
        <v>#N/A</v>
      </c>
      <c r="X30" s="881"/>
      <c r="Y30" s="3650"/>
      <c r="Z30" s="810" t="str">
        <f t="shared" si="15"/>
        <v>建筑面积</v>
      </c>
      <c r="AA30" s="897" t="e">
        <f t="shared" si="3"/>
        <v>#N/A</v>
      </c>
      <c r="AB30" s="897" t="e">
        <f t="shared" si="4"/>
        <v>#N/A</v>
      </c>
      <c r="AC30" s="897" t="e">
        <f t="shared" si="5"/>
        <v>#N/A</v>
      </c>
    </row>
    <row r="31" spans="1:29" s="678" customFormat="1" ht="15">
      <c r="A31" s="774"/>
      <c r="B31" s="718" t="s">
        <v>1530</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50"/>
      <c r="Q31" s="885" t="str">
        <f t="shared" si="11"/>
        <v>是否封闭</v>
      </c>
      <c r="R31" s="882" t="s">
        <v>886</v>
      </c>
      <c r="S31" s="883">
        <f t="shared" si="12"/>
        <v>100</v>
      </c>
      <c r="T31" s="882" t="s">
        <v>886</v>
      </c>
      <c r="U31" s="883">
        <f t="shared" si="13"/>
        <v>100</v>
      </c>
      <c r="V31" s="882" t="s">
        <v>886</v>
      </c>
      <c r="W31" s="883">
        <f t="shared" si="14"/>
        <v>100</v>
      </c>
      <c r="X31" s="884"/>
      <c r="Y31" s="3650"/>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50" t="s">
        <v>914</v>
      </c>
      <c r="Q32" s="848">
        <f t="shared" si="11"/>
        <v>111</v>
      </c>
      <c r="R32" s="886" t="s">
        <v>886</v>
      </c>
      <c r="S32" s="887">
        <f t="shared" si="12"/>
        <v>100</v>
      </c>
      <c r="T32" s="886" t="s">
        <v>886</v>
      </c>
      <c r="U32" s="887">
        <f t="shared" si="13"/>
        <v>100</v>
      </c>
      <c r="V32" s="886" t="s">
        <v>886</v>
      </c>
      <c r="W32" s="887">
        <f t="shared" si="14"/>
        <v>100</v>
      </c>
      <c r="X32" s="881"/>
      <c r="Y32" s="3650" t="s">
        <v>914</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50"/>
      <c r="Q33" s="848">
        <f t="shared" si="11"/>
        <v>111</v>
      </c>
      <c r="R33" s="886" t="s">
        <v>886</v>
      </c>
      <c r="S33" s="887">
        <f t="shared" si="12"/>
        <v>100</v>
      </c>
      <c r="T33" s="886" t="s">
        <v>886</v>
      </c>
      <c r="U33" s="887">
        <f t="shared" si="13"/>
        <v>100</v>
      </c>
      <c r="V33" s="886" t="s">
        <v>886</v>
      </c>
      <c r="W33" s="887">
        <f t="shared" si="14"/>
        <v>100</v>
      </c>
      <c r="X33" s="881"/>
      <c r="Y33" s="3650"/>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50"/>
      <c r="Q34" s="848">
        <f t="shared" si="11"/>
        <v>111</v>
      </c>
      <c r="R34" s="886" t="s">
        <v>886</v>
      </c>
      <c r="S34" s="887">
        <f t="shared" si="12"/>
        <v>100</v>
      </c>
      <c r="T34" s="886" t="s">
        <v>886</v>
      </c>
      <c r="U34" s="887">
        <f t="shared" si="13"/>
        <v>100</v>
      </c>
      <c r="V34" s="886" t="s">
        <v>886</v>
      </c>
      <c r="W34" s="887">
        <f t="shared" si="14"/>
        <v>100</v>
      </c>
      <c r="X34" s="881"/>
      <c r="Y34" s="3650"/>
      <c r="Z34" s="810">
        <f t="shared" si="15"/>
        <v>111</v>
      </c>
      <c r="AA34" s="897">
        <f t="shared" si="3"/>
        <v>1</v>
      </c>
      <c r="AB34" s="897">
        <f t="shared" si="4"/>
        <v>1</v>
      </c>
      <c r="AC34" s="897">
        <f t="shared" si="5"/>
        <v>1</v>
      </c>
    </row>
    <row r="35" spans="1:29" ht="15">
      <c r="A35" s="779" t="s">
        <v>929</v>
      </c>
      <c r="B35" s="1367"/>
      <c r="C35" s="1368" t="s">
        <v>121</v>
      </c>
      <c r="D35" s="1369"/>
      <c r="E35" s="1370"/>
      <c r="F35" s="1371"/>
      <c r="G35" s="1372"/>
      <c r="H35" s="1373"/>
      <c r="I35" s="1370"/>
      <c r="J35" s="1373"/>
      <c r="K35" s="867"/>
      <c r="L35" s="868"/>
      <c r="N35" s="843"/>
      <c r="P35" s="3640" t="str">
        <f>A35</f>
        <v>成交单价（元/平方米）</v>
      </c>
      <c r="Q35" s="3640"/>
      <c r="R35" s="3641">
        <f>E35</f>
        <v>0</v>
      </c>
      <c r="S35" s="3641"/>
      <c r="T35" s="3641">
        <f>G35</f>
        <v>0</v>
      </c>
      <c r="U35" s="3641"/>
      <c r="V35" s="3641">
        <f>I35</f>
        <v>0</v>
      </c>
      <c r="W35" s="3641"/>
      <c r="X35" s="831"/>
      <c r="Y35" s="899"/>
      <c r="Z35" s="831"/>
      <c r="AA35" s="831"/>
      <c r="AB35" s="831"/>
      <c r="AC35" s="831"/>
    </row>
    <row r="36" spans="1:29" ht="15">
      <c r="A36" s="787" t="s">
        <v>930</v>
      </c>
      <c r="B36" s="1374"/>
      <c r="C36" s="1375" t="e">
        <f>R37</f>
        <v>#DIV/0!</v>
      </c>
      <c r="D36" s="790" t="s">
        <v>931</v>
      </c>
      <c r="E36" s="1376" t="e">
        <f>R36</f>
        <v>#DIV/0!</v>
      </c>
      <c r="F36" s="791"/>
      <c r="G36" s="1375" t="e">
        <f>T36</f>
        <v>#DIV/0!</v>
      </c>
      <c r="H36" s="791"/>
      <c r="I36" s="1376" t="e">
        <f>V36</f>
        <v>#DIV/0!</v>
      </c>
      <c r="J36" s="791"/>
      <c r="K36" s="869">
        <f>F36+H36+J36</f>
        <v>0</v>
      </c>
      <c r="L36" s="868"/>
      <c r="N36" s="8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831"/>
      <c r="Y36" s="831"/>
      <c r="Z36" s="831"/>
      <c r="AA36" s="831"/>
      <c r="AB36" s="831"/>
      <c r="AC36" s="831"/>
    </row>
    <row r="37" spans="1:29" ht="15">
      <c r="A37" s="793" t="s">
        <v>932</v>
      </c>
      <c r="B37" s="794"/>
      <c r="C37" s="1377" t="e">
        <f>R37</f>
        <v>#DIV/0!</v>
      </c>
      <c r="D37" s="1377"/>
      <c r="E37" s="1377"/>
      <c r="F37" s="1377"/>
      <c r="G37" s="1377"/>
      <c r="H37" s="1377"/>
      <c r="I37" s="1377"/>
      <c r="J37" s="1377"/>
      <c r="K37" s="870"/>
      <c r="L37" s="868"/>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831"/>
      <c r="Y37" s="831"/>
      <c r="Z37" s="831"/>
      <c r="AA37" s="831"/>
      <c r="AB37" s="831"/>
      <c r="AC37" s="831"/>
    </row>
    <row r="38" spans="1:29">
      <c r="G38" s="796"/>
    </row>
    <row r="40" spans="1:29" ht="13.5" customHeight="1">
      <c r="C40" s="797" t="s">
        <v>933</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934</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935</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936</v>
      </c>
      <c r="B45" s="831"/>
      <c r="C45" s="832"/>
      <c r="D45" s="832"/>
      <c r="E45" s="832"/>
      <c r="F45" s="833"/>
      <c r="G45" s="833"/>
      <c r="H45" s="832"/>
      <c r="I45" s="832"/>
      <c r="J45" s="832"/>
      <c r="K45" s="1392"/>
      <c r="L45" s="1393"/>
      <c r="M45" s="832"/>
      <c r="N45" s="1394"/>
      <c r="O45" s="1394"/>
      <c r="P45" s="880"/>
      <c r="Q45" s="891"/>
    </row>
    <row r="46" spans="1:29" s="683" customFormat="1" ht="15">
      <c r="A46" s="1378" t="s">
        <v>884</v>
      </c>
      <c r="B46" s="1379"/>
      <c r="C46" s="1380" t="str">
        <f>YEAR(C7)&amp;"-"&amp;MONTH(C7)</f>
        <v>2022-11</v>
      </c>
      <c r="D46" s="1381">
        <f>EDATE(C46,-1)</f>
        <v>44835</v>
      </c>
      <c r="E46" s="1381">
        <f t="shared" ref="E46:O46" si="16">EDATE(D46,-1)</f>
        <v>44805</v>
      </c>
      <c r="F46" s="1381">
        <f t="shared" si="16"/>
        <v>44774</v>
      </c>
      <c r="G46" s="1381">
        <f t="shared" si="16"/>
        <v>44743</v>
      </c>
      <c r="H46" s="1381">
        <f t="shared" si="16"/>
        <v>44713</v>
      </c>
      <c r="I46" s="1381">
        <f t="shared" si="16"/>
        <v>44682</v>
      </c>
      <c r="J46" s="1381">
        <f t="shared" si="16"/>
        <v>44652</v>
      </c>
      <c r="K46" s="1381">
        <f t="shared" si="16"/>
        <v>44621</v>
      </c>
      <c r="L46" s="1381">
        <f t="shared" si="16"/>
        <v>44593</v>
      </c>
      <c r="M46" s="1381">
        <f t="shared" si="16"/>
        <v>44562</v>
      </c>
      <c r="N46" s="1381">
        <f t="shared" si="16"/>
        <v>44531</v>
      </c>
      <c r="O46" s="1381">
        <f t="shared" si="16"/>
        <v>44501</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937</v>
      </c>
      <c r="B48" s="907"/>
      <c r="C48" s="908"/>
      <c r="D48" s="909"/>
      <c r="E48" s="909"/>
      <c r="F48" s="909"/>
      <c r="G48" s="909"/>
      <c r="H48" s="909"/>
      <c r="I48" s="909"/>
      <c r="J48" s="909"/>
      <c r="K48" s="909"/>
      <c r="L48" s="909"/>
      <c r="M48" s="958"/>
      <c r="N48" s="909"/>
      <c r="O48" s="1396"/>
      <c r="P48" s="891"/>
      <c r="Q48" s="891"/>
    </row>
    <row r="49" spans="1:17" s="678" customFormat="1" ht="15">
      <c r="A49" s="910" t="s">
        <v>887</v>
      </c>
      <c r="B49" s="911"/>
      <c r="C49" s="912" t="s">
        <v>888</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938</v>
      </c>
      <c r="B51" s="917" t="s">
        <v>892</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895</v>
      </c>
      <c r="C53" s="922" t="s">
        <v>939</v>
      </c>
      <c r="D53" s="922" t="s">
        <v>940</v>
      </c>
      <c r="E53" s="922" t="s">
        <v>941</v>
      </c>
      <c r="F53" s="922" t="s">
        <v>942</v>
      </c>
      <c r="G53" s="922" t="s">
        <v>943</v>
      </c>
      <c r="H53" s="922" t="s">
        <v>944</v>
      </c>
      <c r="I53" s="922" t="s">
        <v>945</v>
      </c>
      <c r="J53" s="922"/>
      <c r="K53" s="972"/>
      <c r="L53" s="973"/>
      <c r="M53" s="974"/>
      <c r="N53" s="968"/>
      <c r="O53" s="968"/>
      <c r="P53" s="969"/>
      <c r="Q53" s="891"/>
    </row>
    <row r="54" spans="1:17" ht="15">
      <c r="A54" s="918"/>
      <c r="B54" s="923"/>
      <c r="C54" s="924" t="s">
        <v>1505</v>
      </c>
      <c r="D54" s="924" t="s">
        <v>1505</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897</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946</v>
      </c>
      <c r="D65" s="922" t="s">
        <v>947</v>
      </c>
      <c r="E65" s="922" t="s">
        <v>948</v>
      </c>
      <c r="F65" s="922" t="s">
        <v>949</v>
      </c>
      <c r="G65" s="922" t="s">
        <v>950</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902</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1498</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911</v>
      </c>
      <c r="B77" s="917" t="s">
        <v>919</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1519</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1520</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1528</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1529</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1530</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1531</v>
      </c>
      <c r="B1" s="1024"/>
      <c r="C1" s="1025" t="s">
        <v>1532</v>
      </c>
      <c r="D1" s="1024"/>
      <c r="E1" s="1024"/>
      <c r="F1" s="1026" t="s">
        <v>869</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870</v>
      </c>
      <c r="B2" s="1027" t="e">
        <f>F66</f>
        <v>#DIV/0!</v>
      </c>
      <c r="C2" s="1028" t="s">
        <v>1533</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871</v>
      </c>
      <c r="B3" s="1031" t="e">
        <f>ROUND(B2/'数据-取费表'!B5,0)</f>
        <v>#DIV/0!</v>
      </c>
      <c r="C3" s="1028" t="s">
        <v>1206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873</v>
      </c>
      <c r="B4" s="1033"/>
      <c r="C4" s="3583" t="s">
        <v>874</v>
      </c>
      <c r="D4" s="3584"/>
      <c r="E4" s="3585" t="s">
        <v>875</v>
      </c>
      <c r="F4" s="3586"/>
      <c r="G4" s="3583" t="s">
        <v>876</v>
      </c>
      <c r="H4" s="3584"/>
      <c r="I4" s="3583" t="s">
        <v>877</v>
      </c>
      <c r="J4" s="3584"/>
      <c r="K4" s="1158" t="s">
        <v>878</v>
      </c>
      <c r="L4" s="1159"/>
      <c r="M4" s="1160"/>
      <c r="N4" s="1160"/>
      <c r="O4" s="1160"/>
      <c r="P4" s="3546" t="s">
        <v>879</v>
      </c>
      <c r="Q4" s="3547"/>
      <c r="R4" s="3552" t="s">
        <v>875</v>
      </c>
      <c r="S4" s="3553"/>
      <c r="T4" s="3552" t="s">
        <v>876</v>
      </c>
      <c r="U4" s="3553"/>
      <c r="V4" s="3558" t="s">
        <v>877</v>
      </c>
      <c r="W4" s="3558"/>
      <c r="X4" s="1197"/>
      <c r="Y4" s="3552" t="s">
        <v>879</v>
      </c>
      <c r="Z4" s="3553"/>
      <c r="AA4" s="3543" t="s">
        <v>875</v>
      </c>
      <c r="AB4" s="3544" t="s">
        <v>876</v>
      </c>
      <c r="AC4" s="3543" t="s">
        <v>877</v>
      </c>
    </row>
    <row r="5" spans="1:30" ht="15">
      <c r="A5" s="1034"/>
      <c r="B5" s="1035"/>
      <c r="C5" s="3587" t="s">
        <v>880</v>
      </c>
      <c r="D5" s="3588"/>
      <c r="E5" s="3622" t="s">
        <v>1493</v>
      </c>
      <c r="F5" s="3590"/>
      <c r="G5" s="3587" t="s">
        <v>1494</v>
      </c>
      <c r="H5" s="3588"/>
      <c r="I5" s="3587" t="s">
        <v>1495</v>
      </c>
      <c r="J5" s="3588"/>
      <c r="K5" s="1158"/>
      <c r="L5" s="1159"/>
      <c r="M5" s="1160"/>
      <c r="N5" s="1160"/>
      <c r="O5" s="1160"/>
      <c r="P5" s="3548"/>
      <c r="Q5" s="3549"/>
      <c r="R5" s="3554"/>
      <c r="S5" s="3555"/>
      <c r="T5" s="3554"/>
      <c r="U5" s="3555"/>
      <c r="V5" s="3558"/>
      <c r="W5" s="3558"/>
      <c r="X5" s="1197"/>
      <c r="Y5" s="3554"/>
      <c r="Z5" s="3555"/>
      <c r="AA5" s="3544"/>
      <c r="AB5" s="3544"/>
      <c r="AC5" s="3544"/>
    </row>
    <row r="6" spans="1:30" ht="15">
      <c r="A6" s="1036"/>
      <c r="B6" s="1037"/>
      <c r="C6" s="3578" t="s">
        <v>882</v>
      </c>
      <c r="D6" s="3579"/>
      <c r="E6" s="3580" t="s">
        <v>882</v>
      </c>
      <c r="F6" s="3581"/>
      <c r="G6" s="3578" t="s">
        <v>882</v>
      </c>
      <c r="H6" s="3579"/>
      <c r="I6" s="3578" t="s">
        <v>882</v>
      </c>
      <c r="J6" s="3579"/>
      <c r="K6" s="1158" t="s">
        <v>883</v>
      </c>
      <c r="L6" s="1159"/>
      <c r="M6" s="1160"/>
      <c r="N6" s="1160"/>
      <c r="O6" s="1160"/>
      <c r="P6" s="3550"/>
      <c r="Q6" s="3551"/>
      <c r="R6" s="3554"/>
      <c r="S6" s="3555"/>
      <c r="T6" s="3556"/>
      <c r="U6" s="3557"/>
      <c r="V6" s="3558"/>
      <c r="W6" s="3558"/>
      <c r="X6" s="1197"/>
      <c r="Y6" s="3556"/>
      <c r="Z6" s="3557"/>
      <c r="AA6" s="3545"/>
      <c r="AB6" s="3545"/>
      <c r="AC6" s="3545"/>
    </row>
    <row r="7" spans="1:30" s="1014" customFormat="1" ht="15">
      <c r="A7" s="1038" t="s">
        <v>884</v>
      </c>
      <c r="B7" s="1039"/>
      <c r="C7" s="1040">
        <f>'数据-取费表'!B2</f>
        <v>44873</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66" t="s">
        <v>885</v>
      </c>
      <c r="Q7" s="3582"/>
      <c r="R7" s="1199" t="s">
        <v>886</v>
      </c>
      <c r="S7" s="1200">
        <f t="shared" ref="S7:S15" si="0">F7</f>
        <v>0</v>
      </c>
      <c r="T7" s="1199" t="s">
        <v>886</v>
      </c>
      <c r="U7" s="1200">
        <f t="shared" ref="U7:U15" si="1">H7</f>
        <v>0</v>
      </c>
      <c r="V7" s="1199" t="s">
        <v>886</v>
      </c>
      <c r="W7" s="1200">
        <f t="shared" ref="W7:W15" si="2">J7</f>
        <v>0</v>
      </c>
      <c r="X7" s="1201"/>
      <c r="Y7" s="3566" t="s">
        <v>885</v>
      </c>
      <c r="Z7" s="3567"/>
      <c r="AA7" s="1214" t="e">
        <f>D7/F7</f>
        <v>#DIV/0!</v>
      </c>
      <c r="AB7" s="1214" t="e">
        <f>D7/H7</f>
        <v>#DIV/0!</v>
      </c>
      <c r="AC7" s="1214" t="e">
        <f>D7/J7</f>
        <v>#DIV/0!</v>
      </c>
    </row>
    <row r="8" spans="1:30" s="1014" customFormat="1" ht="15">
      <c r="A8" s="1038" t="s">
        <v>887</v>
      </c>
      <c r="B8" s="1039"/>
      <c r="C8" s="1045" t="s">
        <v>888</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66" t="s">
        <v>890</v>
      </c>
      <c r="Q8" s="3567"/>
      <c r="R8" s="1199" t="s">
        <v>886</v>
      </c>
      <c r="S8" s="1200">
        <f t="shared" si="0"/>
        <v>0</v>
      </c>
      <c r="T8" s="1199" t="s">
        <v>886</v>
      </c>
      <c r="U8" s="1200">
        <f t="shared" si="1"/>
        <v>0</v>
      </c>
      <c r="V8" s="1199" t="s">
        <v>886</v>
      </c>
      <c r="W8" s="1200">
        <f t="shared" si="2"/>
        <v>0</v>
      </c>
      <c r="X8" s="1201"/>
      <c r="Y8" s="3566" t="s">
        <v>890</v>
      </c>
      <c r="Z8" s="3567"/>
      <c r="AA8" s="1214" t="e">
        <f t="shared" ref="AA8:AA45" si="3">D8/F8</f>
        <v>#DIV/0!</v>
      </c>
      <c r="AB8" s="1214" t="e">
        <f t="shared" ref="AB8:AB45" si="4">D8/H8</f>
        <v>#DIV/0!</v>
      </c>
      <c r="AC8" s="1214" t="e">
        <f t="shared" ref="AC8:AC45" si="5">D8/J8</f>
        <v>#DIV/0!</v>
      </c>
    </row>
    <row r="9" spans="1:30" s="1014" customFormat="1">
      <c r="A9" s="1046" t="s">
        <v>891</v>
      </c>
      <c r="B9" s="1047" t="s">
        <v>892</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59" t="s">
        <v>893</v>
      </c>
      <c r="Q9" s="1203" t="str">
        <f t="shared" ref="Q9:Q15" si="6">B9</f>
        <v>用途</v>
      </c>
      <c r="R9" s="1199" t="s">
        <v>886</v>
      </c>
      <c r="S9" s="1200">
        <f t="shared" si="0"/>
        <v>100</v>
      </c>
      <c r="T9" s="1199" t="s">
        <v>886</v>
      </c>
      <c r="U9" s="1200">
        <f t="shared" si="1"/>
        <v>100</v>
      </c>
      <c r="V9" s="1199" t="s">
        <v>886</v>
      </c>
      <c r="W9" s="1200">
        <f t="shared" si="2"/>
        <v>100</v>
      </c>
      <c r="X9" s="1201"/>
      <c r="Y9" s="3415" t="s">
        <v>894</v>
      </c>
      <c r="Z9" s="1215" t="str">
        <f t="shared" ref="Z9:Z15" si="7">Q9</f>
        <v>用途</v>
      </c>
      <c r="AA9" s="1214">
        <f t="shared" si="3"/>
        <v>1</v>
      </c>
      <c r="AB9" s="1214">
        <f t="shared" si="4"/>
        <v>1</v>
      </c>
      <c r="AC9" s="1214">
        <f t="shared" si="5"/>
        <v>1</v>
      </c>
    </row>
    <row r="10" spans="1:30" s="1015" customFormat="1" ht="27">
      <c r="A10" s="1050"/>
      <c r="B10" s="1051" t="s">
        <v>895</v>
      </c>
      <c r="C10" s="1052"/>
      <c r="D10" s="1053">
        <v>100</v>
      </c>
      <c r="E10" s="1054"/>
      <c r="F10" s="1053">
        <f>ROUND(100/'数据-取费表'!B14,0)</f>
        <v>134</v>
      </c>
      <c r="G10" s="1055"/>
      <c r="H10" s="1053">
        <f>ROUND(100/'数据-取费表'!B14,0)</f>
        <v>134</v>
      </c>
      <c r="I10" s="1055"/>
      <c r="J10" s="1053">
        <f>ROUND(100/'数据-取费表'!B14,0)</f>
        <v>134</v>
      </c>
      <c r="K10" s="1165"/>
      <c r="L10" s="1166"/>
      <c r="M10" s="1167"/>
      <c r="N10" s="1167"/>
      <c r="O10" s="1168"/>
      <c r="P10" s="3559"/>
      <c r="Q10" s="1203" t="str">
        <f t="shared" si="6"/>
        <v>土地使用年限（年）</v>
      </c>
      <c r="R10" s="1199" t="s">
        <v>886</v>
      </c>
      <c r="S10" s="1200">
        <f t="shared" si="0"/>
        <v>134</v>
      </c>
      <c r="T10" s="1199" t="s">
        <v>886</v>
      </c>
      <c r="U10" s="1200">
        <f t="shared" si="1"/>
        <v>134</v>
      </c>
      <c r="V10" s="1199" t="s">
        <v>886</v>
      </c>
      <c r="W10" s="1200">
        <f t="shared" si="2"/>
        <v>134</v>
      </c>
      <c r="X10" s="1201"/>
      <c r="Y10" s="3415"/>
      <c r="Z10" s="1215" t="str">
        <f t="shared" si="7"/>
        <v>土地使用年限（年）</v>
      </c>
      <c r="AA10" s="1214">
        <f t="shared" si="3"/>
        <v>0.74626865671641796</v>
      </c>
      <c r="AB10" s="1214">
        <f t="shared" si="4"/>
        <v>0.74626865671641796</v>
      </c>
      <c r="AC10" s="1214">
        <f t="shared" si="5"/>
        <v>0.74626865671641796</v>
      </c>
    </row>
    <row r="11" spans="1:30" ht="15">
      <c r="A11" s="483"/>
      <c r="B11" s="1051" t="s">
        <v>896</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59"/>
      <c r="Q11" s="1203" t="str">
        <f t="shared" si="6"/>
        <v>容积率</v>
      </c>
      <c r="R11" s="1199" t="s">
        <v>886</v>
      </c>
      <c r="S11" s="1200" t="e">
        <f t="shared" si="0"/>
        <v>#N/A</v>
      </c>
      <c r="T11" s="1199" t="s">
        <v>886</v>
      </c>
      <c r="U11" s="1200" t="e">
        <f t="shared" si="1"/>
        <v>#N/A</v>
      </c>
      <c r="V11" s="1199" t="s">
        <v>886</v>
      </c>
      <c r="W11" s="1200" t="e">
        <f t="shared" si="2"/>
        <v>#N/A</v>
      </c>
      <c r="X11" s="1201"/>
      <c r="Y11" s="3415"/>
      <c r="Z11" s="1215" t="str">
        <f t="shared" si="7"/>
        <v>容积率</v>
      </c>
      <c r="AA11" s="1214" t="e">
        <f t="shared" si="3"/>
        <v>#N/A</v>
      </c>
      <c r="AB11" s="1214" t="e">
        <f t="shared" si="4"/>
        <v>#N/A</v>
      </c>
      <c r="AC11" s="1214" t="e">
        <f t="shared" si="5"/>
        <v>#N/A</v>
      </c>
    </row>
    <row r="12" spans="1:30" s="1014" customFormat="1" ht="15">
      <c r="A12" s="1058"/>
      <c r="B12" s="1059" t="s">
        <v>1534</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59"/>
      <c r="Q12" s="1203" t="str">
        <f t="shared" si="6"/>
        <v>配建</v>
      </c>
      <c r="R12" s="1199" t="s">
        <v>886</v>
      </c>
      <c r="S12" s="1200">
        <f t="shared" si="0"/>
        <v>100</v>
      </c>
      <c r="T12" s="1199" t="s">
        <v>886</v>
      </c>
      <c r="U12" s="1200">
        <f t="shared" si="1"/>
        <v>100</v>
      </c>
      <c r="V12" s="1199" t="s">
        <v>886</v>
      </c>
      <c r="W12" s="1200">
        <f t="shared" si="2"/>
        <v>100</v>
      </c>
      <c r="X12" s="1201"/>
      <c r="Y12" s="3415"/>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59"/>
      <c r="Q13" s="1203">
        <f t="shared" si="6"/>
        <v>111</v>
      </c>
      <c r="R13" s="1199" t="s">
        <v>886</v>
      </c>
      <c r="S13" s="1200">
        <f t="shared" si="0"/>
        <v>100</v>
      </c>
      <c r="T13" s="1199" t="s">
        <v>886</v>
      </c>
      <c r="U13" s="1200">
        <f t="shared" si="1"/>
        <v>100</v>
      </c>
      <c r="V13" s="1199" t="s">
        <v>886</v>
      </c>
      <c r="W13" s="1200">
        <f t="shared" si="2"/>
        <v>100</v>
      </c>
      <c r="X13" s="1201"/>
      <c r="Y13" s="3415"/>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59"/>
      <c r="Q14" s="1203">
        <f t="shared" si="6"/>
        <v>111</v>
      </c>
      <c r="R14" s="1199" t="s">
        <v>886</v>
      </c>
      <c r="S14" s="1200">
        <f t="shared" si="0"/>
        <v>100</v>
      </c>
      <c r="T14" s="1199" t="s">
        <v>886</v>
      </c>
      <c r="U14" s="1200">
        <f t="shared" si="1"/>
        <v>100</v>
      </c>
      <c r="V14" s="1199" t="s">
        <v>886</v>
      </c>
      <c r="W14" s="1200">
        <f t="shared" si="2"/>
        <v>100</v>
      </c>
      <c r="X14" s="1201"/>
      <c r="Y14" s="3415"/>
      <c r="Z14" s="1215">
        <f t="shared" si="7"/>
        <v>111</v>
      </c>
      <c r="AA14" s="1214">
        <f t="shared" si="3"/>
        <v>1</v>
      </c>
      <c r="AB14" s="1214">
        <f t="shared" si="4"/>
        <v>1</v>
      </c>
      <c r="AC14" s="1214">
        <f t="shared" si="5"/>
        <v>1</v>
      </c>
    </row>
    <row r="15" spans="1:30" ht="99.75">
      <c r="A15" s="1032" t="s">
        <v>897</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74" t="s">
        <v>898</v>
      </c>
      <c r="Q15" s="470" t="str">
        <f t="shared" si="6"/>
        <v>居住社区成熟度</v>
      </c>
      <c r="R15" s="1204" t="s">
        <v>886</v>
      </c>
      <c r="S15" s="1205">
        <f t="shared" si="0"/>
        <v>100</v>
      </c>
      <c r="T15" s="1204" t="s">
        <v>886</v>
      </c>
      <c r="U15" s="1205">
        <f t="shared" si="1"/>
        <v>100</v>
      </c>
      <c r="V15" s="1204" t="s">
        <v>886</v>
      </c>
      <c r="W15" s="1205">
        <f t="shared" si="2"/>
        <v>100</v>
      </c>
      <c r="X15" s="1197"/>
      <c r="Y15" s="3574" t="s">
        <v>898</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75"/>
      <c r="Q16" s="470"/>
      <c r="R16" s="1204"/>
      <c r="S16" s="1205"/>
      <c r="T16" s="1204"/>
      <c r="U16" s="1205"/>
      <c r="V16" s="1204"/>
      <c r="W16" s="1205"/>
      <c r="X16" s="1197"/>
      <c r="Y16" s="3575"/>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75"/>
      <c r="Q17" s="470" t="str">
        <f>B17</f>
        <v>商业繁华度</v>
      </c>
      <c r="R17" s="1204" t="s">
        <v>886</v>
      </c>
      <c r="S17" s="1205">
        <f>F17</f>
        <v>100</v>
      </c>
      <c r="T17" s="1204" t="s">
        <v>886</v>
      </c>
      <c r="U17" s="1205">
        <f>H17</f>
        <v>100</v>
      </c>
      <c r="V17" s="1204" t="s">
        <v>886</v>
      </c>
      <c r="W17" s="1205">
        <f>J17</f>
        <v>100</v>
      </c>
      <c r="X17" s="1197"/>
      <c r="Y17" s="3575"/>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75"/>
      <c r="Q18" s="470"/>
      <c r="R18" s="1204"/>
      <c r="S18" s="1205"/>
      <c r="T18" s="1204"/>
      <c r="U18" s="1205"/>
      <c r="V18" s="1204"/>
      <c r="W18" s="1205"/>
      <c r="X18" s="1197"/>
      <c r="Y18" s="3575"/>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75"/>
      <c r="Q19" s="470" t="str">
        <f>B19</f>
        <v>办公集聚程度</v>
      </c>
      <c r="R19" s="1204" t="s">
        <v>886</v>
      </c>
      <c r="S19" s="1205">
        <f>F19</f>
        <v>100</v>
      </c>
      <c r="T19" s="1204" t="s">
        <v>886</v>
      </c>
      <c r="U19" s="1205">
        <f>H19</f>
        <v>100</v>
      </c>
      <c r="V19" s="1204" t="s">
        <v>886</v>
      </c>
      <c r="W19" s="1205">
        <f>J19</f>
        <v>100</v>
      </c>
      <c r="X19" s="1197"/>
      <c r="Y19" s="3575"/>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75"/>
      <c r="Q20" s="470"/>
      <c r="R20" s="1204"/>
      <c r="S20" s="1205"/>
      <c r="T20" s="1204"/>
      <c r="U20" s="1205"/>
      <c r="V20" s="1204"/>
      <c r="W20" s="1205"/>
      <c r="X20" s="1197"/>
      <c r="Y20" s="3575"/>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75"/>
      <c r="Q21" s="470" t="str">
        <f>B21</f>
        <v>交通便捷度</v>
      </c>
      <c r="R21" s="1204" t="s">
        <v>886</v>
      </c>
      <c r="S21" s="1205">
        <f>F21</f>
        <v>100</v>
      </c>
      <c r="T21" s="1204" t="s">
        <v>886</v>
      </c>
      <c r="U21" s="1205">
        <f>H21</f>
        <v>100</v>
      </c>
      <c r="V21" s="1204" t="s">
        <v>886</v>
      </c>
      <c r="W21" s="1205">
        <f>J21</f>
        <v>100</v>
      </c>
      <c r="X21" s="1197"/>
      <c r="Y21" s="3575"/>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75"/>
      <c r="Q22" s="470"/>
      <c r="R22" s="1204"/>
      <c r="S22" s="1205"/>
      <c r="T22" s="1204"/>
      <c r="U22" s="1205"/>
      <c r="V22" s="1204"/>
      <c r="W22" s="1205"/>
      <c r="X22" s="1197"/>
      <c r="Y22" s="3575"/>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75"/>
      <c r="Q23" s="470" t="str">
        <f t="shared" ref="Q23:Q38" si="8">B23</f>
        <v>区域土地利用方向</v>
      </c>
      <c r="R23" s="1204" t="s">
        <v>886</v>
      </c>
      <c r="S23" s="1205">
        <f>F23</f>
        <v>100</v>
      </c>
      <c r="T23" s="1204" t="s">
        <v>886</v>
      </c>
      <c r="U23" s="1205">
        <f>H23</f>
        <v>100</v>
      </c>
      <c r="V23" s="1204" t="s">
        <v>886</v>
      </c>
      <c r="W23" s="1205">
        <f>J23</f>
        <v>100</v>
      </c>
      <c r="X23" s="1197"/>
      <c r="Y23" s="3575"/>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75"/>
      <c r="Q24" s="470"/>
      <c r="R24" s="1204"/>
      <c r="S24" s="1205"/>
      <c r="T24" s="1204"/>
      <c r="U24" s="1205"/>
      <c r="V24" s="1204"/>
      <c r="W24" s="1205"/>
      <c r="X24" s="1197"/>
      <c r="Y24" s="3575"/>
      <c r="Z24" s="1196"/>
      <c r="AA24" s="1216"/>
      <c r="AB24" s="1216"/>
      <c r="AC24" s="1216"/>
    </row>
    <row r="25" spans="1:29" ht="57">
      <c r="A25" s="1034"/>
      <c r="B25" s="1087" t="s">
        <v>1535</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75"/>
      <c r="Q25" s="470" t="str">
        <f t="shared" si="8"/>
        <v>自然及人文环境状况</v>
      </c>
      <c r="R25" s="1204" t="s">
        <v>886</v>
      </c>
      <c r="S25" s="1205">
        <f>F25</f>
        <v>100</v>
      </c>
      <c r="T25" s="1204" t="s">
        <v>886</v>
      </c>
      <c r="U25" s="1205">
        <f>H25</f>
        <v>100</v>
      </c>
      <c r="V25" s="1204" t="s">
        <v>886</v>
      </c>
      <c r="W25" s="1205">
        <f>J25</f>
        <v>100</v>
      </c>
      <c r="X25" s="1197"/>
      <c r="Y25" s="3575"/>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75"/>
      <c r="Q26" s="470"/>
      <c r="R26" s="1204"/>
      <c r="S26" s="1205"/>
      <c r="T26" s="1204"/>
      <c r="U26" s="1205"/>
      <c r="V26" s="1204"/>
      <c r="W26" s="1205"/>
      <c r="X26" s="1197"/>
      <c r="Y26" s="3575"/>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75"/>
      <c r="Q27" s="1203" t="str">
        <f t="shared" ref="Q27" si="9">B27</f>
        <v>公共配套设施</v>
      </c>
      <c r="R27" s="1199" t="s">
        <v>886</v>
      </c>
      <c r="S27" s="1200">
        <f>F27</f>
        <v>100</v>
      </c>
      <c r="T27" s="1199" t="s">
        <v>886</v>
      </c>
      <c r="U27" s="1200">
        <f>H27</f>
        <v>100</v>
      </c>
      <c r="V27" s="1199" t="s">
        <v>886</v>
      </c>
      <c r="W27" s="1200">
        <f>J27</f>
        <v>100</v>
      </c>
      <c r="X27" s="1197"/>
      <c r="Y27" s="3575"/>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75"/>
      <c r="Q28" s="470"/>
      <c r="R28" s="1204"/>
      <c r="S28" s="1205"/>
      <c r="T28" s="1204"/>
      <c r="U28" s="1205"/>
      <c r="V28" s="1204"/>
      <c r="W28" s="1205"/>
      <c r="X28" s="1197"/>
      <c r="Y28" s="3575"/>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75"/>
      <c r="Q29" s="1203" t="str">
        <f t="shared" si="8"/>
        <v>基础设施水平</v>
      </c>
      <c r="R29" s="1199" t="s">
        <v>886</v>
      </c>
      <c r="S29" s="1200">
        <f>F29</f>
        <v>100</v>
      </c>
      <c r="T29" s="1199" t="s">
        <v>886</v>
      </c>
      <c r="U29" s="1200">
        <f>H29</f>
        <v>100</v>
      </c>
      <c r="V29" s="1199" t="s">
        <v>886</v>
      </c>
      <c r="W29" s="1200">
        <f>J29</f>
        <v>100</v>
      </c>
      <c r="X29" s="1201"/>
      <c r="Y29" s="3575"/>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75"/>
      <c r="Q30" s="1203"/>
      <c r="R30" s="1199"/>
      <c r="S30" s="1200"/>
      <c r="T30" s="1199"/>
      <c r="U30" s="1200"/>
      <c r="V30" s="1199"/>
      <c r="W30" s="1200"/>
      <c r="X30" s="1201"/>
      <c r="Y30" s="3575"/>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75"/>
      <c r="Q31" s="470" t="str">
        <f t="shared" si="8"/>
        <v>临街状况</v>
      </c>
      <c r="R31" s="1204" t="s">
        <v>886</v>
      </c>
      <c r="S31" s="1205">
        <f t="shared" ref="S31:S45" si="10">F31</f>
        <v>100</v>
      </c>
      <c r="T31" s="1204" t="s">
        <v>886</v>
      </c>
      <c r="U31" s="1205">
        <f t="shared" ref="U31:U45" si="11">H31</f>
        <v>100</v>
      </c>
      <c r="V31" s="1204" t="s">
        <v>886</v>
      </c>
      <c r="W31" s="1205">
        <f t="shared" ref="W31:W45" si="12">J31</f>
        <v>100</v>
      </c>
      <c r="X31" s="1197"/>
      <c r="Y31" s="3575"/>
      <c r="Z31" s="1196" t="str">
        <f t="shared" ref="Z31:Z45" si="13">Q31</f>
        <v>临街状况</v>
      </c>
      <c r="AA31" s="1216">
        <f t="shared" si="3"/>
        <v>1</v>
      </c>
      <c r="AB31" s="1216">
        <f t="shared" si="4"/>
        <v>1</v>
      </c>
      <c r="AC31" s="1216">
        <f t="shared" si="5"/>
        <v>1</v>
      </c>
    </row>
    <row r="32" spans="1:29" ht="27">
      <c r="A32" s="1034"/>
      <c r="B32" s="1087" t="s">
        <v>1508</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75"/>
      <c r="Q32" s="470" t="str">
        <f t="shared" si="8"/>
        <v>毗邻道路的类型与等级</v>
      </c>
      <c r="R32" s="1204" t="s">
        <v>886</v>
      </c>
      <c r="S32" s="1205">
        <f t="shared" si="10"/>
        <v>100</v>
      </c>
      <c r="T32" s="1204" t="s">
        <v>886</v>
      </c>
      <c r="U32" s="1205">
        <f t="shared" si="11"/>
        <v>100</v>
      </c>
      <c r="V32" s="1204" t="s">
        <v>886</v>
      </c>
      <c r="W32" s="1205">
        <f t="shared" si="12"/>
        <v>100</v>
      </c>
      <c r="X32" s="1197"/>
      <c r="Y32" s="3575"/>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75"/>
      <c r="Q33" s="470"/>
      <c r="R33" s="1204"/>
      <c r="S33" s="1205"/>
      <c r="T33" s="1204"/>
      <c r="U33" s="1205"/>
      <c r="V33" s="1204"/>
      <c r="W33" s="1205"/>
      <c r="X33" s="1197"/>
      <c r="Y33" s="3575"/>
      <c r="Z33" s="1196"/>
      <c r="AA33" s="1216">
        <v>1</v>
      </c>
      <c r="AB33" s="1216">
        <v>1</v>
      </c>
      <c r="AC33" s="1216">
        <v>1</v>
      </c>
    </row>
    <row r="34" spans="1:29" ht="15">
      <c r="A34" s="1034"/>
      <c r="B34" s="1097" t="s">
        <v>1536</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75"/>
      <c r="Q34" s="470" t="str">
        <f t="shared" si="8"/>
        <v>土地级别</v>
      </c>
      <c r="R34" s="1204" t="s">
        <v>886</v>
      </c>
      <c r="S34" s="1205">
        <f t="shared" si="10"/>
        <v>100</v>
      </c>
      <c r="T34" s="1204" t="s">
        <v>886</v>
      </c>
      <c r="U34" s="1205">
        <f t="shared" si="11"/>
        <v>100</v>
      </c>
      <c r="V34" s="1204" t="s">
        <v>886</v>
      </c>
      <c r="W34" s="1205">
        <f t="shared" si="12"/>
        <v>100</v>
      </c>
      <c r="X34" s="1197"/>
      <c r="Y34" s="3575"/>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75"/>
      <c r="Q35" s="470">
        <f t="shared" si="8"/>
        <v>111</v>
      </c>
      <c r="R35" s="1204" t="s">
        <v>886</v>
      </c>
      <c r="S35" s="1205">
        <f t="shared" si="10"/>
        <v>100</v>
      </c>
      <c r="T35" s="1204" t="s">
        <v>886</v>
      </c>
      <c r="U35" s="1205">
        <f t="shared" si="11"/>
        <v>100</v>
      </c>
      <c r="V35" s="1204" t="s">
        <v>886</v>
      </c>
      <c r="W35" s="1205">
        <f t="shared" si="12"/>
        <v>100</v>
      </c>
      <c r="X35" s="1197"/>
      <c r="Y35" s="3575"/>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23" t="s">
        <v>914</v>
      </c>
      <c r="Q36" s="470">
        <f t="shared" si="8"/>
        <v>111</v>
      </c>
      <c r="R36" s="1204" t="s">
        <v>886</v>
      </c>
      <c r="S36" s="1205">
        <f t="shared" si="10"/>
        <v>100</v>
      </c>
      <c r="T36" s="1204" t="s">
        <v>886</v>
      </c>
      <c r="U36" s="1205">
        <f t="shared" si="11"/>
        <v>100</v>
      </c>
      <c r="V36" s="1204" t="s">
        <v>886</v>
      </c>
      <c r="W36" s="1205">
        <f t="shared" si="12"/>
        <v>100</v>
      </c>
      <c r="X36" s="1197"/>
      <c r="Y36" s="3576" t="s">
        <v>914</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76"/>
      <c r="Q37" s="470">
        <f t="shared" si="8"/>
        <v>111</v>
      </c>
      <c r="R37" s="1206" t="s">
        <v>886</v>
      </c>
      <c r="S37" s="1207">
        <f t="shared" si="10"/>
        <v>100</v>
      </c>
      <c r="T37" s="1206" t="s">
        <v>886</v>
      </c>
      <c r="U37" s="1207">
        <f t="shared" si="11"/>
        <v>100</v>
      </c>
      <c r="V37" s="1206" t="s">
        <v>886</v>
      </c>
      <c r="W37" s="1207">
        <f t="shared" si="12"/>
        <v>100</v>
      </c>
      <c r="X37" s="1208"/>
      <c r="Y37" s="3576"/>
      <c r="Z37" s="1217">
        <f t="shared" si="13"/>
        <v>111</v>
      </c>
      <c r="AA37" s="1216">
        <f t="shared" si="3"/>
        <v>1</v>
      </c>
      <c r="AB37" s="1216">
        <f t="shared" si="4"/>
        <v>1</v>
      </c>
      <c r="AC37" s="1216">
        <f t="shared" si="5"/>
        <v>1</v>
      </c>
    </row>
    <row r="38" spans="1:29" ht="15">
      <c r="A38" s="1032" t="s">
        <v>911</v>
      </c>
      <c r="B38" s="1106" t="s">
        <v>1537</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76"/>
      <c r="Q38" s="470" t="str">
        <f t="shared" si="8"/>
        <v>宗地面积</v>
      </c>
      <c r="R38" s="1204" t="s">
        <v>886</v>
      </c>
      <c r="S38" s="1205" t="e">
        <f t="shared" si="10"/>
        <v>#N/A</v>
      </c>
      <c r="T38" s="1204" t="s">
        <v>886</v>
      </c>
      <c r="U38" s="1205" t="e">
        <f t="shared" si="11"/>
        <v>#N/A</v>
      </c>
      <c r="V38" s="1204" t="s">
        <v>886</v>
      </c>
      <c r="W38" s="1205" t="e">
        <f t="shared" si="12"/>
        <v>#N/A</v>
      </c>
      <c r="X38" s="1197"/>
      <c r="Y38" s="3576"/>
      <c r="Z38" s="1196" t="str">
        <f t="shared" si="13"/>
        <v>宗地面积</v>
      </c>
      <c r="AA38" s="1216" t="e">
        <f t="shared" si="3"/>
        <v>#N/A</v>
      </c>
      <c r="AB38" s="1216" t="e">
        <f t="shared" si="4"/>
        <v>#N/A</v>
      </c>
      <c r="AC38" s="1216" t="e">
        <f t="shared" si="5"/>
        <v>#N/A</v>
      </c>
    </row>
    <row r="39" spans="1:29" ht="15">
      <c r="A39" s="1109"/>
      <c r="B39" s="1051" t="s">
        <v>1538</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76"/>
      <c r="Q39" s="470" t="str">
        <f t="shared" ref="Q39:Q45" si="14">B39</f>
        <v>宗地形状</v>
      </c>
      <c r="R39" s="1204" t="s">
        <v>886</v>
      </c>
      <c r="S39" s="1205">
        <f t="shared" si="10"/>
        <v>100</v>
      </c>
      <c r="T39" s="1204" t="s">
        <v>886</v>
      </c>
      <c r="U39" s="1205">
        <f t="shared" si="11"/>
        <v>100</v>
      </c>
      <c r="V39" s="1204" t="s">
        <v>886</v>
      </c>
      <c r="W39" s="1205">
        <f t="shared" si="12"/>
        <v>100</v>
      </c>
      <c r="X39" s="1197"/>
      <c r="Y39" s="3576"/>
      <c r="Z39" s="1196" t="str">
        <f t="shared" si="13"/>
        <v>宗地形状</v>
      </c>
      <c r="AA39" s="1216">
        <f t="shared" si="3"/>
        <v>1</v>
      </c>
      <c r="AB39" s="1216">
        <f t="shared" si="4"/>
        <v>1</v>
      </c>
      <c r="AC39" s="1216">
        <f t="shared" si="5"/>
        <v>1</v>
      </c>
    </row>
    <row r="40" spans="1:29" ht="15">
      <c r="A40" s="1109"/>
      <c r="B40" s="1051" t="s">
        <v>1539</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76"/>
      <c r="Q40" s="470" t="str">
        <f t="shared" si="14"/>
        <v>临街宽度及深度</v>
      </c>
      <c r="R40" s="1204" t="s">
        <v>886</v>
      </c>
      <c r="S40" s="1205">
        <f t="shared" si="10"/>
        <v>100</v>
      </c>
      <c r="T40" s="1204" t="s">
        <v>886</v>
      </c>
      <c r="U40" s="1205">
        <f t="shared" si="11"/>
        <v>100</v>
      </c>
      <c r="V40" s="1204" t="s">
        <v>886</v>
      </c>
      <c r="W40" s="1205">
        <f t="shared" si="12"/>
        <v>100</v>
      </c>
      <c r="X40" s="1197"/>
      <c r="Y40" s="3576"/>
      <c r="Z40" s="1196" t="str">
        <f t="shared" si="13"/>
        <v>临街宽度及深度</v>
      </c>
      <c r="AA40" s="1216">
        <f t="shared" si="3"/>
        <v>1</v>
      </c>
      <c r="AB40" s="1216">
        <f t="shared" si="4"/>
        <v>1</v>
      </c>
      <c r="AC40" s="1216">
        <f t="shared" si="5"/>
        <v>1</v>
      </c>
    </row>
    <row r="41" spans="1:29" s="1014" customFormat="1" ht="15">
      <c r="A41" s="1111"/>
      <c r="B41" s="1051" t="s">
        <v>1540</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76"/>
      <c r="Q41" s="470" t="str">
        <f t="shared" si="14"/>
        <v>宗地开发程度</v>
      </c>
      <c r="R41" s="1199" t="s">
        <v>886</v>
      </c>
      <c r="S41" s="1200">
        <f t="shared" si="10"/>
        <v>100</v>
      </c>
      <c r="T41" s="1199" t="s">
        <v>886</v>
      </c>
      <c r="U41" s="1200">
        <f t="shared" si="11"/>
        <v>100</v>
      </c>
      <c r="V41" s="1199" t="s">
        <v>886</v>
      </c>
      <c r="W41" s="1200">
        <f t="shared" si="12"/>
        <v>100</v>
      </c>
      <c r="X41" s="1201"/>
      <c r="Y41" s="3576"/>
      <c r="Z41" s="1215" t="str">
        <f t="shared" si="13"/>
        <v>宗地开发程度</v>
      </c>
      <c r="AA41" s="1214">
        <f t="shared" si="3"/>
        <v>1</v>
      </c>
      <c r="AB41" s="1214">
        <f t="shared" si="4"/>
        <v>1</v>
      </c>
      <c r="AC41" s="1214">
        <f t="shared" si="5"/>
        <v>1</v>
      </c>
    </row>
    <row r="42" spans="1:29" ht="15">
      <c r="A42" s="1109"/>
      <c r="B42" s="1051" t="s">
        <v>1541</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76" t="s">
        <v>914</v>
      </c>
      <c r="Q42" s="470" t="str">
        <f t="shared" si="14"/>
        <v>工程地质条件</v>
      </c>
      <c r="R42" s="1204" t="s">
        <v>886</v>
      </c>
      <c r="S42" s="1205">
        <f t="shared" si="10"/>
        <v>100</v>
      </c>
      <c r="T42" s="1204" t="s">
        <v>886</v>
      </c>
      <c r="U42" s="1205">
        <f t="shared" si="11"/>
        <v>100</v>
      </c>
      <c r="V42" s="1204" t="s">
        <v>886</v>
      </c>
      <c r="W42" s="1205">
        <f t="shared" si="12"/>
        <v>100</v>
      </c>
      <c r="X42" s="1197"/>
      <c r="Y42" s="3576" t="s">
        <v>914</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76"/>
      <c r="Q43" s="470">
        <f t="shared" si="14"/>
        <v>111</v>
      </c>
      <c r="R43" s="1204" t="s">
        <v>886</v>
      </c>
      <c r="S43" s="1205">
        <f t="shared" si="10"/>
        <v>100</v>
      </c>
      <c r="T43" s="1204" t="s">
        <v>886</v>
      </c>
      <c r="U43" s="1205">
        <f t="shared" si="11"/>
        <v>100</v>
      </c>
      <c r="V43" s="1204" t="s">
        <v>886</v>
      </c>
      <c r="W43" s="1205">
        <f t="shared" si="12"/>
        <v>100</v>
      </c>
      <c r="X43" s="1197"/>
      <c r="Y43" s="3576"/>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76"/>
      <c r="Q44" s="470">
        <f t="shared" si="14"/>
        <v>111</v>
      </c>
      <c r="R44" s="1204" t="s">
        <v>886</v>
      </c>
      <c r="S44" s="1205">
        <f t="shared" si="10"/>
        <v>100</v>
      </c>
      <c r="T44" s="1204" t="s">
        <v>886</v>
      </c>
      <c r="U44" s="1205">
        <f t="shared" si="11"/>
        <v>100</v>
      </c>
      <c r="V44" s="1204" t="s">
        <v>886</v>
      </c>
      <c r="W44" s="1205">
        <f t="shared" si="12"/>
        <v>100</v>
      </c>
      <c r="X44" s="1197"/>
      <c r="Y44" s="3576"/>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76"/>
      <c r="Q45" s="470">
        <f t="shared" si="14"/>
        <v>111</v>
      </c>
      <c r="R45" s="1206" t="s">
        <v>886</v>
      </c>
      <c r="S45" s="1207">
        <f t="shared" si="10"/>
        <v>100</v>
      </c>
      <c r="T45" s="1206" t="s">
        <v>886</v>
      </c>
      <c r="U45" s="1207">
        <f t="shared" si="11"/>
        <v>100</v>
      </c>
      <c r="V45" s="1206" t="s">
        <v>886</v>
      </c>
      <c r="W45" s="1207">
        <f t="shared" si="12"/>
        <v>100</v>
      </c>
      <c r="X45" s="1208"/>
      <c r="Y45" s="3576"/>
      <c r="Z45" s="1217">
        <f t="shared" si="13"/>
        <v>111</v>
      </c>
      <c r="AA45" s="1216">
        <f t="shared" si="3"/>
        <v>1</v>
      </c>
      <c r="AB45" s="1216">
        <f t="shared" si="4"/>
        <v>1</v>
      </c>
      <c r="AC45" s="1216">
        <f t="shared" si="5"/>
        <v>1</v>
      </c>
    </row>
    <row r="46" spans="1:29" ht="15">
      <c r="A46" s="1117" t="s">
        <v>1524</v>
      </c>
      <c r="B46" s="1118" t="s">
        <v>1542</v>
      </c>
      <c r="C46" s="1119" t="s">
        <v>121</v>
      </c>
      <c r="D46" s="1120"/>
      <c r="E46" s="1121"/>
      <c r="F46" s="1122"/>
      <c r="G46" s="1123"/>
      <c r="H46" s="1124"/>
      <c r="I46" s="1121"/>
      <c r="J46" s="1124"/>
      <c r="K46" s="1187"/>
      <c r="L46" s="1188"/>
      <c r="N46" s="1160"/>
      <c r="P46" s="3559" t="str">
        <f>A46</f>
        <v>成交单价</v>
      </c>
      <c r="Q46" s="3559"/>
      <c r="R46" s="3558">
        <f>E46</f>
        <v>0</v>
      </c>
      <c r="S46" s="3558"/>
      <c r="T46" s="3558">
        <f>G46</f>
        <v>0</v>
      </c>
      <c r="U46" s="3558"/>
      <c r="V46" s="3558">
        <f>I46</f>
        <v>0</v>
      </c>
      <c r="W46" s="3558"/>
      <c r="X46" s="1209"/>
      <c r="Y46" s="1218"/>
      <c r="Z46" s="1209"/>
      <c r="AA46" s="1209"/>
      <c r="AB46" s="1209"/>
      <c r="AC46" s="1209"/>
    </row>
    <row r="47" spans="1:29" ht="15">
      <c r="A47" s="1125" t="s">
        <v>930</v>
      </c>
      <c r="B47" s="1126"/>
      <c r="C47" s="1127" t="e">
        <f>R48</f>
        <v>#DIV/0!</v>
      </c>
      <c r="D47" s="790" t="s">
        <v>931</v>
      </c>
      <c r="E47" s="1127" t="e">
        <f>R47</f>
        <v>#DIV/0!</v>
      </c>
      <c r="F47" s="791"/>
      <c r="G47" s="1128" t="e">
        <f>T47</f>
        <v>#DIV/0!</v>
      </c>
      <c r="H47" s="791"/>
      <c r="I47" s="1127" t="e">
        <f>V47</f>
        <v>#DIV/0!</v>
      </c>
      <c r="J47" s="791"/>
      <c r="K47" s="869">
        <f>F47+H47+J47</f>
        <v>0</v>
      </c>
      <c r="L47" s="1188"/>
      <c r="P47" s="3559" t="str">
        <f>A47</f>
        <v>比较价值（元/平方米）</v>
      </c>
      <c r="Q47" s="3559"/>
      <c r="R47" s="3666" t="e">
        <f>ROUND(PRODUCT(R46,AA7:AA45),0)</f>
        <v>#DIV/0!</v>
      </c>
      <c r="S47" s="3666"/>
      <c r="T47" s="3666" t="e">
        <f>ROUND(PRODUCT(T46,AB7:AB45),0)</f>
        <v>#DIV/0!</v>
      </c>
      <c r="U47" s="3666"/>
      <c r="V47" s="3666" t="e">
        <f>ROUND(PRODUCT(V46,AC7:AC45),0)</f>
        <v>#DIV/0!</v>
      </c>
      <c r="W47" s="3666"/>
      <c r="X47" s="1209"/>
      <c r="Y47" s="1209"/>
      <c r="Z47" s="1209"/>
      <c r="AA47" s="1209"/>
      <c r="AB47" s="1209"/>
      <c r="AC47" s="1209"/>
    </row>
    <row r="48" spans="1:29" ht="15">
      <c r="A48" s="1129" t="s">
        <v>932</v>
      </c>
      <c r="B48" s="1130"/>
      <c r="C48" s="1131" t="e">
        <f>R48</f>
        <v>#DIV/0!</v>
      </c>
      <c r="D48" s="1131"/>
      <c r="E48" s="1131"/>
      <c r="F48" s="1131"/>
      <c r="G48" s="1131"/>
      <c r="H48" s="1131"/>
      <c r="I48" s="1131"/>
      <c r="J48" s="1131"/>
      <c r="K48" s="1189"/>
      <c r="L48" s="1188"/>
      <c r="P48" s="3563" t="str">
        <f>A48</f>
        <v>估价对象XX用房的比较价值（楼面单价，元/平方米）</v>
      </c>
      <c r="Q48" s="3564"/>
      <c r="R48" s="3667" t="e">
        <f>ROUND(IF(D47="简单平均",AVERAGE(R47:W47),R47*F47+T47*H47+V47*J47),0)</f>
        <v>#DIV/0!</v>
      </c>
      <c r="S48" s="3667"/>
      <c r="T48" s="3667"/>
      <c r="U48" s="3667"/>
      <c r="V48" s="3667"/>
      <c r="W48" s="3667"/>
      <c r="X48" s="1209"/>
      <c r="Y48" s="1209"/>
      <c r="Z48" s="1209"/>
      <c r="AA48" s="1209"/>
      <c r="AB48" s="1209"/>
      <c r="AC48" s="1209"/>
    </row>
    <row r="49" spans="1:14">
      <c r="G49" s="1132"/>
    </row>
    <row r="51" spans="1:14" ht="13.5" customHeight="1">
      <c r="C51" s="797" t="s">
        <v>933</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934</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935</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1543</v>
      </c>
      <c r="B55" s="1137" t="s">
        <v>1544</v>
      </c>
      <c r="C55" s="1138" t="s">
        <v>1545</v>
      </c>
      <c r="D55" s="1139" t="s">
        <v>1546</v>
      </c>
      <c r="E55" s="1140" t="s">
        <v>1547</v>
      </c>
      <c r="F55" s="1141" t="s">
        <v>1548</v>
      </c>
      <c r="G55" s="1142" t="s">
        <v>1549</v>
      </c>
      <c r="H55" s="1142" t="str">
        <f>项目基本情况!G8</f>
        <v>XX</v>
      </c>
      <c r="I55" s="1193" t="s">
        <v>1550</v>
      </c>
      <c r="J55" s="1194"/>
      <c r="K55" s="1195"/>
    </row>
    <row r="56" spans="1:14" s="1018" customFormat="1">
      <c r="A56" s="1143" t="s">
        <v>1551</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1552</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1553</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1554</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1555</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1556</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1557</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1558</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1559</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1560</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1561</v>
      </c>
      <c r="B66" s="1220" t="s">
        <v>1505</v>
      </c>
      <c r="C66" s="1220" t="s">
        <v>1505</v>
      </c>
      <c r="D66" s="1220" t="s">
        <v>1505</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2022-11-1</v>
      </c>
      <c r="D68" s="1226">
        <f>EDATE(C68,-3)</f>
        <v>44774</v>
      </c>
      <c r="E68" s="1226">
        <f t="shared" ref="E68:O68" si="18">EDATE(D68,-3)</f>
        <v>44682</v>
      </c>
      <c r="F68" s="1226">
        <f t="shared" si="18"/>
        <v>44593</v>
      </c>
      <c r="G68" s="1226">
        <f t="shared" si="18"/>
        <v>44501</v>
      </c>
      <c r="H68" s="1226">
        <f t="shared" si="18"/>
        <v>44409</v>
      </c>
      <c r="I68" s="1226">
        <f t="shared" si="18"/>
        <v>44317</v>
      </c>
      <c r="J68" s="1226">
        <f t="shared" si="18"/>
        <v>44228</v>
      </c>
      <c r="K68" s="1226">
        <f t="shared" si="18"/>
        <v>44136</v>
      </c>
      <c r="L68" s="1226">
        <f t="shared" si="18"/>
        <v>44044</v>
      </c>
      <c r="M68" s="1226">
        <f t="shared" si="18"/>
        <v>43952</v>
      </c>
      <c r="N68" s="1226">
        <f t="shared" si="18"/>
        <v>43862</v>
      </c>
      <c r="O68" s="1226">
        <f t="shared" si="18"/>
        <v>43770</v>
      </c>
    </row>
    <row r="69" spans="1:17" ht="21">
      <c r="A69" s="1227" t="s">
        <v>936</v>
      </c>
      <c r="B69" s="1209"/>
      <c r="C69" s="1228"/>
      <c r="D69" s="1228"/>
      <c r="E69" s="1228"/>
      <c r="F69" s="1228"/>
      <c r="G69" s="1228"/>
      <c r="H69" s="1228"/>
      <c r="I69" s="1279"/>
      <c r="J69" s="1279"/>
      <c r="K69" s="1280"/>
      <c r="L69" s="1281"/>
      <c r="M69" s="1279"/>
      <c r="N69" s="1279"/>
      <c r="O69" s="1279"/>
      <c r="P69" s="1282"/>
      <c r="Q69" s="1286"/>
    </row>
    <row r="70" spans="1:17" s="1020" customFormat="1" ht="15">
      <c r="A70" s="1229" t="s">
        <v>1562</v>
      </c>
      <c r="B70" s="1230"/>
      <c r="C70" s="1231" t="str">
        <f>YEAR(C68)&amp;"-"&amp;ROUNDUP(MONTH(C68)/3,0)</f>
        <v>2022-4</v>
      </c>
      <c r="D70" s="1231" t="str">
        <f>YEAR(D68)&amp;"-"&amp;ROUNDUP(MONTH(D68)/3,0)</f>
        <v>2022-3</v>
      </c>
      <c r="E70" s="1231" t="str">
        <f t="shared" ref="E70:O70" si="19">YEAR(E68)&amp;"-"&amp;ROUNDUP(MONTH(E68)/3,0)</f>
        <v>2022-2</v>
      </c>
      <c r="F70" s="1231" t="str">
        <f t="shared" si="19"/>
        <v>2022-1</v>
      </c>
      <c r="G70" s="1231" t="str">
        <f t="shared" si="19"/>
        <v>2021-4</v>
      </c>
      <c r="H70" s="1231" t="str">
        <f t="shared" si="19"/>
        <v>2021-3</v>
      </c>
      <c r="I70" s="1231" t="str">
        <f t="shared" si="19"/>
        <v>2021-2</v>
      </c>
      <c r="J70" s="1231" t="str">
        <f t="shared" si="19"/>
        <v>2021-1</v>
      </c>
      <c r="K70" s="1231" t="str">
        <f t="shared" si="19"/>
        <v>2020-4</v>
      </c>
      <c r="L70" s="1231" t="str">
        <f t="shared" si="19"/>
        <v>2020-3</v>
      </c>
      <c r="M70" s="1231" t="str">
        <f t="shared" si="19"/>
        <v>2020-2</v>
      </c>
      <c r="N70" s="1231" t="str">
        <f t="shared" si="19"/>
        <v>2020-1</v>
      </c>
      <c r="O70" s="1231" t="str">
        <f t="shared" si="19"/>
        <v>2019-4</v>
      </c>
      <c r="P70" s="1283"/>
    </row>
    <row r="71" spans="1:17" s="1014" customFormat="1" ht="29.25" customHeight="1">
      <c r="A71" s="1232" t="s">
        <v>1563</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937</v>
      </c>
      <c r="B72" s="1236"/>
      <c r="C72" s="1237"/>
      <c r="D72" s="1238"/>
      <c r="E72" s="1238"/>
      <c r="F72" s="1238"/>
      <c r="G72" s="1238"/>
      <c r="H72" s="1238"/>
      <c r="I72" s="1238"/>
      <c r="J72" s="1238"/>
      <c r="K72" s="1238"/>
      <c r="L72" s="1238"/>
      <c r="M72" s="1287"/>
      <c r="N72" s="1238"/>
      <c r="O72" s="1288"/>
      <c r="P72" s="1286"/>
      <c r="Q72" s="1286"/>
    </row>
    <row r="73" spans="1:17" s="1014" customFormat="1" ht="15">
      <c r="A73" s="1239" t="s">
        <v>887</v>
      </c>
      <c r="B73" s="1240"/>
      <c r="C73" s="1241" t="s">
        <v>888</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938</v>
      </c>
      <c r="B75" s="1245" t="s">
        <v>892</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895</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896</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897</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1535</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946</v>
      </c>
      <c r="D102" s="1250" t="s">
        <v>947</v>
      </c>
      <c r="E102" s="1250" t="s">
        <v>948</v>
      </c>
      <c r="F102" s="1250" t="s">
        <v>949</v>
      </c>
      <c r="G102" s="1250" t="s">
        <v>950</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1564</v>
      </c>
      <c r="D104" s="1250" t="s">
        <v>1565</v>
      </c>
      <c r="E104" s="1250" t="s">
        <v>1566</v>
      </c>
      <c r="F104" s="1250" t="s">
        <v>1567</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1508</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1536</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911</v>
      </c>
      <c r="B116" s="1245" t="s">
        <v>1537</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1538</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1539</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1540</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1541</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sheetPr codeName="Sheet8">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16" customWidth="1"/>
    <col min="2" max="3" width="12.5" style="3216" customWidth="1"/>
    <col min="4" max="6" width="8.125" style="3216"/>
    <col min="7" max="7" width="17.5" style="3216" customWidth="1"/>
    <col min="8" max="16384" width="8.125" style="3216"/>
  </cols>
  <sheetData>
    <row r="1" spans="1:7" ht="23.25">
      <c r="A1" s="3263" t="s">
        <v>78</v>
      </c>
      <c r="B1" s="3264"/>
      <c r="C1" s="3264"/>
      <c r="D1" s="3264"/>
      <c r="E1" s="3264"/>
      <c r="F1" s="3264"/>
      <c r="G1" s="3264"/>
    </row>
    <row r="2" spans="1:7">
      <c r="A2" s="3265"/>
    </row>
    <row r="3" spans="1:7" s="3261" customFormat="1" ht="18">
      <c r="A3" s="3266" t="str">
        <f>IF(ISNUMBER(FIND("公司",项目基本情况!B4)),项目基本情况!B4&amp;"：",项目基本情况!B4&amp;"  先生/女士：")</f>
        <v>xx  先生/女士：</v>
      </c>
      <c r="B3" s="3267"/>
      <c r="C3" s="3267"/>
      <c r="D3" s="3267"/>
      <c r="E3" s="3267"/>
      <c r="F3" s="3267"/>
      <c r="G3" s="3267"/>
    </row>
    <row r="4" spans="1:7" ht="18">
      <c r="A4" s="3268" t="str">
        <f>IF(ISNUMBER(FIND("公司",A3)),"受贵公司委托，我公司对"&amp;项目基本情况!I1&amp;"进行了预评估。","受您的委托，我公司对"&amp;项目基本情况!I1&amp;"进行了预评估。")</f>
        <v>受您的委托，我公司对北京市房地产进行了预评估。</v>
      </c>
      <c r="B4" s="3268"/>
      <c r="C4" s="3268"/>
      <c r="D4" s="3268"/>
      <c r="E4" s="3268"/>
      <c r="F4" s="3268"/>
      <c r="G4" s="3268"/>
    </row>
    <row r="5" spans="1:7" ht="18.75">
      <c r="A5" s="3269" t="s">
        <v>79</v>
      </c>
    </row>
    <row r="6" spans="1:7" s="3262" customFormat="1" ht="54">
      <c r="A6" s="326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268"/>
      <c r="C6" s="3268"/>
      <c r="D6" s="3268"/>
      <c r="E6" s="3268"/>
      <c r="F6" s="3268"/>
      <c r="G6" s="3268"/>
    </row>
    <row r="7" spans="1:7" ht="18.75">
      <c r="A7" s="3269" t="s">
        <v>80</v>
      </c>
    </row>
    <row r="8" spans="1:7" ht="18">
      <c r="A8" s="3270" t="str">
        <f>IF(项目基本情况!D4="抵押",IF(项目基本情况!B4=项目基本情况!B5,定义!C51,定义!B51),定义!D51)</f>
        <v>为估价委托人了解估价对象房地产市场价值提供参考依据。</v>
      </c>
      <c r="B8" s="3271"/>
      <c r="C8" s="3268"/>
      <c r="D8" s="3268"/>
      <c r="E8" s="3268"/>
      <c r="F8" s="3268"/>
      <c r="G8" s="3268"/>
    </row>
    <row r="9" spans="1:7" ht="18.75">
      <c r="A9" s="3267" t="s">
        <v>81</v>
      </c>
      <c r="B9" s="3272"/>
    </row>
    <row r="10" spans="1:7" ht="18">
      <c r="A10" s="3273" t="str">
        <f>TEXT(项目基本情况!D2,"yyyy年m月d日;;")&amp;IF(项目基本情况!B2=项目基本情况!D2,"（评估专业人员实地查勘之日）","")</f>
        <v>2022年11月8日</v>
      </c>
      <c r="B10" s="3274"/>
      <c r="C10" s="3274"/>
      <c r="D10" s="3274"/>
      <c r="E10" s="3274"/>
      <c r="F10" s="3274"/>
      <c r="G10" s="3274"/>
    </row>
    <row r="11" spans="1:7" ht="18.75">
      <c r="A11" s="3267" t="s">
        <v>82</v>
      </c>
    </row>
    <row r="12" spans="1:7" ht="75">
      <c r="A12" s="3268" t="s">
        <v>83</v>
      </c>
      <c r="B12" s="3268"/>
      <c r="C12" s="3268"/>
      <c r="D12" s="3268"/>
      <c r="E12" s="3268"/>
      <c r="F12" s="3268"/>
      <c r="G12" s="3268"/>
    </row>
    <row r="13" spans="1:7" ht="36">
      <c r="A13" s="326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268"/>
      <c r="C13" s="3268"/>
      <c r="D13" s="3268"/>
      <c r="E13" s="3268"/>
      <c r="F13" s="3268"/>
      <c r="G13" s="3268"/>
    </row>
    <row r="14" spans="1:7" ht="72">
      <c r="A14" s="327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75"/>
      <c r="C14" s="3275"/>
      <c r="D14" s="3275"/>
      <c r="E14" s="3275"/>
      <c r="F14" s="3275"/>
      <c r="G14" s="3275"/>
    </row>
    <row r="15" spans="1:7" ht="56.25">
      <c r="A15" s="3268" t="s">
        <v>84</v>
      </c>
      <c r="B15" s="3268"/>
      <c r="C15" s="3268"/>
      <c r="D15" s="3268"/>
      <c r="E15" s="3268"/>
      <c r="F15" s="3268"/>
      <c r="G15" s="3268"/>
    </row>
    <row r="16" spans="1:7" ht="54">
      <c r="A16" s="327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5"/>
      <c r="C16" s="3275"/>
      <c r="D16" s="3275"/>
      <c r="E16" s="3275"/>
      <c r="F16" s="3275"/>
      <c r="G16" s="3275"/>
    </row>
    <row r="17" spans="1:1" ht="18.75">
      <c r="A17" s="3267" t="s">
        <v>85</v>
      </c>
    </row>
    <row r="18" spans="1:1" ht="18">
      <c r="A18" s="322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1531</v>
      </c>
      <c r="B1" s="688"/>
      <c r="C1" s="689" t="s">
        <v>1512</v>
      </c>
      <c r="D1" s="690"/>
      <c r="E1" s="690"/>
      <c r="F1" s="691" t="s">
        <v>869</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870</v>
      </c>
      <c r="B2" s="693" t="e">
        <f>F61</f>
        <v>#DIV/0!</v>
      </c>
      <c r="C2" s="694" t="s">
        <v>1533</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ROUND(B2/'数据-取费表'!B5,0)</f>
        <v>#DIV/0!</v>
      </c>
      <c r="C3" s="694" t="s">
        <v>1206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58" t="s">
        <v>874</v>
      </c>
      <c r="D4" s="3659"/>
      <c r="E4" s="3660" t="s">
        <v>875</v>
      </c>
      <c r="F4" s="3661"/>
      <c r="G4" s="3658" t="s">
        <v>876</v>
      </c>
      <c r="H4" s="3659"/>
      <c r="I4" s="3658" t="s">
        <v>877</v>
      </c>
      <c r="J4" s="3659"/>
      <c r="K4" s="841" t="s">
        <v>878</v>
      </c>
      <c r="L4" s="842"/>
      <c r="M4" s="843"/>
      <c r="N4" s="843"/>
      <c r="O4" s="843"/>
      <c r="P4" s="3627" t="s">
        <v>879</v>
      </c>
      <c r="Q4" s="3628"/>
      <c r="R4" s="3633" t="s">
        <v>875</v>
      </c>
      <c r="S4" s="3634"/>
      <c r="T4" s="3633" t="s">
        <v>876</v>
      </c>
      <c r="U4" s="3634"/>
      <c r="V4" s="3639" t="s">
        <v>877</v>
      </c>
      <c r="W4" s="3639"/>
      <c r="X4" s="881"/>
      <c r="Y4" s="3633" t="s">
        <v>879</v>
      </c>
      <c r="Z4" s="3634"/>
      <c r="AA4" s="3624" t="s">
        <v>875</v>
      </c>
      <c r="AB4" s="3625" t="s">
        <v>876</v>
      </c>
      <c r="AC4" s="3624" t="s">
        <v>877</v>
      </c>
    </row>
    <row r="5" spans="1:29" ht="15">
      <c r="A5" s="701"/>
      <c r="B5" s="702"/>
      <c r="C5" s="3662" t="s">
        <v>880</v>
      </c>
      <c r="D5" s="3663"/>
      <c r="E5" s="3664" t="s">
        <v>1493</v>
      </c>
      <c r="F5" s="3665"/>
      <c r="G5" s="3662" t="s">
        <v>1494</v>
      </c>
      <c r="H5" s="3663"/>
      <c r="I5" s="3662" t="s">
        <v>1495</v>
      </c>
      <c r="J5" s="3663"/>
      <c r="K5" s="841"/>
      <c r="L5" s="842"/>
      <c r="M5" s="843"/>
      <c r="N5" s="843"/>
      <c r="O5" s="843"/>
      <c r="P5" s="3629"/>
      <c r="Q5" s="3630"/>
      <c r="R5" s="3635"/>
      <c r="S5" s="3636"/>
      <c r="T5" s="3635"/>
      <c r="U5" s="3636"/>
      <c r="V5" s="3639"/>
      <c r="W5" s="3639"/>
      <c r="X5" s="881"/>
      <c r="Y5" s="3635"/>
      <c r="Z5" s="3636"/>
      <c r="AA5" s="3625"/>
      <c r="AB5" s="3625"/>
      <c r="AC5" s="3625"/>
    </row>
    <row r="6" spans="1:29" ht="15">
      <c r="A6" s="703"/>
      <c r="B6" s="704"/>
      <c r="C6" s="3653" t="s">
        <v>882</v>
      </c>
      <c r="D6" s="3654"/>
      <c r="E6" s="3655" t="s">
        <v>882</v>
      </c>
      <c r="F6" s="3656"/>
      <c r="G6" s="3653" t="s">
        <v>882</v>
      </c>
      <c r="H6" s="3654"/>
      <c r="I6" s="3653" t="s">
        <v>882</v>
      </c>
      <c r="J6" s="3654"/>
      <c r="K6" s="841" t="s">
        <v>883</v>
      </c>
      <c r="L6" s="842"/>
      <c r="M6" s="843"/>
      <c r="N6" s="843"/>
      <c r="O6" s="843"/>
      <c r="P6" s="3631"/>
      <c r="Q6" s="3632"/>
      <c r="R6" s="3635"/>
      <c r="S6" s="3636"/>
      <c r="T6" s="3637"/>
      <c r="U6" s="3638"/>
      <c r="V6" s="3639"/>
      <c r="W6" s="3639"/>
      <c r="X6" s="881"/>
      <c r="Y6" s="3637"/>
      <c r="Z6" s="3638"/>
      <c r="AA6" s="3626"/>
      <c r="AB6" s="3626"/>
      <c r="AC6" s="3626"/>
    </row>
    <row r="7" spans="1:29" s="678" customFormat="1" ht="15">
      <c r="A7" s="705" t="s">
        <v>884</v>
      </c>
      <c r="B7" s="706"/>
      <c r="C7" s="707">
        <f>'数据-取费表'!B2</f>
        <v>44873</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45" t="s">
        <v>885</v>
      </c>
      <c r="Q7" s="3657"/>
      <c r="R7" s="882" t="s">
        <v>886</v>
      </c>
      <c r="S7" s="883">
        <f t="shared" ref="S7:S15" si="0">F7</f>
        <v>0</v>
      </c>
      <c r="T7" s="882" t="s">
        <v>886</v>
      </c>
      <c r="U7" s="883">
        <f t="shared" ref="U7:U15" si="1">H7</f>
        <v>0</v>
      </c>
      <c r="V7" s="882" t="s">
        <v>886</v>
      </c>
      <c r="W7" s="883">
        <f t="shared" ref="W7:W15" si="2">J7</f>
        <v>0</v>
      </c>
      <c r="X7" s="884"/>
      <c r="Y7" s="3645" t="s">
        <v>885</v>
      </c>
      <c r="Z7" s="3646"/>
      <c r="AA7" s="895" t="e">
        <f>D7/F7</f>
        <v>#DIV/0!</v>
      </c>
      <c r="AB7" s="895" t="e">
        <f>D7/H7</f>
        <v>#DIV/0!</v>
      </c>
      <c r="AC7" s="895" t="e">
        <f>D7/J7</f>
        <v>#DIV/0!</v>
      </c>
    </row>
    <row r="8" spans="1:29" s="678" customFormat="1" ht="15">
      <c r="A8" s="705" t="s">
        <v>887</v>
      </c>
      <c r="B8" s="706"/>
      <c r="C8" s="712" t="s">
        <v>888</v>
      </c>
      <c r="D8" s="708">
        <v>100</v>
      </c>
      <c r="E8" s="712"/>
      <c r="F8" s="710">
        <f>SUMIF(68:68,E8,69:69)-SUMIF(68:68,C8,69:69)+100</f>
        <v>0</v>
      </c>
      <c r="G8" s="712"/>
      <c r="H8" s="708">
        <f>SUMIF(68:68,G8,69:69)-SUMIF(68:68,C8,69:69)+100</f>
        <v>0</v>
      </c>
      <c r="I8" s="712"/>
      <c r="J8" s="708">
        <f>SUMIF(68:68,I8,69:69)-SUMIF(68:68,C8,69:69)+100</f>
        <v>0</v>
      </c>
      <c r="K8" s="844"/>
      <c r="L8" s="845"/>
      <c r="M8" s="846"/>
      <c r="N8" s="846"/>
      <c r="O8" s="846"/>
      <c r="P8" s="3645" t="s">
        <v>890</v>
      </c>
      <c r="Q8" s="3646"/>
      <c r="R8" s="882" t="s">
        <v>886</v>
      </c>
      <c r="S8" s="883">
        <f t="shared" si="0"/>
        <v>0</v>
      </c>
      <c r="T8" s="882" t="s">
        <v>886</v>
      </c>
      <c r="U8" s="883">
        <f t="shared" si="1"/>
        <v>0</v>
      </c>
      <c r="V8" s="882" t="s">
        <v>886</v>
      </c>
      <c r="W8" s="883">
        <f t="shared" si="2"/>
        <v>0</v>
      </c>
      <c r="X8" s="884"/>
      <c r="Y8" s="3645" t="s">
        <v>890</v>
      </c>
      <c r="Z8" s="3646"/>
      <c r="AA8" s="895" t="e">
        <f t="shared" ref="AA8:AA40" si="3">D8/F8</f>
        <v>#DIV/0!</v>
      </c>
      <c r="AB8" s="895" t="e">
        <f t="shared" ref="AB8:AB40" si="4">D8/H8</f>
        <v>#DIV/0!</v>
      </c>
      <c r="AC8" s="895" t="e">
        <f t="shared" ref="AC8:AC40" si="5">D8/J8</f>
        <v>#DIV/0!</v>
      </c>
    </row>
    <row r="9" spans="1:29" s="678" customFormat="1">
      <c r="A9" s="713" t="s">
        <v>891</v>
      </c>
      <c r="B9" s="714" t="s">
        <v>892</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40" t="s">
        <v>893</v>
      </c>
      <c r="Q9" s="885" t="str">
        <f t="shared" ref="Q9:Q15" si="6">B9</f>
        <v>用途</v>
      </c>
      <c r="R9" s="882" t="s">
        <v>886</v>
      </c>
      <c r="S9" s="883">
        <f t="shared" si="0"/>
        <v>100</v>
      </c>
      <c r="T9" s="882" t="s">
        <v>886</v>
      </c>
      <c r="U9" s="883">
        <f t="shared" si="1"/>
        <v>100</v>
      </c>
      <c r="V9" s="882" t="s">
        <v>886</v>
      </c>
      <c r="W9" s="883">
        <f t="shared" si="2"/>
        <v>100</v>
      </c>
      <c r="X9" s="884"/>
      <c r="Y9" s="3652" t="s">
        <v>894</v>
      </c>
      <c r="Z9" s="896" t="str">
        <f t="shared" ref="Z9:Z15" si="7">Q9</f>
        <v>用途</v>
      </c>
      <c r="AA9" s="895">
        <f t="shared" si="3"/>
        <v>1</v>
      </c>
      <c r="AB9" s="895">
        <f t="shared" si="4"/>
        <v>1</v>
      </c>
      <c r="AC9" s="895">
        <f t="shared" si="5"/>
        <v>1</v>
      </c>
    </row>
    <row r="10" spans="1:29" s="679" customFormat="1" ht="27">
      <c r="A10" s="717"/>
      <c r="B10" s="718" t="s">
        <v>895</v>
      </c>
      <c r="C10" s="719"/>
      <c r="D10" s="720">
        <v>100</v>
      </c>
      <c r="E10" s="719"/>
      <c r="F10" s="720">
        <f>ROUND(100/'数据-取费表'!B14,0)</f>
        <v>134</v>
      </c>
      <c r="G10" s="719"/>
      <c r="H10" s="720">
        <f>ROUND(100/'数据-取费表'!B14,0)</f>
        <v>134</v>
      </c>
      <c r="I10" s="719"/>
      <c r="J10" s="720">
        <f>ROUND(100/'数据-取费表'!B14,0)</f>
        <v>134</v>
      </c>
      <c r="K10" s="849"/>
      <c r="L10" s="850"/>
      <c r="M10" s="851"/>
      <c r="N10" s="851"/>
      <c r="O10" s="852"/>
      <c r="P10" s="3640"/>
      <c r="Q10" s="885" t="str">
        <f t="shared" si="6"/>
        <v>土地使用年限（年）</v>
      </c>
      <c r="R10" s="882" t="s">
        <v>886</v>
      </c>
      <c r="S10" s="883">
        <f t="shared" si="0"/>
        <v>134</v>
      </c>
      <c r="T10" s="882" t="s">
        <v>886</v>
      </c>
      <c r="U10" s="883">
        <f t="shared" si="1"/>
        <v>134</v>
      </c>
      <c r="V10" s="882" t="s">
        <v>886</v>
      </c>
      <c r="W10" s="883">
        <f t="shared" si="2"/>
        <v>134</v>
      </c>
      <c r="X10" s="884"/>
      <c r="Y10" s="3652"/>
      <c r="Z10" s="896" t="str">
        <f t="shared" si="7"/>
        <v>土地使用年限（年）</v>
      </c>
      <c r="AA10" s="895">
        <f t="shared" si="3"/>
        <v>0.74626865671641796</v>
      </c>
      <c r="AB10" s="895">
        <f t="shared" si="4"/>
        <v>0.74626865671641796</v>
      </c>
      <c r="AC10" s="895">
        <f t="shared" si="5"/>
        <v>0.74626865671641796</v>
      </c>
    </row>
    <row r="11" spans="1:29" ht="15">
      <c r="A11" s="721"/>
      <c r="B11" s="718" t="s">
        <v>896</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40"/>
      <c r="Q11" s="885" t="str">
        <f t="shared" si="6"/>
        <v>容积率</v>
      </c>
      <c r="R11" s="882" t="s">
        <v>886</v>
      </c>
      <c r="S11" s="883" t="e">
        <f t="shared" si="0"/>
        <v>#N/A</v>
      </c>
      <c r="T11" s="882" t="s">
        <v>886</v>
      </c>
      <c r="U11" s="883" t="e">
        <f t="shared" si="1"/>
        <v>#N/A</v>
      </c>
      <c r="V11" s="882" t="s">
        <v>886</v>
      </c>
      <c r="W11" s="883" t="e">
        <f t="shared" si="2"/>
        <v>#N/A</v>
      </c>
      <c r="X11" s="884"/>
      <c r="Y11" s="3652"/>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40"/>
      <c r="Q12" s="885">
        <f t="shared" si="6"/>
        <v>111</v>
      </c>
      <c r="R12" s="882" t="s">
        <v>886</v>
      </c>
      <c r="S12" s="883">
        <f t="shared" si="0"/>
        <v>100</v>
      </c>
      <c r="T12" s="882" t="s">
        <v>886</v>
      </c>
      <c r="U12" s="883">
        <f t="shared" si="1"/>
        <v>100</v>
      </c>
      <c r="V12" s="882" t="s">
        <v>886</v>
      </c>
      <c r="W12" s="883">
        <f t="shared" si="2"/>
        <v>100</v>
      </c>
      <c r="X12" s="884"/>
      <c r="Y12" s="3652"/>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40"/>
      <c r="Q13" s="885">
        <f t="shared" si="6"/>
        <v>111</v>
      </c>
      <c r="R13" s="882" t="s">
        <v>886</v>
      </c>
      <c r="S13" s="883">
        <f t="shared" si="0"/>
        <v>100</v>
      </c>
      <c r="T13" s="882" t="s">
        <v>886</v>
      </c>
      <c r="U13" s="883">
        <f t="shared" si="1"/>
        <v>100</v>
      </c>
      <c r="V13" s="882" t="s">
        <v>886</v>
      </c>
      <c r="W13" s="883">
        <f t="shared" si="2"/>
        <v>100</v>
      </c>
      <c r="X13" s="884"/>
      <c r="Y13" s="3652"/>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40"/>
      <c r="Q14" s="885">
        <f t="shared" si="6"/>
        <v>111</v>
      </c>
      <c r="R14" s="882" t="s">
        <v>886</v>
      </c>
      <c r="S14" s="883">
        <f t="shared" si="0"/>
        <v>100</v>
      </c>
      <c r="T14" s="882" t="s">
        <v>886</v>
      </c>
      <c r="U14" s="883">
        <f t="shared" si="1"/>
        <v>100</v>
      </c>
      <c r="V14" s="882" t="s">
        <v>886</v>
      </c>
      <c r="W14" s="883">
        <f t="shared" si="2"/>
        <v>100</v>
      </c>
      <c r="X14" s="884"/>
      <c r="Y14" s="3652"/>
      <c r="Z14" s="896">
        <f t="shared" si="7"/>
        <v>111</v>
      </c>
      <c r="AA14" s="895">
        <f t="shared" si="3"/>
        <v>1</v>
      </c>
      <c r="AB14" s="895">
        <f t="shared" si="4"/>
        <v>1</v>
      </c>
      <c r="AC14" s="895">
        <f t="shared" si="5"/>
        <v>1</v>
      </c>
    </row>
    <row r="15" spans="1:29" ht="57">
      <c r="A15" s="735" t="s">
        <v>897</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47" t="s">
        <v>898</v>
      </c>
      <c r="Q15" s="848" t="str">
        <f t="shared" si="6"/>
        <v>产业集聚程度</v>
      </c>
      <c r="R15" s="886" t="s">
        <v>886</v>
      </c>
      <c r="S15" s="887">
        <f t="shared" si="0"/>
        <v>100</v>
      </c>
      <c r="T15" s="886" t="s">
        <v>886</v>
      </c>
      <c r="U15" s="887">
        <f t="shared" si="1"/>
        <v>100</v>
      </c>
      <c r="V15" s="886" t="s">
        <v>886</v>
      </c>
      <c r="W15" s="887">
        <f t="shared" si="2"/>
        <v>100</v>
      </c>
      <c r="X15" s="881"/>
      <c r="Y15" s="3647" t="s">
        <v>898</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48"/>
      <c r="Q16" s="848"/>
      <c r="R16" s="886"/>
      <c r="S16" s="887"/>
      <c r="T16" s="886"/>
      <c r="U16" s="887"/>
      <c r="V16" s="886"/>
      <c r="W16" s="887"/>
      <c r="X16" s="881"/>
      <c r="Y16" s="3648"/>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48"/>
      <c r="Q17" s="848" t="str">
        <f>B17</f>
        <v>交通便捷度</v>
      </c>
      <c r="R17" s="886" t="s">
        <v>886</v>
      </c>
      <c r="S17" s="887">
        <f>F17</f>
        <v>100</v>
      </c>
      <c r="T17" s="886" t="s">
        <v>886</v>
      </c>
      <c r="U17" s="887">
        <f>H17</f>
        <v>100</v>
      </c>
      <c r="V17" s="886" t="s">
        <v>886</v>
      </c>
      <c r="W17" s="887">
        <f>J17</f>
        <v>100</v>
      </c>
      <c r="X17" s="881"/>
      <c r="Y17" s="3648"/>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48"/>
      <c r="Q18" s="848"/>
      <c r="R18" s="886"/>
      <c r="S18" s="887"/>
      <c r="T18" s="886"/>
      <c r="U18" s="887"/>
      <c r="V18" s="886"/>
      <c r="W18" s="887"/>
      <c r="X18" s="881"/>
      <c r="Y18" s="3648"/>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48"/>
      <c r="Q19" s="848" t="str">
        <f t="shared" ref="Q19:Q34" si="8">B19</f>
        <v>区域土地利用方向</v>
      </c>
      <c r="R19" s="886" t="s">
        <v>886</v>
      </c>
      <c r="S19" s="887">
        <f>F19</f>
        <v>100</v>
      </c>
      <c r="T19" s="886" t="s">
        <v>886</v>
      </c>
      <c r="U19" s="887">
        <f>H19</f>
        <v>100</v>
      </c>
      <c r="V19" s="886" t="s">
        <v>886</v>
      </c>
      <c r="W19" s="887">
        <f>J19</f>
        <v>100</v>
      </c>
      <c r="X19" s="881"/>
      <c r="Y19" s="3648"/>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48"/>
      <c r="Q20" s="848"/>
      <c r="R20" s="886"/>
      <c r="S20" s="887"/>
      <c r="T20" s="886"/>
      <c r="U20" s="887"/>
      <c r="V20" s="886"/>
      <c r="W20" s="887"/>
      <c r="X20" s="881"/>
      <c r="Y20" s="3648"/>
      <c r="Z20" s="810"/>
      <c r="AA20" s="897"/>
      <c r="AB20" s="897"/>
      <c r="AC20" s="897"/>
    </row>
    <row r="21" spans="1:29" ht="71.25">
      <c r="A21" s="701"/>
      <c r="B21" s="745" t="s">
        <v>1568</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48"/>
      <c r="Q21" s="848" t="str">
        <f t="shared" si="8"/>
        <v>环境状况</v>
      </c>
      <c r="R21" s="886" t="s">
        <v>886</v>
      </c>
      <c r="S21" s="887">
        <f>F21</f>
        <v>100</v>
      </c>
      <c r="T21" s="886" t="s">
        <v>886</v>
      </c>
      <c r="U21" s="887">
        <f>H21</f>
        <v>100</v>
      </c>
      <c r="V21" s="886" t="s">
        <v>886</v>
      </c>
      <c r="W21" s="887">
        <f>J21</f>
        <v>100</v>
      </c>
      <c r="X21" s="881"/>
      <c r="Y21" s="3648"/>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48"/>
      <c r="Q22" s="848"/>
      <c r="R22" s="886"/>
      <c r="S22" s="887"/>
      <c r="T22" s="886"/>
      <c r="U22" s="887"/>
      <c r="V22" s="886"/>
      <c r="W22" s="887"/>
      <c r="X22" s="881"/>
      <c r="Y22" s="3648"/>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48"/>
      <c r="Q23" s="885" t="str">
        <f t="shared" si="8"/>
        <v>公共配套设施</v>
      </c>
      <c r="R23" s="882" t="s">
        <v>886</v>
      </c>
      <c r="S23" s="883">
        <f>F23</f>
        <v>100</v>
      </c>
      <c r="T23" s="882" t="s">
        <v>886</v>
      </c>
      <c r="U23" s="883">
        <f>H23</f>
        <v>100</v>
      </c>
      <c r="V23" s="882" t="s">
        <v>886</v>
      </c>
      <c r="W23" s="883">
        <f>J23</f>
        <v>100</v>
      </c>
      <c r="X23" s="884"/>
      <c r="Y23" s="3648"/>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48"/>
      <c r="Q24" s="885"/>
      <c r="R24" s="882"/>
      <c r="S24" s="883"/>
      <c r="T24" s="882"/>
      <c r="U24" s="883"/>
      <c r="V24" s="882"/>
      <c r="W24" s="883"/>
      <c r="X24" s="884"/>
      <c r="Y24" s="3648"/>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48"/>
      <c r="Q25" s="885" t="str">
        <f t="shared" ref="Q25" si="9">B25</f>
        <v>基础设施水平</v>
      </c>
      <c r="R25" s="882" t="s">
        <v>886</v>
      </c>
      <c r="S25" s="883">
        <f>F25</f>
        <v>100</v>
      </c>
      <c r="T25" s="882" t="s">
        <v>886</v>
      </c>
      <c r="U25" s="883">
        <f>H25</f>
        <v>100</v>
      </c>
      <c r="V25" s="882" t="s">
        <v>886</v>
      </c>
      <c r="W25" s="883">
        <f>J25</f>
        <v>100</v>
      </c>
      <c r="X25" s="884"/>
      <c r="Y25" s="3648"/>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48"/>
      <c r="Q26" s="885"/>
      <c r="R26" s="882"/>
      <c r="S26" s="883"/>
      <c r="T26" s="882"/>
      <c r="U26" s="883"/>
      <c r="V26" s="882"/>
      <c r="W26" s="883"/>
      <c r="X26" s="884"/>
      <c r="Y26" s="3648"/>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48"/>
      <c r="Q27" s="848" t="str">
        <f t="shared" si="8"/>
        <v>临街状况</v>
      </c>
      <c r="R27" s="886" t="s">
        <v>886</v>
      </c>
      <c r="S27" s="887">
        <f t="shared" ref="S27:S40" si="10">F27</f>
        <v>100</v>
      </c>
      <c r="T27" s="886" t="s">
        <v>886</v>
      </c>
      <c r="U27" s="887">
        <f t="shared" ref="U27:U40" si="11">H27</f>
        <v>100</v>
      </c>
      <c r="V27" s="886" t="s">
        <v>886</v>
      </c>
      <c r="W27" s="887">
        <f t="shared" ref="W27:W40" si="12">J27</f>
        <v>100</v>
      </c>
      <c r="X27" s="881"/>
      <c r="Y27" s="3648"/>
      <c r="Z27" s="810" t="str">
        <f t="shared" ref="Z27:Z40" si="13">Q27</f>
        <v>临街状况</v>
      </c>
      <c r="AA27" s="897">
        <f t="shared" si="3"/>
        <v>1</v>
      </c>
      <c r="AB27" s="897">
        <f t="shared" si="4"/>
        <v>1</v>
      </c>
      <c r="AC27" s="897">
        <f t="shared" si="5"/>
        <v>1</v>
      </c>
    </row>
    <row r="28" spans="1:29" ht="27">
      <c r="A28" s="721"/>
      <c r="B28" s="753" t="s">
        <v>1508</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48"/>
      <c r="Q28" s="848" t="str">
        <f t="shared" si="8"/>
        <v>毗邻道路的类型与等级</v>
      </c>
      <c r="R28" s="886" t="s">
        <v>886</v>
      </c>
      <c r="S28" s="887">
        <f t="shared" si="10"/>
        <v>100</v>
      </c>
      <c r="T28" s="886" t="s">
        <v>886</v>
      </c>
      <c r="U28" s="887">
        <f t="shared" si="11"/>
        <v>100</v>
      </c>
      <c r="V28" s="886" t="s">
        <v>886</v>
      </c>
      <c r="W28" s="887">
        <f t="shared" si="12"/>
        <v>100</v>
      </c>
      <c r="X28" s="881"/>
      <c r="Y28" s="3648"/>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48"/>
      <c r="Q29" s="848"/>
      <c r="R29" s="886"/>
      <c r="S29" s="887"/>
      <c r="T29" s="886"/>
      <c r="U29" s="887"/>
      <c r="V29" s="886"/>
      <c r="W29" s="887"/>
      <c r="X29" s="881"/>
      <c r="Y29" s="3648"/>
      <c r="Z29" s="810"/>
      <c r="AA29" s="897">
        <v>1</v>
      </c>
      <c r="AB29" s="897">
        <v>1</v>
      </c>
      <c r="AC29" s="897">
        <v>1</v>
      </c>
    </row>
    <row r="30" spans="1:29" ht="15">
      <c r="A30" s="721"/>
      <c r="B30" s="758" t="s">
        <v>1536</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48"/>
      <c r="Q30" s="848" t="str">
        <f t="shared" si="8"/>
        <v>土地级别</v>
      </c>
      <c r="R30" s="886" t="s">
        <v>886</v>
      </c>
      <c r="S30" s="887">
        <f t="shared" si="10"/>
        <v>100</v>
      </c>
      <c r="T30" s="886" t="s">
        <v>886</v>
      </c>
      <c r="U30" s="887">
        <f t="shared" si="11"/>
        <v>100</v>
      </c>
      <c r="V30" s="886" t="s">
        <v>886</v>
      </c>
      <c r="W30" s="887">
        <f t="shared" si="12"/>
        <v>100</v>
      </c>
      <c r="X30" s="881"/>
      <c r="Y30" s="3648"/>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48"/>
      <c r="Q31" s="848">
        <f t="shared" si="8"/>
        <v>111</v>
      </c>
      <c r="R31" s="886" t="s">
        <v>886</v>
      </c>
      <c r="S31" s="887">
        <f t="shared" si="10"/>
        <v>100</v>
      </c>
      <c r="T31" s="886" t="s">
        <v>886</v>
      </c>
      <c r="U31" s="887">
        <f t="shared" si="11"/>
        <v>100</v>
      </c>
      <c r="V31" s="886" t="s">
        <v>886</v>
      </c>
      <c r="W31" s="887">
        <f t="shared" si="12"/>
        <v>100</v>
      </c>
      <c r="X31" s="881"/>
      <c r="Y31" s="3648"/>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49" t="s">
        <v>914</v>
      </c>
      <c r="Q32" s="848">
        <f t="shared" si="8"/>
        <v>111</v>
      </c>
      <c r="R32" s="886" t="s">
        <v>886</v>
      </c>
      <c r="S32" s="887">
        <f t="shared" si="10"/>
        <v>100</v>
      </c>
      <c r="T32" s="886" t="s">
        <v>886</v>
      </c>
      <c r="U32" s="887">
        <f t="shared" si="11"/>
        <v>100</v>
      </c>
      <c r="V32" s="886" t="s">
        <v>886</v>
      </c>
      <c r="W32" s="887">
        <f t="shared" si="12"/>
        <v>100</v>
      </c>
      <c r="X32" s="881"/>
      <c r="Y32" s="3650" t="s">
        <v>914</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50"/>
      <c r="Q33" s="848">
        <f t="shared" si="8"/>
        <v>111</v>
      </c>
      <c r="R33" s="888" t="s">
        <v>886</v>
      </c>
      <c r="S33" s="889">
        <f t="shared" si="10"/>
        <v>100</v>
      </c>
      <c r="T33" s="888" t="s">
        <v>886</v>
      </c>
      <c r="U33" s="889">
        <f t="shared" si="11"/>
        <v>100</v>
      </c>
      <c r="V33" s="888" t="s">
        <v>886</v>
      </c>
      <c r="W33" s="889">
        <f t="shared" si="12"/>
        <v>100</v>
      </c>
      <c r="X33" s="890"/>
      <c r="Y33" s="3650"/>
      <c r="Z33" s="898">
        <f t="shared" si="13"/>
        <v>111</v>
      </c>
      <c r="AA33" s="897">
        <f t="shared" si="3"/>
        <v>1</v>
      </c>
      <c r="AB33" s="897">
        <f t="shared" si="4"/>
        <v>1</v>
      </c>
      <c r="AC33" s="897">
        <f t="shared" si="5"/>
        <v>1</v>
      </c>
    </row>
    <row r="34" spans="1:29" ht="15">
      <c r="A34" s="769" t="s">
        <v>911</v>
      </c>
      <c r="B34" s="770" t="s">
        <v>1537</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50"/>
      <c r="Q34" s="848" t="str">
        <f t="shared" si="8"/>
        <v>宗地面积</v>
      </c>
      <c r="R34" s="886" t="s">
        <v>886</v>
      </c>
      <c r="S34" s="887" t="e">
        <f t="shared" si="10"/>
        <v>#N/A</v>
      </c>
      <c r="T34" s="886" t="s">
        <v>886</v>
      </c>
      <c r="U34" s="887" t="e">
        <f t="shared" si="11"/>
        <v>#N/A</v>
      </c>
      <c r="V34" s="886" t="s">
        <v>886</v>
      </c>
      <c r="W34" s="887" t="e">
        <f t="shared" si="12"/>
        <v>#N/A</v>
      </c>
      <c r="X34" s="881"/>
      <c r="Y34" s="3650"/>
      <c r="Z34" s="810" t="str">
        <f t="shared" si="13"/>
        <v>宗地面积</v>
      </c>
      <c r="AA34" s="897" t="e">
        <f t="shared" si="3"/>
        <v>#N/A</v>
      </c>
      <c r="AB34" s="897" t="e">
        <f t="shared" si="4"/>
        <v>#N/A</v>
      </c>
      <c r="AC34" s="897" t="e">
        <f t="shared" si="5"/>
        <v>#N/A</v>
      </c>
    </row>
    <row r="35" spans="1:29" ht="15">
      <c r="A35" s="769"/>
      <c r="B35" s="718" t="s">
        <v>1538</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50"/>
      <c r="Q35" s="848" t="str">
        <f t="shared" ref="Q35:Q40" si="14">B35</f>
        <v>宗地形状</v>
      </c>
      <c r="R35" s="886" t="s">
        <v>886</v>
      </c>
      <c r="S35" s="887">
        <f t="shared" si="10"/>
        <v>100</v>
      </c>
      <c r="T35" s="886" t="s">
        <v>886</v>
      </c>
      <c r="U35" s="887">
        <f t="shared" si="11"/>
        <v>100</v>
      </c>
      <c r="V35" s="886" t="s">
        <v>886</v>
      </c>
      <c r="W35" s="887">
        <f t="shared" si="12"/>
        <v>100</v>
      </c>
      <c r="X35" s="881"/>
      <c r="Y35" s="3650"/>
      <c r="Z35" s="810" t="str">
        <f t="shared" si="13"/>
        <v>宗地形状</v>
      </c>
      <c r="AA35" s="897">
        <f t="shared" si="3"/>
        <v>1</v>
      </c>
      <c r="AB35" s="897">
        <f t="shared" si="4"/>
        <v>1</v>
      </c>
      <c r="AC35" s="897">
        <f t="shared" si="5"/>
        <v>1</v>
      </c>
    </row>
    <row r="36" spans="1:29" s="678" customFormat="1" ht="15">
      <c r="A36" s="774"/>
      <c r="B36" s="718" t="s">
        <v>1540</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50"/>
      <c r="Q36" s="848" t="str">
        <f t="shared" si="14"/>
        <v>宗地开发程度</v>
      </c>
      <c r="R36" s="882" t="s">
        <v>886</v>
      </c>
      <c r="S36" s="883">
        <f t="shared" si="10"/>
        <v>100</v>
      </c>
      <c r="T36" s="882" t="s">
        <v>886</v>
      </c>
      <c r="U36" s="883">
        <f t="shared" si="11"/>
        <v>100</v>
      </c>
      <c r="V36" s="882" t="s">
        <v>886</v>
      </c>
      <c r="W36" s="883">
        <f t="shared" si="12"/>
        <v>100</v>
      </c>
      <c r="X36" s="884"/>
      <c r="Y36" s="3650"/>
      <c r="Z36" s="896" t="str">
        <f t="shared" si="13"/>
        <v>宗地开发程度</v>
      </c>
      <c r="AA36" s="895">
        <f t="shared" si="3"/>
        <v>1</v>
      </c>
      <c r="AB36" s="895">
        <f t="shared" si="4"/>
        <v>1</v>
      </c>
      <c r="AC36" s="895">
        <f t="shared" si="5"/>
        <v>1</v>
      </c>
    </row>
    <row r="37" spans="1:29" ht="15">
      <c r="A37" s="769"/>
      <c r="B37" s="718" t="s">
        <v>1541</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50" t="s">
        <v>914</v>
      </c>
      <c r="Q37" s="848" t="str">
        <f t="shared" si="14"/>
        <v>工程地质条件</v>
      </c>
      <c r="R37" s="886" t="s">
        <v>886</v>
      </c>
      <c r="S37" s="887">
        <f t="shared" si="10"/>
        <v>100</v>
      </c>
      <c r="T37" s="886" t="s">
        <v>886</v>
      </c>
      <c r="U37" s="887">
        <f t="shared" si="11"/>
        <v>100</v>
      </c>
      <c r="V37" s="886" t="s">
        <v>886</v>
      </c>
      <c r="W37" s="887">
        <f t="shared" si="12"/>
        <v>100</v>
      </c>
      <c r="X37" s="881"/>
      <c r="Y37" s="3650" t="s">
        <v>914</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50"/>
      <c r="Q38" s="848">
        <f t="shared" si="14"/>
        <v>111</v>
      </c>
      <c r="R38" s="886" t="s">
        <v>886</v>
      </c>
      <c r="S38" s="887">
        <f t="shared" si="10"/>
        <v>100</v>
      </c>
      <c r="T38" s="886" t="s">
        <v>886</v>
      </c>
      <c r="U38" s="887">
        <f t="shared" si="11"/>
        <v>100</v>
      </c>
      <c r="V38" s="886" t="s">
        <v>886</v>
      </c>
      <c r="W38" s="887">
        <f t="shared" si="12"/>
        <v>100</v>
      </c>
      <c r="X38" s="881"/>
      <c r="Y38" s="3650"/>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50"/>
      <c r="Q39" s="848">
        <f t="shared" si="14"/>
        <v>111</v>
      </c>
      <c r="R39" s="886" t="s">
        <v>886</v>
      </c>
      <c r="S39" s="887">
        <f t="shared" si="10"/>
        <v>100</v>
      </c>
      <c r="T39" s="886" t="s">
        <v>886</v>
      </c>
      <c r="U39" s="887">
        <f t="shared" si="11"/>
        <v>100</v>
      </c>
      <c r="V39" s="886" t="s">
        <v>886</v>
      </c>
      <c r="W39" s="887">
        <f t="shared" si="12"/>
        <v>100</v>
      </c>
      <c r="X39" s="881"/>
      <c r="Y39" s="3650"/>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50"/>
      <c r="Q40" s="848">
        <f t="shared" si="14"/>
        <v>111</v>
      </c>
      <c r="R40" s="888" t="s">
        <v>886</v>
      </c>
      <c r="S40" s="889">
        <f t="shared" si="10"/>
        <v>100</v>
      </c>
      <c r="T40" s="888" t="s">
        <v>886</v>
      </c>
      <c r="U40" s="889">
        <f t="shared" si="11"/>
        <v>100</v>
      </c>
      <c r="V40" s="888" t="s">
        <v>886</v>
      </c>
      <c r="W40" s="889">
        <f t="shared" si="12"/>
        <v>100</v>
      </c>
      <c r="X40" s="890"/>
      <c r="Y40" s="3650"/>
      <c r="Z40" s="898">
        <f t="shared" si="13"/>
        <v>111</v>
      </c>
      <c r="AA40" s="897">
        <f t="shared" si="3"/>
        <v>1</v>
      </c>
      <c r="AB40" s="897">
        <f t="shared" si="4"/>
        <v>1</v>
      </c>
      <c r="AC40" s="897">
        <f t="shared" si="5"/>
        <v>1</v>
      </c>
    </row>
    <row r="41" spans="1:29" ht="15">
      <c r="A41" s="779" t="s">
        <v>1524</v>
      </c>
      <c r="B41" s="780" t="s">
        <v>1569</v>
      </c>
      <c r="C41" s="781" t="s">
        <v>121</v>
      </c>
      <c r="D41" s="782"/>
      <c r="E41" s="783"/>
      <c r="F41" s="784"/>
      <c r="G41" s="785"/>
      <c r="H41" s="786"/>
      <c r="I41" s="783"/>
      <c r="J41" s="786"/>
      <c r="K41" s="867"/>
      <c r="L41" s="868"/>
      <c r="M41" s="843"/>
      <c r="N41" s="843"/>
      <c r="P41" s="3640" t="str">
        <f>A41</f>
        <v>成交单价</v>
      </c>
      <c r="Q41" s="3640"/>
      <c r="R41" s="3639">
        <f>E41</f>
        <v>0</v>
      </c>
      <c r="S41" s="3639"/>
      <c r="T41" s="3639">
        <f>G41</f>
        <v>0</v>
      </c>
      <c r="U41" s="3639"/>
      <c r="V41" s="3639">
        <f>I41</f>
        <v>0</v>
      </c>
      <c r="W41" s="3639"/>
      <c r="X41" s="831"/>
      <c r="Y41" s="899"/>
      <c r="Z41" s="831"/>
      <c r="AA41" s="831"/>
      <c r="AB41" s="831"/>
      <c r="AC41" s="831"/>
    </row>
    <row r="42" spans="1:29" ht="15">
      <c r="A42" s="787" t="s">
        <v>930</v>
      </c>
      <c r="B42" s="788"/>
      <c r="C42" s="789" t="e">
        <f>R43</f>
        <v>#DIV/0!</v>
      </c>
      <c r="D42" s="790" t="s">
        <v>931</v>
      </c>
      <c r="E42" s="789" t="e">
        <f>R42</f>
        <v>#DIV/0!</v>
      </c>
      <c r="F42" s="791"/>
      <c r="G42" s="792" t="e">
        <f>T42</f>
        <v>#DIV/0!</v>
      </c>
      <c r="H42" s="791"/>
      <c r="I42" s="789" t="e">
        <f>V42</f>
        <v>#DIV/0!</v>
      </c>
      <c r="J42" s="791"/>
      <c r="K42" s="869">
        <f>F42+H42+J42</f>
        <v>0</v>
      </c>
      <c r="L42" s="868"/>
      <c r="M42" s="843"/>
      <c r="N42" s="843"/>
      <c r="P42" s="3640" t="str">
        <f>A42</f>
        <v>比较价值（元/平方米）</v>
      </c>
      <c r="Q42" s="3640"/>
      <c r="R42" s="3668" t="e">
        <f>ROUND(PRODUCT(R41,AA7:AA40),0)</f>
        <v>#DIV/0!</v>
      </c>
      <c r="S42" s="3668"/>
      <c r="T42" s="3668" t="e">
        <f>ROUND(PRODUCT(T41,AB7:AB40),0)</f>
        <v>#DIV/0!</v>
      </c>
      <c r="U42" s="3668"/>
      <c r="V42" s="3668" t="e">
        <f>ROUND(PRODUCT(V41,AC7:AC40),0)</f>
        <v>#DIV/0!</v>
      </c>
      <c r="W42" s="3668"/>
      <c r="X42" s="831"/>
      <c r="Y42" s="831"/>
      <c r="Z42" s="831"/>
      <c r="AA42" s="831"/>
      <c r="AB42" s="831"/>
      <c r="AC42" s="831"/>
    </row>
    <row r="43" spans="1:29" ht="15">
      <c r="A43" s="793" t="s">
        <v>932</v>
      </c>
      <c r="B43" s="794"/>
      <c r="C43" s="795" t="e">
        <f>R43</f>
        <v>#DIV/0!</v>
      </c>
      <c r="D43" s="795"/>
      <c r="E43" s="795"/>
      <c r="F43" s="795"/>
      <c r="G43" s="795"/>
      <c r="H43" s="795"/>
      <c r="I43" s="795"/>
      <c r="J43" s="795"/>
      <c r="K43" s="870"/>
      <c r="L43" s="868"/>
      <c r="M43" s="843"/>
      <c r="N43" s="843"/>
      <c r="P43" s="3642" t="str">
        <f>A43</f>
        <v>估价对象XX用房的比较价值（楼面单价，元/平方米）</v>
      </c>
      <c r="Q43" s="3643"/>
      <c r="R43" s="3669" t="e">
        <f>ROUND(IF(D42="简单平均",AVERAGE(R42:W42),R42*F42+T42*H42+V42*J42),0)</f>
        <v>#DIV/0!</v>
      </c>
      <c r="S43" s="3669"/>
      <c r="T43" s="3669"/>
      <c r="U43" s="3669"/>
      <c r="V43" s="3669"/>
      <c r="W43" s="3669"/>
      <c r="X43" s="831"/>
      <c r="Y43" s="831"/>
      <c r="Z43" s="831"/>
      <c r="AA43" s="831"/>
      <c r="AB43" s="831"/>
      <c r="AC43" s="831"/>
    </row>
    <row r="44" spans="1:29">
      <c r="G44" s="796"/>
      <c r="M44" s="843"/>
      <c r="N44" s="843"/>
    </row>
    <row r="45" spans="1:29">
      <c r="M45" s="843"/>
      <c r="N45" s="843"/>
    </row>
    <row r="46" spans="1:29" ht="13.5" customHeight="1">
      <c r="C46" s="797" t="s">
        <v>933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934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1543</v>
      </c>
      <c r="B50" s="805" t="s">
        <v>1544</v>
      </c>
      <c r="C50" s="806" t="s">
        <v>1545</v>
      </c>
      <c r="D50" s="807" t="s">
        <v>1546</v>
      </c>
      <c r="E50" s="808" t="s">
        <v>1547</v>
      </c>
      <c r="F50" s="809" t="s">
        <v>1548</v>
      </c>
      <c r="G50" s="810" t="s">
        <v>1570</v>
      </c>
      <c r="H50" s="810" t="str">
        <f>项目基本情况!G8</f>
        <v>XX</v>
      </c>
      <c r="I50" s="873" t="s">
        <v>1550</v>
      </c>
      <c r="J50" s="874"/>
      <c r="K50" s="875"/>
    </row>
    <row r="51" spans="1:17" s="682" customFormat="1">
      <c r="A51" s="811" t="s">
        <v>1551</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1552</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1553</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1554</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1555</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1556</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1557</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1558</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1559</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1560</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1561</v>
      </c>
      <c r="B61" s="823" t="s">
        <v>1505</v>
      </c>
      <c r="C61" s="823" t="s">
        <v>1505</v>
      </c>
      <c r="D61" s="823" t="s">
        <v>1505</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2022-11-1</v>
      </c>
      <c r="D63" s="829">
        <f>EDATE(C63,-3)</f>
        <v>44774</v>
      </c>
      <c r="E63" s="829">
        <f t="shared" ref="E63:O63" si="18">EDATE(D63,-3)</f>
        <v>44682</v>
      </c>
      <c r="F63" s="829">
        <f t="shared" si="18"/>
        <v>44593</v>
      </c>
      <c r="G63" s="829">
        <f t="shared" si="18"/>
        <v>44501</v>
      </c>
      <c r="H63" s="829">
        <f t="shared" si="18"/>
        <v>44409</v>
      </c>
      <c r="I63" s="829">
        <f t="shared" si="18"/>
        <v>44317</v>
      </c>
      <c r="J63" s="829">
        <f t="shared" si="18"/>
        <v>44228</v>
      </c>
      <c r="K63" s="829">
        <f t="shared" si="18"/>
        <v>44136</v>
      </c>
      <c r="L63" s="829">
        <f t="shared" si="18"/>
        <v>44044</v>
      </c>
      <c r="M63" s="829">
        <f t="shared" si="18"/>
        <v>43952</v>
      </c>
      <c r="N63" s="829">
        <f t="shared" si="18"/>
        <v>43862</v>
      </c>
      <c r="O63" s="829">
        <f t="shared" si="18"/>
        <v>43770</v>
      </c>
    </row>
    <row r="64" spans="1:17" ht="21">
      <c r="A64" s="830" t="s">
        <v>936</v>
      </c>
      <c r="B64" s="831"/>
      <c r="C64" s="832"/>
      <c r="D64" s="832"/>
      <c r="E64" s="832"/>
      <c r="F64" s="833"/>
      <c r="G64" s="833"/>
      <c r="H64" s="832"/>
      <c r="I64" s="877"/>
      <c r="J64" s="877"/>
      <c r="K64" s="878"/>
      <c r="L64" s="879"/>
      <c r="M64" s="877"/>
      <c r="N64" s="877"/>
      <c r="O64" s="877"/>
      <c r="P64" s="880"/>
      <c r="Q64" s="891"/>
    </row>
    <row r="65" spans="1:17" s="683" customFormat="1" ht="15">
      <c r="A65" s="900" t="s">
        <v>1562</v>
      </c>
      <c r="B65" s="901"/>
      <c r="C65" s="902" t="str">
        <f>YEAR(C63)&amp;"-"&amp;ROUNDUP(MONTH(C63)/3,0)</f>
        <v>2022-4</v>
      </c>
      <c r="D65" s="902" t="str">
        <f t="shared" ref="D65:O65" si="19">YEAR(D63)&amp;"-"&amp;ROUNDUP(MONTH(D63)/3,0)</f>
        <v>2022-3</v>
      </c>
      <c r="E65" s="902" t="str">
        <f t="shared" si="19"/>
        <v>2022-2</v>
      </c>
      <c r="F65" s="902" t="str">
        <f t="shared" si="19"/>
        <v>2022-1</v>
      </c>
      <c r="G65" s="902" t="str">
        <f t="shared" si="19"/>
        <v>2021-4</v>
      </c>
      <c r="H65" s="902" t="str">
        <f t="shared" si="19"/>
        <v>2021-3</v>
      </c>
      <c r="I65" s="902" t="str">
        <f t="shared" si="19"/>
        <v>2021-2</v>
      </c>
      <c r="J65" s="902" t="str">
        <f t="shared" si="19"/>
        <v>2021-1</v>
      </c>
      <c r="K65" s="902" t="str">
        <f t="shared" si="19"/>
        <v>2020-4</v>
      </c>
      <c r="L65" s="902" t="str">
        <f t="shared" si="19"/>
        <v>2020-3</v>
      </c>
      <c r="M65" s="902" t="str">
        <f t="shared" si="19"/>
        <v>2020-2</v>
      </c>
      <c r="N65" s="902" t="str">
        <f t="shared" si="19"/>
        <v>2020-1</v>
      </c>
      <c r="O65" s="902" t="str">
        <f t="shared" si="19"/>
        <v>2019-4</v>
      </c>
      <c r="P65" s="955"/>
    </row>
    <row r="66" spans="1:17" s="678" customFormat="1" ht="33.75" customHeight="1">
      <c r="A66" s="903" t="s">
        <v>1571</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937</v>
      </c>
      <c r="B67" s="907"/>
      <c r="C67" s="908"/>
      <c r="D67" s="909"/>
      <c r="E67" s="909"/>
      <c r="F67" s="909"/>
      <c r="G67" s="909"/>
      <c r="H67" s="909"/>
      <c r="I67" s="909"/>
      <c r="J67" s="909"/>
      <c r="K67" s="909"/>
      <c r="L67" s="909"/>
      <c r="M67" s="958"/>
      <c r="N67" s="909"/>
      <c r="O67" s="959"/>
      <c r="P67" s="891"/>
      <c r="Q67" s="891"/>
    </row>
    <row r="68" spans="1:17" s="678" customFormat="1" ht="15">
      <c r="A68" s="910" t="s">
        <v>887</v>
      </c>
      <c r="B68" s="911"/>
      <c r="C68" s="912" t="s">
        <v>888</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938</v>
      </c>
      <c r="B70" s="917" t="s">
        <v>892</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895</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896</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897</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1535</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946</v>
      </c>
      <c r="D93" s="922" t="s">
        <v>947</v>
      </c>
      <c r="E93" s="922" t="s">
        <v>948</v>
      </c>
      <c r="F93" s="922" t="s">
        <v>949</v>
      </c>
      <c r="G93" s="922" t="s">
        <v>950</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1564</v>
      </c>
      <c r="D95" s="922" t="s">
        <v>1565</v>
      </c>
      <c r="E95" s="922" t="s">
        <v>1566</v>
      </c>
      <c r="F95" s="922" t="s">
        <v>1567</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1508</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1536</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911</v>
      </c>
      <c r="B107" s="917" t="s">
        <v>1537</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1538</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1540</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1541</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1572</v>
      </c>
      <c r="B1" s="386"/>
      <c r="C1" s="387" t="s">
        <v>872</v>
      </c>
      <c r="D1" s="388">
        <f>SUM(D29:D30,D33:D39)</f>
        <v>59.11</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1573</v>
      </c>
      <c r="S1" s="621" t="s">
        <v>1574</v>
      </c>
      <c r="T1" s="621" t="s">
        <v>1575</v>
      </c>
      <c r="U1" s="621" t="s">
        <v>1576</v>
      </c>
      <c r="V1" s="621" t="s">
        <v>1577</v>
      </c>
      <c r="W1" s="622"/>
      <c r="X1" s="622"/>
      <c r="Y1" s="622"/>
      <c r="Z1" s="622"/>
      <c r="AA1" s="622"/>
      <c r="AB1" s="622"/>
      <c r="AC1" s="622"/>
      <c r="AD1" s="629"/>
      <c r="AE1" s="629"/>
      <c r="AF1" s="629"/>
      <c r="AG1" s="629"/>
      <c r="AH1" s="629"/>
      <c r="AI1" s="629"/>
      <c r="AJ1" s="640"/>
    </row>
    <row r="2" spans="1:36" ht="24.75">
      <c r="A2" s="389" t="s">
        <v>870</v>
      </c>
      <c r="B2" s="390">
        <f>C26</f>
        <v>0</v>
      </c>
      <c r="C2" s="391" t="s">
        <v>1533</v>
      </c>
      <c r="D2" s="392" t="s">
        <v>1578</v>
      </c>
      <c r="E2" s="393" t="s">
        <v>461</v>
      </c>
      <c r="F2" s="392" t="s">
        <v>1579</v>
      </c>
      <c r="G2" s="394">
        <f>项目基本情况!F9</f>
        <v>0</v>
      </c>
      <c r="H2" s="395" t="s">
        <v>1580</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871</v>
      </c>
      <c r="B3" s="390">
        <f>ROUND(B2/D1,0)</f>
        <v>0</v>
      </c>
      <c r="C3" s="391" t="s">
        <v>1206</v>
      </c>
      <c r="D3" s="392" t="s">
        <v>1581</v>
      </c>
      <c r="E3" s="393" t="s">
        <v>1582</v>
      </c>
      <c r="F3" s="396" t="s">
        <v>1583</v>
      </c>
      <c r="G3" s="397">
        <f>项目基本情况!C15</f>
        <v>0</v>
      </c>
      <c r="H3" s="398" t="s">
        <v>1584</v>
      </c>
      <c r="I3" s="554"/>
      <c r="J3" s="550" t="s">
        <v>1585</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86"/>
      <c r="B4" s="3687"/>
      <c r="C4" s="3687"/>
      <c r="D4" s="3688"/>
      <c r="E4" s="3688"/>
      <c r="F4" s="3688"/>
      <c r="G4" s="3688"/>
      <c r="H4" s="3688"/>
      <c r="I4" s="3688"/>
      <c r="J4" s="3689"/>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1586</v>
      </c>
      <c r="B5" s="399" t="s">
        <v>1587</v>
      </c>
      <c r="C5" s="400">
        <f>ROUND(IF(E2="商业",C6*C7+C16,(IF(E2="住宅",C6*C12+C16,C6+C16))),0)</f>
        <v>0</v>
      </c>
      <c r="D5" s="401">
        <f>ROUND(C6+C16,0)</f>
        <v>0</v>
      </c>
      <c r="E5" s="401"/>
      <c r="F5" s="402"/>
      <c r="G5" s="403"/>
      <c r="H5" s="403"/>
      <c r="I5" s="403"/>
      <c r="J5" s="555"/>
      <c r="K5" s="556"/>
      <c r="L5" s="551" t="s">
        <v>1588</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1589</v>
      </c>
      <c r="C6" s="406">
        <f>SUMIF(L1:L12,G2,M1:M12)</f>
        <v>0</v>
      </c>
      <c r="D6" s="407" t="s">
        <v>1590</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71" t="str">
        <f>IF(E2="商业",IF(C8="不临58条商业街","",2),"")</f>
        <v/>
      </c>
      <c r="B7" s="409" t="s">
        <v>1591</v>
      </c>
      <c r="C7" s="410">
        <f>IF(C8="不临58条商业街",1,ROUND(1+(1.6*E8+1.2*E9+0.8*E10+0.4*E11)*C9,4))</f>
        <v>1</v>
      </c>
      <c r="D7" s="411" t="s">
        <v>1592</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1593</v>
      </c>
      <c r="X7" s="625">
        <f>G2</f>
        <v>0</v>
      </c>
      <c r="Y7" s="625" t="s">
        <v>1583</v>
      </c>
      <c r="Z7" s="632">
        <f>G3</f>
        <v>0</v>
      </c>
      <c r="AA7" s="622"/>
      <c r="AB7" s="622"/>
      <c r="AC7" s="622"/>
      <c r="AD7" s="629"/>
      <c r="AE7" s="629"/>
      <c r="AF7" s="629"/>
      <c r="AG7" s="629"/>
      <c r="AH7" s="629"/>
      <c r="AI7" s="629"/>
      <c r="AJ7" s="640"/>
    </row>
    <row r="8" spans="1:36" ht="15">
      <c r="A8" s="3672"/>
      <c r="B8" s="398" t="s">
        <v>1594</v>
      </c>
      <c r="C8" s="415" t="s">
        <v>1595</v>
      </c>
      <c r="D8" s="416" t="s">
        <v>1596</v>
      </c>
      <c r="E8" s="417" t="e">
        <f>ROUND(C11/E7,4)</f>
        <v>#DIV/0!</v>
      </c>
      <c r="F8" s="418" t="s">
        <v>1597</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90" t="s">
        <v>1598</v>
      </c>
      <c r="X8" s="3691"/>
      <c r="Y8" s="633" t="s">
        <v>1599</v>
      </c>
      <c r="Z8" s="633" t="s">
        <v>1600</v>
      </c>
      <c r="AA8" s="633" t="s">
        <v>1601</v>
      </c>
      <c r="AB8" s="633" t="s">
        <v>1602</v>
      </c>
      <c r="AC8" s="633" t="s">
        <v>1603</v>
      </c>
      <c r="AD8" s="633" t="s">
        <v>1604</v>
      </c>
      <c r="AE8" s="633" t="s">
        <v>1605</v>
      </c>
      <c r="AF8" s="633" t="s">
        <v>1606</v>
      </c>
      <c r="AG8" s="633" t="s">
        <v>1607</v>
      </c>
      <c r="AH8" s="633" t="s">
        <v>1608</v>
      </c>
      <c r="AI8" s="633" t="s">
        <v>1609</v>
      </c>
      <c r="AJ8" s="633" t="s">
        <v>1610</v>
      </c>
    </row>
    <row r="9" spans="1:36" ht="15">
      <c r="A9" s="3672"/>
      <c r="B9" s="398" t="s">
        <v>1611</v>
      </c>
      <c r="C9" s="420">
        <f>SUMIF(修正!C59:C119,C8,修正!E59:E119)</f>
        <v>0</v>
      </c>
      <c r="D9" s="398" t="s">
        <v>1612</v>
      </c>
      <c r="E9" s="398" t="e">
        <f>ROUND(C11/E7,4)</f>
        <v>#DIV/0!</v>
      </c>
      <c r="F9" s="418" t="s">
        <v>1613</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91" t="s">
        <v>1614</v>
      </c>
      <c r="X9" s="626" t="s">
        <v>1615</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72"/>
      <c r="B10" s="398" t="s">
        <v>1616</v>
      </c>
      <c r="C10" s="398">
        <f>SUMIF(修正!C59:C119,C8,修正!F59:F119)</f>
        <v>0</v>
      </c>
      <c r="D10" s="398" t="s">
        <v>1617</v>
      </c>
      <c r="E10" s="398" t="e">
        <f>ROUND(C11/E7,4)</f>
        <v>#DIV/0!</v>
      </c>
      <c r="F10" s="418" t="s">
        <v>1618</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91"/>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72"/>
      <c r="B11" s="421" t="s">
        <v>1619</v>
      </c>
      <c r="C11" s="421">
        <f>C10/4</f>
        <v>0</v>
      </c>
      <c r="D11" s="421" t="s">
        <v>1620</v>
      </c>
      <c r="E11" s="421" t="e">
        <f>ROUND(C11/E7,4)</f>
        <v>#DIV/0!</v>
      </c>
      <c r="F11" s="422" t="s">
        <v>1621</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91" t="s">
        <v>1622</v>
      </c>
      <c r="X11" s="627" t="s">
        <v>1583</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71">
        <f>IF(E2="住宅",2,"")</f>
        <v>2</v>
      </c>
      <c r="B12" s="424" t="s">
        <v>1623</v>
      </c>
      <c r="C12" s="410">
        <f>ROUND(C15*D15*E15*F15*G15*H15*I15*J15,4)</f>
        <v>1.32</v>
      </c>
      <c r="D12" s="425" t="s">
        <v>1624</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91"/>
      <c r="X12" s="628" t="s">
        <v>1625</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73"/>
      <c r="B13" s="427" t="s">
        <v>1626</v>
      </c>
      <c r="C13" s="428" t="s">
        <v>1627</v>
      </c>
      <c r="D13" s="429" t="s">
        <v>1628</v>
      </c>
      <c r="E13" s="429" t="s">
        <v>1629</v>
      </c>
      <c r="F13" s="430" t="s">
        <v>1630</v>
      </c>
      <c r="G13" s="431" t="s">
        <v>1631</v>
      </c>
      <c r="H13" s="431" t="s">
        <v>1631</v>
      </c>
      <c r="I13" s="431" t="s">
        <v>1631</v>
      </c>
      <c r="J13" s="566" t="s">
        <v>1631</v>
      </c>
      <c r="K13" s="517"/>
      <c r="L13" s="517"/>
      <c r="M13" s="517"/>
      <c r="N13" s="517"/>
      <c r="O13" s="517"/>
      <c r="P13" s="517"/>
      <c r="Q13" s="517"/>
      <c r="R13" s="621">
        <v>12</v>
      </c>
      <c r="S13" s="623"/>
      <c r="T13" s="621">
        <f t="shared" si="1"/>
        <v>0</v>
      </c>
      <c r="U13" s="623"/>
      <c r="V13" s="621">
        <f t="shared" si="2"/>
        <v>0</v>
      </c>
      <c r="W13" s="3691"/>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73"/>
      <c r="B14" s="429"/>
      <c r="C14" s="432" t="s">
        <v>964</v>
      </c>
      <c r="D14" s="433" t="s">
        <v>1632</v>
      </c>
      <c r="E14" s="433" t="s">
        <v>1632</v>
      </c>
      <c r="F14" s="434" t="s">
        <v>1633</v>
      </c>
      <c r="G14" s="435" t="s">
        <v>1634</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74"/>
      <c r="B15" s="437" t="s">
        <v>1467</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75">
        <f>IF(E2="办公",2,IF(E2="工业",2,IF(E2="住宅",3,IF(E2="商业",IF(C8="不临58条商业街",2,3)))))</f>
        <v>3</v>
      </c>
      <c r="B16" s="440" t="s">
        <v>1635</v>
      </c>
      <c r="C16" s="409">
        <f>ROUND(IF(F17="与级别开发程度一致",0,(G17-E17)/C17),0)</f>
        <v>0</v>
      </c>
      <c r="D16" s="3692" t="s">
        <v>1636</v>
      </c>
      <c r="E16" s="3693"/>
      <c r="F16" s="3692" t="s">
        <v>1637</v>
      </c>
      <c r="G16" s="3693"/>
      <c r="H16" s="442" t="s">
        <v>1638</v>
      </c>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76"/>
      <c r="B17" s="443" t="s">
        <v>1639</v>
      </c>
      <c r="C17" s="444">
        <f>SUMPRODUCT((修正!A2:A5=E2)*(修正!B1:M1=G2)*(修正!B2:M5))</f>
        <v>0</v>
      </c>
      <c r="D17" s="438" t="str">
        <f>IF(OR(G2="八级",G2="九级",G2="十级",G2="十一级",G2="十二级"),"五通一平","七通一平")</f>
        <v>七通一平</v>
      </c>
      <c r="E17" s="445">
        <f>SUMPRODUCT((修正!B1:M1=G2)*(修正!B15:M15))</f>
        <v>0</v>
      </c>
      <c r="F17" s="446" t="s">
        <v>1640</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1641</v>
      </c>
      <c r="B18" s="449" t="s">
        <v>1642</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1643</v>
      </c>
      <c r="B19" s="453" t="s">
        <v>1644</v>
      </c>
      <c r="C19" s="454">
        <f>ROUND(IF(H19="按公示增长率计算",SUMPRODUCT((地价!A3:A37=YEAR(G19)&amp;"-"&amp;ROUNDUP(MONTH(G19)/3,0))*(地价!X2:AB2=E2)*(地价!X3:AB37)),IF(H19="地价指数",M20/M19,(1+I19)^O19)),4)</f>
        <v>0</v>
      </c>
      <c r="D19" s="455" t="s">
        <v>1645</v>
      </c>
      <c r="E19" s="456">
        <v>41640</v>
      </c>
      <c r="F19" s="455" t="s">
        <v>1646</v>
      </c>
      <c r="G19" s="457">
        <f>'数据-取费表'!B2</f>
        <v>44873</v>
      </c>
      <c r="H19" s="458" t="s">
        <v>1647</v>
      </c>
      <c r="I19" s="575" t="str">
        <f>IF(H19="季度增幅（自定义）",SUMIF(N21:N24,E2,O21:O24),"")</f>
        <v/>
      </c>
      <c r="J19" s="576"/>
      <c r="K19" s="574"/>
      <c r="L19" s="577" t="s">
        <v>1648</v>
      </c>
      <c r="M19" s="578">
        <f>ROUND(SUMIF(地价!B2:F2,E2,地价!B37:F37),0)</f>
        <v>423</v>
      </c>
      <c r="N19" s="579" t="s">
        <v>1649</v>
      </c>
      <c r="O19" s="580">
        <f>ROUNDDOWN(DATEDIF(E19,G19,"M")/3,0)</f>
        <v>35</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1650</v>
      </c>
      <c r="B20" s="460" t="s">
        <v>1651</v>
      </c>
      <c r="C20" s="461">
        <f>ROUND(POWER(1+G20,J20-I20)*(POWER(1+G20,I20)-1)/(POWER(1+G20,J20)-1),4)</f>
        <v>0.82730000000000004</v>
      </c>
      <c r="D20" s="462" t="s">
        <v>1652</v>
      </c>
      <c r="E20" s="463">
        <f>存贷款利率!E20/100</f>
        <v>4.3499999999999997E-2</v>
      </c>
      <c r="F20" s="462" t="s">
        <v>1653</v>
      </c>
      <c r="G20" s="464">
        <f>SUMIF(M26:P26,E2,M28:P28)</f>
        <v>0.05</v>
      </c>
      <c r="H20" s="462" t="s">
        <v>1654</v>
      </c>
      <c r="I20" s="441">
        <f>'数据-取费表'!B13</f>
        <v>33</v>
      </c>
      <c r="J20" s="581">
        <f>IF(E2="住宅",70,IF(E2="商业",40,50))</f>
        <v>70</v>
      </c>
      <c r="K20" s="574"/>
      <c r="L20" s="582" t="s">
        <v>1655</v>
      </c>
      <c r="M20" s="583">
        <f>ROUND(SUMPRODUCT((地价!A4:A37=YEAR(G19)&amp;"-"&amp;ROUNDUP(MONTH(G19)/3,0))*(地价!B2:F2=E2)*(地价!B4:F37)),0)</f>
        <v>0</v>
      </c>
      <c r="N20" s="584" t="s">
        <v>1656</v>
      </c>
      <c r="O20" s="585" t="s">
        <v>1657</v>
      </c>
      <c r="P20" s="586" t="s">
        <v>1658</v>
      </c>
      <c r="Q20" s="574"/>
      <c r="R20" s="517"/>
      <c r="S20" s="517"/>
      <c r="T20" s="517"/>
      <c r="U20" s="517"/>
      <c r="V20" s="517"/>
      <c r="W20" s="517"/>
      <c r="X20" s="384"/>
      <c r="Y20" s="384"/>
      <c r="Z20" s="384"/>
      <c r="AA20" s="384"/>
      <c r="AB20" s="384"/>
      <c r="AC20" s="384"/>
      <c r="AD20" s="384"/>
      <c r="AE20" s="638"/>
      <c r="AF20" s="638"/>
    </row>
    <row r="21" spans="1:35" s="381" customFormat="1" ht="15">
      <c r="A21" s="465" t="s">
        <v>1659</v>
      </c>
      <c r="B21" s="466" t="s">
        <v>1660</v>
      </c>
      <c r="C21" s="467">
        <f>IF(B21="容积率修正",IF(G3&lt;=10,D22,J22),C23)</f>
        <v>0</v>
      </c>
      <c r="D21" s="468"/>
      <c r="E21" s="468"/>
      <c r="F21" s="468"/>
      <c r="G21" s="468"/>
      <c r="H21" s="468"/>
      <c r="I21" s="468"/>
      <c r="J21" s="587"/>
      <c r="K21" s="574"/>
      <c r="L21" s="574"/>
      <c r="M21" s="574"/>
      <c r="N21" s="588" t="s">
        <v>1661</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1662</v>
      </c>
      <c r="C22" s="470" t="s">
        <v>1663</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1664</v>
      </c>
      <c r="J22" s="591" t="str">
        <f>IF(G3&gt;10,D113,"——")</f>
        <v>——</v>
      </c>
      <c r="K22" s="574"/>
      <c r="L22" s="574"/>
      <c r="M22" s="574"/>
      <c r="N22" s="588" t="s">
        <v>1665</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1666</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1667</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1668</v>
      </c>
      <c r="B24" s="476" t="s">
        <v>1669</v>
      </c>
      <c r="C24" s="477">
        <f>SUMIF(A46:A88,E2,B46:B88)</f>
        <v>1.0363</v>
      </c>
      <c r="D24" s="478"/>
      <c r="E24" s="479"/>
      <c r="F24" s="479"/>
      <c r="G24" s="479"/>
      <c r="H24" s="479"/>
      <c r="I24" s="479"/>
      <c r="J24" s="592"/>
      <c r="K24" s="574"/>
      <c r="L24" s="574"/>
      <c r="M24" s="574"/>
      <c r="N24" s="593" t="s">
        <v>1670</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1671</v>
      </c>
      <c r="B25" s="480" t="s">
        <v>1672</v>
      </c>
      <c r="C25" s="481"/>
      <c r="D25" s="413"/>
      <c r="E25" s="413"/>
      <c r="F25" s="482"/>
      <c r="G25" s="413"/>
      <c r="H25" s="413"/>
      <c r="I25" s="413"/>
      <c r="J25" s="559"/>
      <c r="K25" s="517"/>
      <c r="L25" s="517"/>
      <c r="M25" s="517"/>
      <c r="N25" s="596" t="s">
        <v>1673</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1674</v>
      </c>
      <c r="C26" s="484">
        <f>IF(B21="容积率修正",E29+SUM(E33:E39),SUM(V2:V16)+SUM(E33:E39))</f>
        <v>0</v>
      </c>
      <c r="D26" s="485"/>
      <c r="E26" s="436"/>
      <c r="F26" s="486"/>
      <c r="G26" s="436"/>
      <c r="H26" s="436"/>
      <c r="I26" s="436"/>
      <c r="J26" s="599"/>
      <c r="K26" s="517"/>
      <c r="L26" s="600" t="s">
        <v>1675</v>
      </c>
      <c r="M26" s="411" t="s">
        <v>1676</v>
      </c>
      <c r="N26" s="411" t="s">
        <v>1677</v>
      </c>
      <c r="O26" s="411" t="s">
        <v>1678</v>
      </c>
      <c r="P26" s="601" t="s">
        <v>1679</v>
      </c>
      <c r="Q26" s="517"/>
      <c r="R26" s="517"/>
      <c r="S26" s="517"/>
      <c r="T26" s="517"/>
      <c r="U26" s="517"/>
      <c r="V26" s="517"/>
      <c r="W26" s="517"/>
      <c r="X26" s="384"/>
      <c r="Y26" s="384"/>
      <c r="Z26" s="384"/>
      <c r="AA26" s="384"/>
      <c r="AB26" s="384"/>
      <c r="AC26" s="384"/>
      <c r="AD26" s="384"/>
      <c r="AE26" s="384"/>
      <c r="AF26" s="384"/>
    </row>
    <row r="27" spans="1:35" ht="15">
      <c r="A27" s="483"/>
      <c r="B27" s="487" t="s">
        <v>1680</v>
      </c>
      <c r="C27" s="488">
        <f>E30+SUM(I33:I39)</f>
        <v>0</v>
      </c>
      <c r="D27" s="489"/>
      <c r="E27" s="490"/>
      <c r="F27" s="491"/>
      <c r="G27" s="490"/>
      <c r="H27" s="490"/>
      <c r="I27" s="490"/>
      <c r="J27" s="602"/>
      <c r="K27" s="517"/>
      <c r="L27" s="603" t="s">
        <v>1681</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1682</v>
      </c>
      <c r="C28" s="493" t="s">
        <v>1683</v>
      </c>
      <c r="D28" s="493" t="s">
        <v>1684</v>
      </c>
      <c r="E28" s="480" t="s">
        <v>1685</v>
      </c>
      <c r="F28" s="494"/>
      <c r="G28" s="426"/>
      <c r="H28" s="426"/>
      <c r="I28" s="426"/>
      <c r="J28" s="562"/>
      <c r="K28" s="517"/>
      <c r="L28" s="605" t="s">
        <v>1653</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1686</v>
      </c>
      <c r="C29" s="495">
        <f>ROUND(C5*C18*C19*C20*C21*C24,0)</f>
        <v>0</v>
      </c>
      <c r="D29" s="496">
        <f>项目基本情况!C12</f>
        <v>59.11</v>
      </c>
      <c r="E29" s="497">
        <f>ROUND(C29*D29,0)</f>
        <v>0</v>
      </c>
      <c r="F29" s="498" t="s">
        <v>1687</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1688</v>
      </c>
      <c r="C30" s="438">
        <f>ROUND(IF(E2="工业",C29*M39,C29*M38),0)</f>
        <v>0</v>
      </c>
      <c r="D30" s="501"/>
      <c r="E30" s="497">
        <f>ROUND(C30*D30,0)</f>
        <v>0</v>
      </c>
      <c r="F30" s="502" t="s">
        <v>1689</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1690</v>
      </c>
      <c r="C31" s="506" t="s">
        <v>1691</v>
      </c>
      <c r="D31" s="426"/>
      <c r="E31" s="506"/>
      <c r="F31" s="506"/>
      <c r="G31" s="425" t="s">
        <v>1689</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1683</v>
      </c>
      <c r="D32" s="509" t="s">
        <v>1684</v>
      </c>
      <c r="E32" s="509" t="s">
        <v>1685</v>
      </c>
      <c r="F32" s="398" t="s">
        <v>1692</v>
      </c>
      <c r="G32" s="471" t="s">
        <v>1683</v>
      </c>
      <c r="H32" s="471" t="s">
        <v>1684</v>
      </c>
      <c r="I32" s="471" t="s">
        <v>1685</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77" t="s">
        <v>1693</v>
      </c>
      <c r="B33" s="510" t="s">
        <v>1694</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78"/>
      <c r="B34" s="428" t="s">
        <v>1695</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78"/>
      <c r="B35" s="428" t="s">
        <v>1696</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9"/>
      <c r="B36" s="428" t="s">
        <v>1697</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1698</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1699</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1700</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1701</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1702</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1679</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1703</v>
      </c>
      <c r="C41" s="398">
        <f>ROUND(POWER(1+E41,H41-G41)*(POWER(1+E41,G41)-1)/(POWER(1+E41,H41)-1),4)</f>
        <v>0</v>
      </c>
      <c r="D41" s="398" t="s">
        <v>1653</v>
      </c>
      <c r="E41" s="515">
        <f>G20</f>
        <v>0.05</v>
      </c>
      <c r="F41" s="398" t="s">
        <v>1654</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1704</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1705</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1706</v>
      </c>
      <c r="B47" s="528" t="s">
        <v>1707</v>
      </c>
      <c r="C47" s="528" t="s">
        <v>1708</v>
      </c>
      <c r="D47" s="528" t="s">
        <v>1709</v>
      </c>
      <c r="E47" s="529" t="s">
        <v>1710</v>
      </c>
      <c r="F47" s="485" t="s">
        <v>1711</v>
      </c>
      <c r="G47" s="528" t="s">
        <v>1467</v>
      </c>
      <c r="H47" s="530" t="s">
        <v>1712</v>
      </c>
      <c r="I47" s="528" t="s">
        <v>1713</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1714</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1715</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1716</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1717</v>
      </c>
      <c r="B51" s="539" t="s">
        <v>1718</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1719</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1720</v>
      </c>
      <c r="B53" s="540" t="s">
        <v>1721</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1722</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1723</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1724</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1725</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1706</v>
      </c>
      <c r="B58" s="537"/>
      <c r="C58" s="528" t="s">
        <v>1708</v>
      </c>
      <c r="D58" s="528" t="s">
        <v>1709</v>
      </c>
      <c r="E58" s="529" t="s">
        <v>1710</v>
      </c>
      <c r="F58" s="485" t="s">
        <v>1711</v>
      </c>
      <c r="G58" s="528" t="s">
        <v>1467</v>
      </c>
      <c r="H58" s="530" t="s">
        <v>1712</v>
      </c>
      <c r="I58" s="528" t="s">
        <v>1713</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1726</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1715</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1716</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1717</v>
      </c>
      <c r="B62" s="539" t="s">
        <v>1718</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1719</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1720</v>
      </c>
      <c r="B64" s="540" t="s">
        <v>1721</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1722</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1723</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1724</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1727</v>
      </c>
      <c r="B68" s="546">
        <f>1+E70</f>
        <v>1.0363</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1706</v>
      </c>
      <c r="B69" s="537"/>
      <c r="C69" s="528" t="s">
        <v>1708</v>
      </c>
      <c r="D69" s="528" t="s">
        <v>1709</v>
      </c>
      <c r="E69" s="529" t="s">
        <v>1710</v>
      </c>
      <c r="F69" s="485" t="s">
        <v>1711</v>
      </c>
      <c r="G69" s="528" t="s">
        <v>1467</v>
      </c>
      <c r="H69" s="530" t="s">
        <v>1712</v>
      </c>
      <c r="I69" s="528" t="s">
        <v>1713</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1728</v>
      </c>
      <c r="B70" s="531" t="str">
        <f>估价对象房地状况!C15</f>
        <v>估价对象周边居住用地比例、居住小区规模和社区发展完善程度，综合评价居住社区成熟度一般</v>
      </c>
      <c r="C70" s="433" t="s">
        <v>899</v>
      </c>
      <c r="D70" s="532">
        <f t="shared" ref="D70:D78" si="21">SUMIF($J$69:$N$69,C70,J70:N70)</f>
        <v>4.8999999999999998E-3</v>
      </c>
      <c r="E70" s="533">
        <f>ROUND(SUM(D70:D78),4)</f>
        <v>3.6299999999999999E-2</v>
      </c>
      <c r="F70" s="534">
        <f>IF(E2="住宅",SUMIF(L1:L12,G2,N1:N12),"——")</f>
        <v>0</v>
      </c>
      <c r="G70" s="535">
        <v>4.8999999999999998E-3</v>
      </c>
      <c r="H70" s="536">
        <f t="shared" ref="H70:H78" si="22">IFERROR(ROUNDDOWN($F$70*I70/2,4),"——")</f>
        <v>0</v>
      </c>
      <c r="I70" s="618">
        <v>0.14000000000000001</v>
      </c>
      <c r="J70" s="619">
        <f t="shared" ref="J70:J78" si="23">K70+$G70</f>
        <v>9.7999999999999997E-3</v>
      </c>
      <c r="K70" s="619">
        <f t="shared" ref="K70:K78" si="24">$L70+$G70</f>
        <v>4.8999999999999998E-3</v>
      </c>
      <c r="L70" s="619">
        <v>0</v>
      </c>
      <c r="M70" s="619">
        <f t="shared" ref="M70:N78" si="25">L70-$G70</f>
        <v>-4.8999999999999998E-3</v>
      </c>
      <c r="N70" s="619">
        <f t="shared" si="25"/>
        <v>-9.7999999999999997E-3</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1715</v>
      </c>
      <c r="B71" s="537" t="str">
        <f>估价对象房地状况!C18</f>
        <v>估价对象周边道路状况、公共交通通达情况、停车便捷程度，综合评价交通便捷度较好</v>
      </c>
      <c r="C71" s="433" t="s">
        <v>899</v>
      </c>
      <c r="D71" s="532">
        <f t="shared" si="21"/>
        <v>1.0500000000000001E-2</v>
      </c>
      <c r="E71" s="538"/>
      <c r="F71" s="534"/>
      <c r="G71" s="535">
        <v>1.0500000000000001E-2</v>
      </c>
      <c r="H71" s="536">
        <f t="shared" si="22"/>
        <v>0</v>
      </c>
      <c r="I71" s="618">
        <v>0.3</v>
      </c>
      <c r="J71" s="619">
        <f t="shared" si="23"/>
        <v>2.1000000000000001E-2</v>
      </c>
      <c r="K71" s="619">
        <f t="shared" si="24"/>
        <v>1.0500000000000001E-2</v>
      </c>
      <c r="L71" s="619">
        <v>0</v>
      </c>
      <c r="M71" s="619">
        <f t="shared" si="25"/>
        <v>-1.0500000000000001E-2</v>
      </c>
      <c r="N71" s="619">
        <f t="shared" si="25"/>
        <v>-2.1000000000000001E-2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1716</v>
      </c>
      <c r="B72" s="537">
        <f>估价对象房地状况!C19</f>
        <v>0</v>
      </c>
      <c r="C72" s="433" t="s">
        <v>899</v>
      </c>
      <c r="D72" s="532">
        <f t="shared" si="21"/>
        <v>2.8E-3</v>
      </c>
      <c r="E72" s="538"/>
      <c r="F72" s="534"/>
      <c r="G72" s="535">
        <v>2.8E-3</v>
      </c>
      <c r="H72" s="536">
        <f t="shared" si="22"/>
        <v>0</v>
      </c>
      <c r="I72" s="618">
        <v>0.08</v>
      </c>
      <c r="J72" s="619">
        <f t="shared" si="23"/>
        <v>5.5999999999999999E-3</v>
      </c>
      <c r="K72" s="619">
        <f t="shared" si="24"/>
        <v>2.8E-3</v>
      </c>
      <c r="L72" s="619">
        <v>0</v>
      </c>
      <c r="M72" s="619">
        <f t="shared" si="25"/>
        <v>-2.8E-3</v>
      </c>
      <c r="N72" s="619">
        <f t="shared" si="25"/>
        <v>-5.5999999999999999E-3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1729</v>
      </c>
      <c r="B73" s="537">
        <f>估价对象房地状况!C24</f>
        <v>0</v>
      </c>
      <c r="C73" s="433" t="s">
        <v>1730</v>
      </c>
      <c r="D73" s="532">
        <f t="shared" si="21"/>
        <v>-1.4E-3</v>
      </c>
      <c r="E73" s="538"/>
      <c r="F73" s="534"/>
      <c r="G73" s="535">
        <v>1.4E-3</v>
      </c>
      <c r="H73" s="536">
        <f t="shared" si="22"/>
        <v>0</v>
      </c>
      <c r="I73" s="618">
        <v>0.04</v>
      </c>
      <c r="J73" s="619">
        <f t="shared" si="23"/>
        <v>2.8E-3</v>
      </c>
      <c r="K73" s="619">
        <f t="shared" si="24"/>
        <v>1.4E-3</v>
      </c>
      <c r="L73" s="619">
        <v>0</v>
      </c>
      <c r="M73" s="619">
        <f t="shared" si="25"/>
        <v>-1.4E-3</v>
      </c>
      <c r="N73" s="619">
        <f t="shared" si="25"/>
        <v>-2.8E-3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1722</v>
      </c>
      <c r="B74" s="542" t="str">
        <f>估价对象房地状况!C21</f>
        <v>估价对象所在区域公共配套设施齐备情况</v>
      </c>
      <c r="C74" s="433" t="s">
        <v>899</v>
      </c>
      <c r="D74" s="532">
        <f t="shared" si="21"/>
        <v>2.8E-3</v>
      </c>
      <c r="E74" s="538"/>
      <c r="F74" s="534"/>
      <c r="G74" s="535">
        <v>2.8E-3</v>
      </c>
      <c r="H74" s="536">
        <f t="shared" si="22"/>
        <v>0</v>
      </c>
      <c r="I74" s="618">
        <v>0.08</v>
      </c>
      <c r="J74" s="619">
        <f t="shared" si="23"/>
        <v>5.5999999999999999E-3</v>
      </c>
      <c r="K74" s="619">
        <f t="shared" si="24"/>
        <v>2.8E-3</v>
      </c>
      <c r="L74" s="619">
        <v>0</v>
      </c>
      <c r="M74" s="619">
        <f t="shared" si="25"/>
        <v>-2.8E-3</v>
      </c>
      <c r="N74" s="619">
        <f t="shared" si="25"/>
        <v>-5.5999999999999999E-3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1723</v>
      </c>
      <c r="B75" s="542" t="str">
        <f>估价对象房地状况!C22</f>
        <v>估价对象所在区域基础设施水平</v>
      </c>
      <c r="C75" s="433" t="s">
        <v>900</v>
      </c>
      <c r="D75" s="532">
        <f t="shared" si="21"/>
        <v>8.3999999999999995E-3</v>
      </c>
      <c r="E75" s="538"/>
      <c r="F75" s="534"/>
      <c r="G75" s="535">
        <v>4.1999999999999997E-3</v>
      </c>
      <c r="H75" s="536">
        <f t="shared" si="22"/>
        <v>0</v>
      </c>
      <c r="I75" s="618">
        <v>0.12</v>
      </c>
      <c r="J75" s="619">
        <f t="shared" si="23"/>
        <v>8.3999999999999995E-3</v>
      </c>
      <c r="K75" s="619">
        <f t="shared" si="24"/>
        <v>4.1999999999999997E-3</v>
      </c>
      <c r="L75" s="619">
        <v>0</v>
      </c>
      <c r="M75" s="619">
        <f t="shared" si="25"/>
        <v>-4.1999999999999997E-3</v>
      </c>
      <c r="N75" s="619">
        <f t="shared" si="25"/>
        <v>-8.3999999999999995E-3</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1720</v>
      </c>
      <c r="B76" s="540" t="s">
        <v>1721</v>
      </c>
      <c r="C76" s="433" t="s">
        <v>899</v>
      </c>
      <c r="D76" s="532">
        <f t="shared" si="21"/>
        <v>1.6999999999999999E-3</v>
      </c>
      <c r="E76" s="538"/>
      <c r="F76" s="534"/>
      <c r="G76" s="535">
        <v>1.6999999999999999E-3</v>
      </c>
      <c r="H76" s="536">
        <f t="shared" si="22"/>
        <v>0</v>
      </c>
      <c r="I76" s="618">
        <v>0.05</v>
      </c>
      <c r="J76" s="619">
        <f t="shared" si="23"/>
        <v>3.3999999999999998E-3</v>
      </c>
      <c r="K76" s="619">
        <f t="shared" si="24"/>
        <v>1.6999999999999999E-3</v>
      </c>
      <c r="L76" s="619">
        <v>0</v>
      </c>
      <c r="M76" s="619">
        <f t="shared" si="25"/>
        <v>-1.6999999999999999E-3</v>
      </c>
      <c r="N76" s="619">
        <f t="shared" si="25"/>
        <v>-3.3999999999999998E-3</v>
      </c>
      <c r="Q76" s="676"/>
      <c r="R76" s="676"/>
      <c r="S76" s="676"/>
      <c r="T76" s="676"/>
      <c r="U76" s="676"/>
      <c r="V76" s="676"/>
      <c r="W76" s="676"/>
      <c r="AA76" s="383"/>
      <c r="AG76" s="382"/>
    </row>
    <row r="77" spans="1:33" ht="38.25">
      <c r="A77" s="527" t="s">
        <v>1724</v>
      </c>
      <c r="B77" s="531" t="str">
        <f>估价对象房地状况!C20</f>
        <v>区域自然环境：；人文环境；综合评价环境状况一般</v>
      </c>
      <c r="C77" s="433" t="s">
        <v>899</v>
      </c>
      <c r="D77" s="532">
        <f t="shared" si="21"/>
        <v>5.1999999999999998E-3</v>
      </c>
      <c r="E77" s="538"/>
      <c r="F77" s="534"/>
      <c r="G77" s="535">
        <v>5.1999999999999998E-3</v>
      </c>
      <c r="H77" s="536">
        <f t="shared" si="22"/>
        <v>0</v>
      </c>
      <c r="I77" s="618">
        <v>0.15</v>
      </c>
      <c r="J77" s="619">
        <f t="shared" si="23"/>
        <v>1.04E-2</v>
      </c>
      <c r="K77" s="619">
        <f t="shared" si="24"/>
        <v>5.1999999999999998E-3</v>
      </c>
      <c r="L77" s="619">
        <v>0</v>
      </c>
      <c r="M77" s="619">
        <f t="shared" si="25"/>
        <v>-5.1999999999999998E-3</v>
      </c>
      <c r="N77" s="619">
        <f t="shared" si="25"/>
        <v>-1.04E-2</v>
      </c>
      <c r="Q77" s="676"/>
      <c r="R77" s="676"/>
      <c r="S77" s="676"/>
      <c r="T77" s="676"/>
      <c r="U77" s="676"/>
      <c r="V77" s="676"/>
      <c r="W77" s="676"/>
      <c r="AA77" s="383"/>
      <c r="AG77" s="382"/>
    </row>
    <row r="78" spans="1:33" ht="24">
      <c r="A78" s="543" t="s">
        <v>1731</v>
      </c>
      <c r="B78" s="644"/>
      <c r="C78" s="433" t="s">
        <v>899</v>
      </c>
      <c r="D78" s="532">
        <f t="shared" si="21"/>
        <v>1.4E-3</v>
      </c>
      <c r="E78" s="545"/>
      <c r="F78" s="534"/>
      <c r="G78" s="535">
        <v>1.4E-3</v>
      </c>
      <c r="H78" s="536">
        <f t="shared" si="22"/>
        <v>0</v>
      </c>
      <c r="I78" s="620">
        <v>0.04</v>
      </c>
      <c r="J78" s="619">
        <f t="shared" si="23"/>
        <v>2.8E-3</v>
      </c>
      <c r="K78" s="619">
        <f t="shared" si="24"/>
        <v>1.4E-3</v>
      </c>
      <c r="L78" s="619">
        <v>0</v>
      </c>
      <c r="M78" s="619">
        <f t="shared" si="25"/>
        <v>-1.4E-3</v>
      </c>
      <c r="N78" s="619">
        <f t="shared" si="25"/>
        <v>-2.8E-3</v>
      </c>
      <c r="Q78" s="676"/>
      <c r="R78" s="676"/>
      <c r="S78" s="676"/>
      <c r="T78" s="676"/>
      <c r="U78" s="676"/>
      <c r="V78" s="676"/>
      <c r="W78" s="676"/>
      <c r="AA78" s="383"/>
      <c r="AG78" s="382"/>
    </row>
    <row r="79" spans="1:33" ht="15">
      <c r="A79" s="521" t="s">
        <v>1732</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1706</v>
      </c>
      <c r="B80" s="537"/>
      <c r="C80" s="528" t="s">
        <v>1708</v>
      </c>
      <c r="D80" s="528" t="s">
        <v>1709</v>
      </c>
      <c r="E80" s="529" t="s">
        <v>1710</v>
      </c>
      <c r="F80" s="485" t="s">
        <v>1711</v>
      </c>
      <c r="G80" s="528" t="s">
        <v>1467</v>
      </c>
      <c r="H80" s="530" t="s">
        <v>1712</v>
      </c>
      <c r="I80" s="528" t="s">
        <v>1713</v>
      </c>
      <c r="J80" s="617" t="s">
        <v>226</v>
      </c>
      <c r="K80" s="617" t="s">
        <v>238</v>
      </c>
      <c r="L80" s="617" t="s">
        <v>249</v>
      </c>
      <c r="M80" s="617" t="s">
        <v>259</v>
      </c>
      <c r="N80" s="617" t="s">
        <v>266</v>
      </c>
      <c r="Q80" s="676"/>
      <c r="R80" s="676"/>
      <c r="S80" s="676"/>
      <c r="T80" s="676"/>
      <c r="U80" s="676"/>
      <c r="V80" s="676"/>
      <c r="W80" s="676"/>
      <c r="AA80" s="383"/>
      <c r="AG80" s="382"/>
    </row>
    <row r="81" spans="1:33" ht="38.25">
      <c r="A81" s="527" t="s">
        <v>1733</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1715</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1716</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1729</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1722</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1723</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1720</v>
      </c>
      <c r="B87" s="540" t="s">
        <v>1721</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1734</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94" t="s">
        <v>1735</v>
      </c>
      <c r="B90" s="3694"/>
      <c r="C90" s="3694"/>
      <c r="D90" s="3694"/>
      <c r="E90" s="3694"/>
      <c r="F90" s="3694"/>
      <c r="G90" s="3694"/>
      <c r="H90" s="3694"/>
      <c r="I90" s="3694"/>
      <c r="J90" s="3694"/>
      <c r="K90" s="648"/>
      <c r="L90" s="648"/>
      <c r="M90" s="648"/>
      <c r="N90" s="648"/>
      <c r="Q90" s="676"/>
      <c r="R90" s="676"/>
      <c r="S90" s="676"/>
      <c r="T90" s="676"/>
      <c r="U90" s="676"/>
      <c r="V90" s="676"/>
      <c r="W90" s="676"/>
    </row>
    <row r="91" spans="1:33">
      <c r="A91" s="3680" t="s">
        <v>1736</v>
      </c>
      <c r="B91" s="3680" t="s">
        <v>1737</v>
      </c>
      <c r="C91" s="498" t="s">
        <v>1738</v>
      </c>
      <c r="D91" s="499"/>
      <c r="E91" s="499"/>
      <c r="F91" s="499"/>
      <c r="G91" s="499"/>
      <c r="H91" s="499"/>
      <c r="I91" s="499"/>
      <c r="J91" s="669"/>
      <c r="K91" s="670"/>
      <c r="L91" s="670"/>
      <c r="M91" s="670"/>
      <c r="N91" s="670"/>
      <c r="Q91" s="676"/>
      <c r="R91" s="676"/>
      <c r="S91" s="676"/>
      <c r="T91" s="676"/>
      <c r="U91" s="676"/>
      <c r="V91" s="676"/>
      <c r="W91" s="676"/>
    </row>
    <row r="92" spans="1:33">
      <c r="A92" s="3680"/>
      <c r="B92" s="3680"/>
      <c r="C92" s="497" t="s">
        <v>1599</v>
      </c>
      <c r="D92" s="497" t="s">
        <v>1600</v>
      </c>
      <c r="E92" s="497" t="s">
        <v>1601</v>
      </c>
      <c r="F92" s="497" t="s">
        <v>1602</v>
      </c>
      <c r="G92" s="497" t="s">
        <v>1603</v>
      </c>
      <c r="H92" s="497" t="s">
        <v>1604</v>
      </c>
      <c r="I92" s="497" t="s">
        <v>1605</v>
      </c>
      <c r="J92" s="497" t="s">
        <v>1606</v>
      </c>
      <c r="K92" s="497" t="s">
        <v>1607</v>
      </c>
      <c r="L92" s="497" t="s">
        <v>1608</v>
      </c>
      <c r="M92" s="497" t="s">
        <v>1609</v>
      </c>
      <c r="N92" s="497" t="s">
        <v>1610</v>
      </c>
      <c r="Q92" s="676"/>
      <c r="R92" s="676"/>
      <c r="S92" s="676"/>
      <c r="T92" s="676"/>
      <c r="U92" s="676"/>
      <c r="V92" s="676"/>
      <c r="W92" s="676"/>
    </row>
    <row r="93" spans="1:33">
      <c r="A93" s="3681" t="s">
        <v>1739</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82"/>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82"/>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82"/>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82"/>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82"/>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82"/>
      <c r="B99" s="649" t="s">
        <v>1615</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83"/>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81" t="s">
        <v>1740</v>
      </c>
      <c r="B101" s="653" t="s">
        <v>1741</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82"/>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82"/>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82"/>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82"/>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82"/>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82"/>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82"/>
      <c r="B108" s="3684" t="s">
        <v>1625</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83"/>
      <c r="B109" s="3685"/>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70" t="s">
        <v>1742</v>
      </c>
      <c r="B110" s="3670"/>
      <c r="C110" s="3670"/>
      <c r="D110" s="3670"/>
      <c r="E110" s="3670"/>
      <c r="F110" s="3670"/>
      <c r="G110" s="3670"/>
      <c r="H110" s="3670"/>
      <c r="I110" s="3670"/>
      <c r="J110" s="3670"/>
      <c r="K110" s="655"/>
      <c r="L110" s="655"/>
      <c r="M110" s="655"/>
      <c r="N110" s="655"/>
      <c r="Q110" s="676"/>
      <c r="R110" s="676"/>
      <c r="S110" s="676"/>
      <c r="T110" s="676"/>
      <c r="U110" s="676"/>
      <c r="V110" s="676"/>
      <c r="W110" s="676"/>
    </row>
    <row r="113" spans="1:13" ht="24.75">
      <c r="A113" s="656" t="s">
        <v>1743</v>
      </c>
      <c r="B113" s="657">
        <f>G3</f>
        <v>0</v>
      </c>
      <c r="C113" s="658" t="s">
        <v>1744</v>
      </c>
      <c r="D113" s="659">
        <f>SUMPRODUCT((A115:A118=F113)*(B114:M114=H113)*B115:M118)</f>
        <v>0</v>
      </c>
      <c r="E113" s="392" t="s">
        <v>1675</v>
      </c>
      <c r="F113" s="660" t="str">
        <f>E2</f>
        <v>住宅</v>
      </c>
      <c r="G113" s="392" t="s">
        <v>1579</v>
      </c>
      <c r="H113" s="660">
        <f>G2</f>
        <v>0</v>
      </c>
      <c r="I113" s="392"/>
      <c r="J113" s="671"/>
      <c r="K113" s="671"/>
      <c r="L113" s="671"/>
      <c r="M113" s="671"/>
    </row>
    <row r="114" spans="1:13">
      <c r="A114" s="661"/>
      <c r="B114" s="662" t="s">
        <v>1745</v>
      </c>
      <c r="C114" s="662" t="s">
        <v>1746</v>
      </c>
      <c r="D114" s="662" t="s">
        <v>1747</v>
      </c>
      <c r="E114" s="663" t="s">
        <v>1748</v>
      </c>
      <c r="F114" s="663" t="s">
        <v>1749</v>
      </c>
      <c r="G114" s="663" t="s">
        <v>1750</v>
      </c>
      <c r="H114" s="664" t="s">
        <v>1751</v>
      </c>
      <c r="I114" s="664" t="s">
        <v>1752</v>
      </c>
      <c r="J114" s="672" t="s">
        <v>1753</v>
      </c>
      <c r="K114" s="672" t="s">
        <v>1754</v>
      </c>
      <c r="L114" s="672" t="s">
        <v>1755</v>
      </c>
      <c r="M114" s="673" t="s">
        <v>1756</v>
      </c>
    </row>
    <row r="115" spans="1:13">
      <c r="A115" s="665" t="s">
        <v>1676</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1677</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1678</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1679</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sheetPr codeName="Sheet33"/>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95" t="s">
        <v>1757</v>
      </c>
      <c r="B1" s="3695"/>
    </row>
    <row r="2" spans="1:6">
      <c r="A2" s="272"/>
      <c r="B2" s="272"/>
    </row>
    <row r="3" spans="1:6">
      <c r="A3" s="272"/>
      <c r="B3" s="272"/>
      <c r="C3" s="360" t="s">
        <v>1758</v>
      </c>
      <c r="D3" s="360" t="s">
        <v>1759</v>
      </c>
      <c r="E3" s="360" t="s">
        <v>461</v>
      </c>
      <c r="F3" s="360" t="s">
        <v>1760</v>
      </c>
    </row>
    <row r="4" spans="1:6">
      <c r="A4" s="361" t="s">
        <v>1761</v>
      </c>
      <c r="B4" s="362" t="s">
        <v>1762</v>
      </c>
      <c r="C4" s="360"/>
      <c r="D4" s="360"/>
      <c r="E4" s="360"/>
      <c r="F4" s="360"/>
    </row>
    <row r="5" spans="1:6">
      <c r="A5" s="278" t="s">
        <v>1763</v>
      </c>
      <c r="B5" s="279" t="s">
        <v>1764</v>
      </c>
      <c r="C5" s="363">
        <v>8.8999999999999996E-2</v>
      </c>
      <c r="D5" s="363">
        <v>7.3999999999999996E-2</v>
      </c>
      <c r="E5" s="363">
        <v>7.4999999999999997E-2</v>
      </c>
      <c r="F5" s="364">
        <v>0.1</v>
      </c>
    </row>
    <row r="6" spans="1:6">
      <c r="A6" s="278" t="s">
        <v>1763</v>
      </c>
      <c r="B6" s="283" t="s">
        <v>1765</v>
      </c>
      <c r="C6" s="365">
        <v>0.1</v>
      </c>
      <c r="D6" s="365">
        <v>9.0999999999999998E-2</v>
      </c>
      <c r="E6" s="365">
        <v>9.0999999999999998E-2</v>
      </c>
      <c r="F6" s="366">
        <v>0.1</v>
      </c>
    </row>
    <row r="7" spans="1:6">
      <c r="A7" s="278" t="s">
        <v>1763</v>
      </c>
      <c r="B7" s="287" t="s">
        <v>1766</v>
      </c>
      <c r="C7" s="365">
        <v>8.5999999999999993E-2</v>
      </c>
      <c r="D7" s="365">
        <v>9.6000000000000002E-2</v>
      </c>
      <c r="E7" s="365">
        <v>7.5999999999999998E-2</v>
      </c>
      <c r="F7" s="366">
        <v>0.1</v>
      </c>
    </row>
    <row r="8" spans="1:6">
      <c r="A8" s="278" t="s">
        <v>1763</v>
      </c>
      <c r="B8" s="283" t="s">
        <v>1767</v>
      </c>
      <c r="C8" s="365">
        <v>9.9000000000000005E-2</v>
      </c>
      <c r="D8" s="365">
        <v>9.8000000000000004E-2</v>
      </c>
      <c r="E8" s="365">
        <v>9.8000000000000004E-2</v>
      </c>
      <c r="F8" s="366">
        <v>0.1</v>
      </c>
    </row>
    <row r="9" spans="1:6">
      <c r="A9" s="296" t="s">
        <v>1763</v>
      </c>
      <c r="B9" s="288" t="s">
        <v>1768</v>
      </c>
      <c r="C9" s="367">
        <v>0.05</v>
      </c>
      <c r="D9" s="368"/>
      <c r="E9" s="368"/>
      <c r="F9" s="369"/>
    </row>
    <row r="10" spans="1:6">
      <c r="A10" s="278" t="s">
        <v>1769</v>
      </c>
      <c r="B10" s="279" t="s">
        <v>1770</v>
      </c>
      <c r="C10" s="363">
        <v>8.8999999999999996E-2</v>
      </c>
      <c r="D10" s="363">
        <v>7.2999999999999995E-2</v>
      </c>
      <c r="E10" s="363">
        <v>8.2000000000000003E-2</v>
      </c>
      <c r="F10" s="364">
        <v>0.1</v>
      </c>
    </row>
    <row r="11" spans="1:6">
      <c r="A11" s="278" t="s">
        <v>1769</v>
      </c>
      <c r="B11" s="287" t="s">
        <v>1771</v>
      </c>
      <c r="C11" s="365">
        <v>8.8999999999999996E-2</v>
      </c>
      <c r="D11" s="365">
        <v>7.2999999999999995E-2</v>
      </c>
      <c r="E11" s="365">
        <v>8.2000000000000003E-2</v>
      </c>
      <c r="F11" s="366">
        <v>0.1</v>
      </c>
    </row>
    <row r="12" spans="1:6">
      <c r="A12" s="278" t="s">
        <v>1769</v>
      </c>
      <c r="B12" s="287" t="s">
        <v>1772</v>
      </c>
      <c r="C12" s="365">
        <v>6.0999999999999999E-2</v>
      </c>
      <c r="D12" s="365">
        <v>7.0999999999999994E-2</v>
      </c>
      <c r="E12" s="365">
        <v>9.6000000000000002E-2</v>
      </c>
      <c r="F12" s="366">
        <v>0.1</v>
      </c>
    </row>
    <row r="13" spans="1:6">
      <c r="A13" s="278" t="s">
        <v>1769</v>
      </c>
      <c r="B13" s="287" t="s">
        <v>1773</v>
      </c>
      <c r="C13" s="365">
        <v>6.9000000000000006E-2</v>
      </c>
      <c r="D13" s="365">
        <v>6.5000000000000002E-2</v>
      </c>
      <c r="E13" s="365">
        <v>6.6000000000000003E-2</v>
      </c>
      <c r="F13" s="366">
        <v>0.1</v>
      </c>
    </row>
    <row r="14" spans="1:6">
      <c r="A14" s="278" t="s">
        <v>1769</v>
      </c>
      <c r="B14" s="287" t="s">
        <v>1774</v>
      </c>
      <c r="C14" s="365">
        <v>0.1</v>
      </c>
      <c r="D14" s="365">
        <v>6.5000000000000002E-2</v>
      </c>
      <c r="E14" s="365">
        <v>7.0000000000000007E-2</v>
      </c>
      <c r="F14" s="366">
        <v>0.1</v>
      </c>
    </row>
    <row r="15" spans="1:6">
      <c r="A15" s="278" t="s">
        <v>1769</v>
      </c>
      <c r="B15" s="287" t="s">
        <v>1775</v>
      </c>
      <c r="C15" s="365">
        <v>9.8000000000000004E-2</v>
      </c>
      <c r="D15" s="365">
        <v>8.8999999999999996E-2</v>
      </c>
      <c r="E15" s="365">
        <v>8.8999999999999996E-2</v>
      </c>
      <c r="F15" s="366">
        <v>0.1</v>
      </c>
    </row>
    <row r="16" spans="1:6">
      <c r="A16" s="278" t="s">
        <v>1769</v>
      </c>
      <c r="B16" s="287" t="s">
        <v>1776</v>
      </c>
      <c r="C16" s="365">
        <v>7.0000000000000007E-2</v>
      </c>
      <c r="D16" s="365">
        <v>9.2999999999999999E-2</v>
      </c>
      <c r="E16" s="365">
        <v>9.6000000000000002E-2</v>
      </c>
      <c r="F16" s="366">
        <v>0.1</v>
      </c>
    </row>
    <row r="17" spans="1:6">
      <c r="A17" s="278" t="s">
        <v>1769</v>
      </c>
      <c r="B17" s="287" t="s">
        <v>1777</v>
      </c>
      <c r="C17" s="365">
        <v>9.5000000000000001E-2</v>
      </c>
      <c r="D17" s="365">
        <v>0.1</v>
      </c>
      <c r="E17" s="365">
        <v>0.1</v>
      </c>
      <c r="F17" s="370"/>
    </row>
    <row r="18" spans="1:6">
      <c r="A18" s="278" t="s">
        <v>1769</v>
      </c>
      <c r="B18" s="287" t="s">
        <v>1778</v>
      </c>
      <c r="C18" s="365">
        <v>7.3999999999999996E-2</v>
      </c>
      <c r="D18" s="365">
        <v>9.9000000000000005E-2</v>
      </c>
      <c r="E18" s="365">
        <v>0.1</v>
      </c>
      <c r="F18" s="370"/>
    </row>
    <row r="19" spans="1:6">
      <c r="A19" s="278" t="s">
        <v>1769</v>
      </c>
      <c r="B19" s="287" t="s">
        <v>1779</v>
      </c>
      <c r="C19" s="365">
        <v>9.9000000000000005E-2</v>
      </c>
      <c r="D19" s="365">
        <v>7.5999999999999998E-2</v>
      </c>
      <c r="E19" s="365">
        <v>8.6999999999999994E-2</v>
      </c>
      <c r="F19" s="370"/>
    </row>
    <row r="20" spans="1:6">
      <c r="A20" s="278" t="s">
        <v>1769</v>
      </c>
      <c r="B20" s="287" t="s">
        <v>1780</v>
      </c>
      <c r="C20" s="365">
        <v>9.8000000000000004E-2</v>
      </c>
      <c r="D20" s="365">
        <v>8.5000000000000006E-2</v>
      </c>
      <c r="E20" s="365">
        <v>8.2000000000000003E-2</v>
      </c>
      <c r="F20" s="370"/>
    </row>
    <row r="21" spans="1:6">
      <c r="A21" s="278" t="s">
        <v>1769</v>
      </c>
      <c r="B21" s="287" t="s">
        <v>1781</v>
      </c>
      <c r="C21" s="365">
        <v>6.6000000000000003E-2</v>
      </c>
      <c r="D21" s="365">
        <v>6.4000000000000001E-2</v>
      </c>
      <c r="E21" s="365">
        <v>6.5000000000000002E-2</v>
      </c>
      <c r="F21" s="370"/>
    </row>
    <row r="22" spans="1:6">
      <c r="A22" s="278" t="s">
        <v>1769</v>
      </c>
      <c r="B22" s="287" t="s">
        <v>1782</v>
      </c>
      <c r="C22" s="365">
        <v>0.08</v>
      </c>
      <c r="D22" s="365">
        <v>9.8000000000000004E-2</v>
      </c>
      <c r="E22" s="365">
        <v>9.8000000000000004E-2</v>
      </c>
      <c r="F22" s="370"/>
    </row>
    <row r="23" spans="1:6">
      <c r="A23" s="278" t="s">
        <v>1769</v>
      </c>
      <c r="B23" s="287" t="s">
        <v>1783</v>
      </c>
      <c r="C23" s="365">
        <v>9.9000000000000005E-2</v>
      </c>
      <c r="D23" s="365">
        <v>9.8000000000000004E-2</v>
      </c>
      <c r="E23" s="365">
        <v>9.0999999999999998E-2</v>
      </c>
      <c r="F23" s="370"/>
    </row>
    <row r="24" spans="1:6">
      <c r="A24" s="278" t="s">
        <v>1769</v>
      </c>
      <c r="B24" s="287" t="s">
        <v>1784</v>
      </c>
      <c r="C24" s="365">
        <v>8.8999999999999996E-2</v>
      </c>
      <c r="D24" s="365">
        <v>9.7000000000000003E-2</v>
      </c>
      <c r="E24" s="365">
        <v>7.0000000000000007E-2</v>
      </c>
      <c r="F24" s="370"/>
    </row>
    <row r="25" spans="1:6">
      <c r="A25" s="278" t="s">
        <v>1769</v>
      </c>
      <c r="B25" s="287" t="s">
        <v>1785</v>
      </c>
      <c r="C25" s="365">
        <v>8.8999999999999996E-2</v>
      </c>
      <c r="D25" s="365">
        <v>0.1</v>
      </c>
      <c r="E25" s="365">
        <v>8.1000000000000003E-2</v>
      </c>
      <c r="F25" s="370"/>
    </row>
    <row r="26" spans="1:6">
      <c r="A26" s="278" t="s">
        <v>1769</v>
      </c>
      <c r="B26" s="287" t="s">
        <v>1786</v>
      </c>
      <c r="C26" s="371"/>
      <c r="D26" s="365">
        <v>9.6000000000000002E-2</v>
      </c>
      <c r="E26" s="365">
        <v>9.2999999999999999E-2</v>
      </c>
      <c r="F26" s="370"/>
    </row>
    <row r="27" spans="1:6">
      <c r="A27" s="278" t="s">
        <v>1769</v>
      </c>
      <c r="B27" s="287" t="s">
        <v>1787</v>
      </c>
      <c r="C27" s="371"/>
      <c r="D27" s="365">
        <v>7.5999999999999998E-2</v>
      </c>
      <c r="E27" s="365">
        <v>9.1999999999999998E-2</v>
      </c>
      <c r="F27" s="370"/>
    </row>
    <row r="28" spans="1:6">
      <c r="A28" s="296" t="s">
        <v>1769</v>
      </c>
      <c r="B28" s="288" t="s">
        <v>1788</v>
      </c>
      <c r="C28" s="368"/>
      <c r="D28" s="367">
        <v>7.5999999999999998E-2</v>
      </c>
      <c r="E28" s="367">
        <v>9.1999999999999998E-2</v>
      </c>
      <c r="F28" s="369"/>
    </row>
    <row r="29" spans="1:6">
      <c r="A29" s="278" t="s">
        <v>1789</v>
      </c>
      <c r="B29" s="279" t="s">
        <v>1790</v>
      </c>
      <c r="C29" s="363">
        <v>6.4000000000000001E-2</v>
      </c>
      <c r="D29" s="363">
        <v>6.5000000000000002E-2</v>
      </c>
      <c r="E29" s="363">
        <v>6.9000000000000006E-2</v>
      </c>
      <c r="F29" s="364">
        <v>0.1</v>
      </c>
    </row>
    <row r="30" spans="1:6">
      <c r="A30" s="278" t="s">
        <v>1789</v>
      </c>
      <c r="B30" s="287" t="s">
        <v>1791</v>
      </c>
      <c r="C30" s="365">
        <v>6.4000000000000001E-2</v>
      </c>
      <c r="D30" s="365">
        <v>9.9000000000000005E-2</v>
      </c>
      <c r="E30" s="365">
        <v>0.1</v>
      </c>
      <c r="F30" s="366">
        <v>0.1</v>
      </c>
    </row>
    <row r="31" spans="1:6">
      <c r="A31" s="278" t="s">
        <v>1789</v>
      </c>
      <c r="B31" s="287" t="s">
        <v>1792</v>
      </c>
      <c r="C31" s="365">
        <v>0.1</v>
      </c>
      <c r="D31" s="365">
        <v>9.5000000000000001E-2</v>
      </c>
      <c r="E31" s="365">
        <v>8.8999999999999996E-2</v>
      </c>
      <c r="F31" s="366">
        <v>0.1</v>
      </c>
    </row>
    <row r="32" spans="1:6">
      <c r="A32" s="278" t="s">
        <v>1789</v>
      </c>
      <c r="B32" s="287" t="s">
        <v>1793</v>
      </c>
      <c r="C32" s="365">
        <v>0.05</v>
      </c>
      <c r="D32" s="365">
        <v>0.05</v>
      </c>
      <c r="E32" s="365">
        <v>8.7999999999999995E-2</v>
      </c>
      <c r="F32" s="366">
        <v>0.1</v>
      </c>
    </row>
    <row r="33" spans="1:6">
      <c r="A33" s="278" t="s">
        <v>1789</v>
      </c>
      <c r="B33" s="287" t="s">
        <v>1794</v>
      </c>
      <c r="C33" s="365">
        <v>7.4999999999999997E-2</v>
      </c>
      <c r="D33" s="365">
        <v>9.4E-2</v>
      </c>
      <c r="E33" s="365">
        <v>9.7000000000000003E-2</v>
      </c>
      <c r="F33" s="366">
        <v>0.1</v>
      </c>
    </row>
    <row r="34" spans="1:6">
      <c r="A34" s="278" t="s">
        <v>1789</v>
      </c>
      <c r="B34" s="287" t="s">
        <v>1795</v>
      </c>
      <c r="C34" s="365">
        <v>9.8000000000000004E-2</v>
      </c>
      <c r="D34" s="365">
        <v>8.5999999999999993E-2</v>
      </c>
      <c r="E34" s="365">
        <v>9.7000000000000003E-2</v>
      </c>
      <c r="F34" s="366">
        <v>0.1</v>
      </c>
    </row>
    <row r="35" spans="1:6">
      <c r="A35" s="278" t="s">
        <v>1789</v>
      </c>
      <c r="B35" s="287" t="s">
        <v>1796</v>
      </c>
      <c r="C35" s="365">
        <v>5.8999999999999997E-2</v>
      </c>
      <c r="D35" s="365">
        <v>6.5000000000000002E-2</v>
      </c>
      <c r="E35" s="365">
        <v>7.0000000000000007E-2</v>
      </c>
      <c r="F35" s="366">
        <v>0.1</v>
      </c>
    </row>
    <row r="36" spans="1:6">
      <c r="A36" s="278" t="s">
        <v>1789</v>
      </c>
      <c r="B36" s="287" t="s">
        <v>1797</v>
      </c>
      <c r="C36" s="365">
        <v>6.3E-2</v>
      </c>
      <c r="D36" s="365">
        <v>0.1</v>
      </c>
      <c r="E36" s="365">
        <v>0.1</v>
      </c>
      <c r="F36" s="366">
        <v>0.1</v>
      </c>
    </row>
    <row r="37" spans="1:6">
      <c r="A37" s="278" t="s">
        <v>1789</v>
      </c>
      <c r="B37" s="287" t="s">
        <v>1798</v>
      </c>
      <c r="C37" s="365">
        <v>7.3999999999999996E-2</v>
      </c>
      <c r="D37" s="365">
        <v>0.1</v>
      </c>
      <c r="E37" s="365">
        <v>0.1</v>
      </c>
      <c r="F37" s="366">
        <v>0.1</v>
      </c>
    </row>
    <row r="38" spans="1:6">
      <c r="A38" s="278" t="s">
        <v>1789</v>
      </c>
      <c r="B38" s="287" t="s">
        <v>1799</v>
      </c>
      <c r="C38" s="365">
        <v>0.1</v>
      </c>
      <c r="D38" s="365">
        <v>9.6000000000000002E-2</v>
      </c>
      <c r="E38" s="365">
        <v>9.6000000000000002E-2</v>
      </c>
      <c r="F38" s="370"/>
    </row>
    <row r="39" spans="1:6">
      <c r="A39" s="278" t="s">
        <v>1789</v>
      </c>
      <c r="B39" s="287" t="s">
        <v>1800</v>
      </c>
      <c r="C39" s="365">
        <v>0.1</v>
      </c>
      <c r="D39" s="365">
        <v>9.6000000000000002E-2</v>
      </c>
      <c r="E39" s="365">
        <v>9.6000000000000002E-2</v>
      </c>
      <c r="F39" s="370"/>
    </row>
    <row r="40" spans="1:6">
      <c r="A40" s="278" t="s">
        <v>1789</v>
      </c>
      <c r="B40" s="287" t="s">
        <v>1801</v>
      </c>
      <c r="C40" s="365">
        <v>9.6000000000000002E-2</v>
      </c>
      <c r="D40" s="365">
        <v>0.1</v>
      </c>
      <c r="E40" s="365">
        <v>9.9000000000000005E-2</v>
      </c>
      <c r="F40" s="370"/>
    </row>
    <row r="41" spans="1:6">
      <c r="A41" s="278" t="s">
        <v>1789</v>
      </c>
      <c r="B41" s="287" t="s">
        <v>1802</v>
      </c>
      <c r="C41" s="365">
        <v>9.6000000000000002E-2</v>
      </c>
      <c r="D41" s="365">
        <v>9.8000000000000004E-2</v>
      </c>
      <c r="E41" s="365">
        <v>9.8000000000000004E-2</v>
      </c>
      <c r="F41" s="370"/>
    </row>
    <row r="42" spans="1:6">
      <c r="A42" s="278" t="s">
        <v>1789</v>
      </c>
      <c r="B42" s="287" t="s">
        <v>1803</v>
      </c>
      <c r="C42" s="365">
        <v>0.1</v>
      </c>
      <c r="D42" s="365">
        <v>8.7999999999999995E-2</v>
      </c>
      <c r="E42" s="365">
        <v>0.1</v>
      </c>
      <c r="F42" s="370"/>
    </row>
    <row r="43" spans="1:6">
      <c r="A43" s="278" t="s">
        <v>1789</v>
      </c>
      <c r="B43" s="287" t="s">
        <v>1804</v>
      </c>
      <c r="C43" s="365">
        <v>9.8000000000000004E-2</v>
      </c>
      <c r="D43" s="365">
        <v>9.7000000000000003E-2</v>
      </c>
      <c r="E43" s="365">
        <v>9.6000000000000002E-2</v>
      </c>
      <c r="F43" s="370"/>
    </row>
    <row r="44" spans="1:6">
      <c r="A44" s="278" t="s">
        <v>1789</v>
      </c>
      <c r="B44" s="287" t="s">
        <v>1805</v>
      </c>
      <c r="C44" s="365">
        <v>8.5999999999999993E-2</v>
      </c>
      <c r="D44" s="365">
        <v>7.9000000000000001E-2</v>
      </c>
      <c r="E44" s="365">
        <v>7.0999999999999994E-2</v>
      </c>
      <c r="F44" s="370"/>
    </row>
    <row r="45" spans="1:6">
      <c r="A45" s="278" t="s">
        <v>1789</v>
      </c>
      <c r="B45" s="287" t="s">
        <v>1806</v>
      </c>
      <c r="C45" s="365">
        <v>9.8000000000000004E-2</v>
      </c>
      <c r="D45" s="365">
        <v>9.6000000000000002E-2</v>
      </c>
      <c r="E45" s="365">
        <v>9.6000000000000002E-2</v>
      </c>
      <c r="F45" s="370"/>
    </row>
    <row r="46" spans="1:6">
      <c r="A46" s="278" t="s">
        <v>1789</v>
      </c>
      <c r="B46" s="287" t="s">
        <v>1807</v>
      </c>
      <c r="C46" s="365">
        <v>8.5999999999999993E-2</v>
      </c>
      <c r="D46" s="365">
        <v>9.8000000000000004E-2</v>
      </c>
      <c r="E46" s="365">
        <v>8.7999999999999995E-2</v>
      </c>
      <c r="F46" s="370"/>
    </row>
    <row r="47" spans="1:6">
      <c r="A47" s="278" t="s">
        <v>1789</v>
      </c>
      <c r="B47" s="287" t="s">
        <v>1808</v>
      </c>
      <c r="C47" s="365">
        <v>9.6000000000000002E-2</v>
      </c>
      <c r="D47" s="371"/>
      <c r="E47" s="365">
        <v>6.9000000000000006E-2</v>
      </c>
      <c r="F47" s="370"/>
    </row>
    <row r="48" spans="1:6">
      <c r="A48" s="296" t="s">
        <v>1789</v>
      </c>
      <c r="B48" s="288" t="s">
        <v>1809</v>
      </c>
      <c r="C48" s="367">
        <v>9.8000000000000004E-2</v>
      </c>
      <c r="D48" s="368"/>
      <c r="E48" s="367">
        <v>9.5000000000000001E-2</v>
      </c>
      <c r="F48" s="369"/>
    </row>
    <row r="49" spans="1:6">
      <c r="A49" s="278" t="s">
        <v>1810</v>
      </c>
      <c r="B49" s="279" t="s">
        <v>1811</v>
      </c>
      <c r="C49" s="363">
        <v>9.7000000000000003E-2</v>
      </c>
      <c r="D49" s="363">
        <v>9.5000000000000001E-2</v>
      </c>
      <c r="E49" s="363">
        <v>9.7000000000000003E-2</v>
      </c>
      <c r="F49" s="364">
        <v>0.1</v>
      </c>
    </row>
    <row r="50" spans="1:6">
      <c r="A50" s="278" t="s">
        <v>1810</v>
      </c>
      <c r="B50" s="283" t="s">
        <v>1812</v>
      </c>
      <c r="C50" s="365">
        <v>7.4999999999999997E-2</v>
      </c>
      <c r="D50" s="365">
        <v>9.5000000000000001E-2</v>
      </c>
      <c r="E50" s="365">
        <v>0.1</v>
      </c>
      <c r="F50" s="366">
        <v>0.1</v>
      </c>
    </row>
    <row r="51" spans="1:6">
      <c r="A51" s="278" t="s">
        <v>1810</v>
      </c>
      <c r="B51" s="283" t="s">
        <v>1813</v>
      </c>
      <c r="C51" s="365">
        <v>9.8000000000000004E-2</v>
      </c>
      <c r="D51" s="365">
        <v>8.8999999999999996E-2</v>
      </c>
      <c r="E51" s="365">
        <v>0.1</v>
      </c>
      <c r="F51" s="366">
        <v>0.1</v>
      </c>
    </row>
    <row r="52" spans="1:6">
      <c r="A52" s="278" t="s">
        <v>1810</v>
      </c>
      <c r="B52" s="283" t="s">
        <v>1814</v>
      </c>
      <c r="C52" s="365">
        <v>9.8000000000000004E-2</v>
      </c>
      <c r="D52" s="365">
        <v>9.7000000000000003E-2</v>
      </c>
      <c r="E52" s="365">
        <v>8.1000000000000003E-2</v>
      </c>
      <c r="F52" s="366">
        <v>0.1</v>
      </c>
    </row>
    <row r="53" spans="1:6">
      <c r="A53" s="278" t="s">
        <v>1810</v>
      </c>
      <c r="B53" s="283" t="s">
        <v>1815</v>
      </c>
      <c r="C53" s="365">
        <v>9.7000000000000003E-2</v>
      </c>
      <c r="D53" s="365">
        <v>7.5999999999999998E-2</v>
      </c>
      <c r="E53" s="365">
        <v>7.0999999999999994E-2</v>
      </c>
      <c r="F53" s="366">
        <v>0.1</v>
      </c>
    </row>
    <row r="54" spans="1:6">
      <c r="A54" s="278" t="s">
        <v>1810</v>
      </c>
      <c r="B54" s="283" t="s">
        <v>1816</v>
      </c>
      <c r="C54" s="365">
        <v>7.5999999999999998E-2</v>
      </c>
      <c r="D54" s="365">
        <v>0.1</v>
      </c>
      <c r="E54" s="365">
        <v>9.9000000000000005E-2</v>
      </c>
      <c r="F54" s="366">
        <v>0.1</v>
      </c>
    </row>
    <row r="55" spans="1:6">
      <c r="A55" s="278" t="s">
        <v>1810</v>
      </c>
      <c r="B55" s="283" t="s">
        <v>1817</v>
      </c>
      <c r="C55" s="365">
        <v>0.1</v>
      </c>
      <c r="D55" s="365">
        <v>0.1</v>
      </c>
      <c r="E55" s="365">
        <v>9.6000000000000002E-2</v>
      </c>
      <c r="F55" s="366">
        <v>0.1</v>
      </c>
    </row>
    <row r="56" spans="1:6">
      <c r="A56" s="278" t="s">
        <v>1810</v>
      </c>
      <c r="B56" s="283" t="s">
        <v>1818</v>
      </c>
      <c r="C56" s="365">
        <v>0.1</v>
      </c>
      <c r="D56" s="365">
        <v>9.6000000000000002E-2</v>
      </c>
      <c r="E56" s="365">
        <v>5.1999999999999998E-2</v>
      </c>
      <c r="F56" s="366">
        <v>0.1</v>
      </c>
    </row>
    <row r="57" spans="1:6">
      <c r="A57" s="278" t="s">
        <v>1810</v>
      </c>
      <c r="B57" s="283" t="s">
        <v>1819</v>
      </c>
      <c r="C57" s="365">
        <v>9.7000000000000003E-2</v>
      </c>
      <c r="D57" s="365">
        <v>9.6000000000000002E-2</v>
      </c>
      <c r="E57" s="365">
        <v>9.6000000000000002E-2</v>
      </c>
      <c r="F57" s="366">
        <v>0.1</v>
      </c>
    </row>
    <row r="58" spans="1:6">
      <c r="A58" s="278" t="s">
        <v>1810</v>
      </c>
      <c r="B58" s="283" t="s">
        <v>1820</v>
      </c>
      <c r="C58" s="365">
        <v>9.6000000000000002E-2</v>
      </c>
      <c r="D58" s="365">
        <v>9.9000000000000005E-2</v>
      </c>
      <c r="E58" s="365">
        <v>9.6000000000000002E-2</v>
      </c>
      <c r="F58" s="366">
        <v>0.1</v>
      </c>
    </row>
    <row r="59" spans="1:6">
      <c r="A59" s="278" t="s">
        <v>1810</v>
      </c>
      <c r="B59" s="283" t="s">
        <v>1821</v>
      </c>
      <c r="C59" s="365">
        <v>7.1999999999999995E-2</v>
      </c>
      <c r="D59" s="365">
        <v>9.6000000000000002E-2</v>
      </c>
      <c r="E59" s="365">
        <v>7.0999999999999994E-2</v>
      </c>
      <c r="F59" s="366">
        <v>0.1</v>
      </c>
    </row>
    <row r="60" spans="1:6">
      <c r="A60" s="278" t="s">
        <v>1810</v>
      </c>
      <c r="B60" s="283" t="s">
        <v>1822</v>
      </c>
      <c r="C60" s="365">
        <v>9.6000000000000002E-2</v>
      </c>
      <c r="D60" s="365">
        <v>8.8999999999999996E-2</v>
      </c>
      <c r="E60" s="365">
        <v>9.6000000000000002E-2</v>
      </c>
      <c r="F60" s="366">
        <v>0.1</v>
      </c>
    </row>
    <row r="61" spans="1:6">
      <c r="A61" s="278" t="s">
        <v>1810</v>
      </c>
      <c r="B61" s="283" t="s">
        <v>1823</v>
      </c>
      <c r="C61" s="365">
        <v>8.8999999999999996E-2</v>
      </c>
      <c r="D61" s="365">
        <v>9.8000000000000004E-2</v>
      </c>
      <c r="E61" s="365">
        <v>8.7999999999999995E-2</v>
      </c>
      <c r="F61" s="370"/>
    </row>
    <row r="62" spans="1:6">
      <c r="A62" s="278" t="s">
        <v>1810</v>
      </c>
      <c r="B62" s="283" t="s">
        <v>1824</v>
      </c>
      <c r="C62" s="365">
        <v>9.8000000000000004E-2</v>
      </c>
      <c r="D62" s="365">
        <v>9.2999999999999999E-2</v>
      </c>
      <c r="E62" s="365">
        <v>9.7000000000000003E-2</v>
      </c>
      <c r="F62" s="370"/>
    </row>
    <row r="63" spans="1:6">
      <c r="A63" s="278" t="s">
        <v>1810</v>
      </c>
      <c r="B63" s="283" t="s">
        <v>1825</v>
      </c>
      <c r="C63" s="365">
        <v>9.6000000000000002E-2</v>
      </c>
      <c r="D63" s="365">
        <v>9.8000000000000004E-2</v>
      </c>
      <c r="E63" s="365">
        <v>0.09</v>
      </c>
      <c r="F63" s="370"/>
    </row>
    <row r="64" spans="1:6">
      <c r="A64" s="278" t="s">
        <v>1810</v>
      </c>
      <c r="B64" s="283" t="s">
        <v>1826</v>
      </c>
      <c r="C64" s="365">
        <v>9.9000000000000005E-2</v>
      </c>
      <c r="D64" s="365">
        <v>9.7000000000000003E-2</v>
      </c>
      <c r="E64" s="365">
        <v>9.9000000000000005E-2</v>
      </c>
      <c r="F64" s="370"/>
    </row>
    <row r="65" spans="1:6">
      <c r="A65" s="278" t="s">
        <v>1810</v>
      </c>
      <c r="B65" s="283" t="s">
        <v>1827</v>
      </c>
      <c r="C65" s="365">
        <v>9.8000000000000004E-2</v>
      </c>
      <c r="D65" s="365">
        <v>9.6000000000000002E-2</v>
      </c>
      <c r="E65" s="365">
        <v>9.6000000000000002E-2</v>
      </c>
      <c r="F65" s="370"/>
    </row>
    <row r="66" spans="1:6">
      <c r="A66" s="278" t="s">
        <v>1810</v>
      </c>
      <c r="B66" s="283" t="s">
        <v>1828</v>
      </c>
      <c r="C66" s="365">
        <v>9.6000000000000002E-2</v>
      </c>
      <c r="D66" s="365">
        <v>9.1999999999999998E-2</v>
      </c>
      <c r="E66" s="365">
        <v>9.6000000000000002E-2</v>
      </c>
      <c r="F66" s="370"/>
    </row>
    <row r="67" spans="1:6">
      <c r="A67" s="278" t="s">
        <v>1810</v>
      </c>
      <c r="B67" s="283" t="s">
        <v>1829</v>
      </c>
      <c r="C67" s="365">
        <v>9.4E-2</v>
      </c>
      <c r="D67" s="365">
        <v>0.1</v>
      </c>
      <c r="E67" s="365">
        <v>8.7999999999999995E-2</v>
      </c>
      <c r="F67" s="370"/>
    </row>
    <row r="68" spans="1:6">
      <c r="A68" s="278" t="s">
        <v>1810</v>
      </c>
      <c r="B68" s="283" t="s">
        <v>1830</v>
      </c>
      <c r="C68" s="365">
        <v>0.1</v>
      </c>
      <c r="D68" s="365">
        <v>8.7999999999999995E-2</v>
      </c>
      <c r="E68" s="365">
        <v>9.7000000000000003E-2</v>
      </c>
      <c r="F68" s="370"/>
    </row>
    <row r="69" spans="1:6">
      <c r="A69" s="278" t="s">
        <v>1810</v>
      </c>
      <c r="B69" s="283" t="s">
        <v>1831</v>
      </c>
      <c r="C69" s="365">
        <v>6.4000000000000001E-2</v>
      </c>
      <c r="D69" s="365">
        <v>0.1</v>
      </c>
      <c r="E69" s="365">
        <v>0.1</v>
      </c>
      <c r="F69" s="370"/>
    </row>
    <row r="70" spans="1:6">
      <c r="A70" s="278" t="s">
        <v>1810</v>
      </c>
      <c r="B70" s="283" t="s">
        <v>1832</v>
      </c>
      <c r="C70" s="365">
        <v>9.0999999999999998E-2</v>
      </c>
      <c r="D70" s="371"/>
      <c r="E70" s="371"/>
      <c r="F70" s="370"/>
    </row>
    <row r="71" spans="1:6">
      <c r="A71" s="278" t="s">
        <v>1810</v>
      </c>
      <c r="B71" s="283" t="s">
        <v>1833</v>
      </c>
      <c r="C71" s="365">
        <v>0.1</v>
      </c>
      <c r="D71" s="371"/>
      <c r="E71" s="371"/>
      <c r="F71" s="370"/>
    </row>
    <row r="72" spans="1:6">
      <c r="A72" s="278" t="s">
        <v>1810</v>
      </c>
      <c r="B72" s="283" t="s">
        <v>1834</v>
      </c>
      <c r="C72" s="371"/>
      <c r="D72" s="371"/>
      <c r="E72" s="371"/>
      <c r="F72" s="366">
        <v>0.05</v>
      </c>
    </row>
    <row r="73" spans="1:6">
      <c r="A73" s="278" t="s">
        <v>1810</v>
      </c>
      <c r="B73" s="283" t="s">
        <v>1835</v>
      </c>
      <c r="C73" s="371"/>
      <c r="D73" s="371"/>
      <c r="E73" s="371"/>
      <c r="F73" s="366">
        <v>0.05</v>
      </c>
    </row>
    <row r="74" spans="1:6">
      <c r="A74" s="278" t="s">
        <v>1810</v>
      </c>
      <c r="B74" s="283" t="s">
        <v>1836</v>
      </c>
      <c r="C74" s="371"/>
      <c r="D74" s="371"/>
      <c r="E74" s="371"/>
      <c r="F74" s="366">
        <v>0.05</v>
      </c>
    </row>
    <row r="75" spans="1:6">
      <c r="A75" s="296" t="s">
        <v>1810</v>
      </c>
      <c r="B75" s="289" t="s">
        <v>1837</v>
      </c>
      <c r="C75" s="368"/>
      <c r="D75" s="368"/>
      <c r="E75" s="368"/>
      <c r="F75" s="372">
        <v>0.05</v>
      </c>
    </row>
    <row r="76" spans="1:6">
      <c r="A76" s="278" t="s">
        <v>1838</v>
      </c>
      <c r="B76" s="279" t="s">
        <v>1839</v>
      </c>
      <c r="C76" s="363">
        <v>0.1</v>
      </c>
      <c r="D76" s="363">
        <v>0.1</v>
      </c>
      <c r="E76" s="363">
        <v>0.1</v>
      </c>
      <c r="F76" s="364">
        <v>0.1</v>
      </c>
    </row>
    <row r="77" spans="1:6">
      <c r="A77" s="278" t="s">
        <v>1838</v>
      </c>
      <c r="B77" s="283" t="s">
        <v>1840</v>
      </c>
      <c r="C77" s="365">
        <v>8.7999999999999995E-2</v>
      </c>
      <c r="D77" s="365">
        <v>8.6999999999999994E-2</v>
      </c>
      <c r="E77" s="365">
        <v>7.9000000000000001E-2</v>
      </c>
      <c r="F77" s="366">
        <v>0.1</v>
      </c>
    </row>
    <row r="78" spans="1:6">
      <c r="A78" s="278" t="s">
        <v>1838</v>
      </c>
      <c r="B78" s="283" t="s">
        <v>1841</v>
      </c>
      <c r="C78" s="365">
        <v>8.6999999999999994E-2</v>
      </c>
      <c r="D78" s="365">
        <v>8.4000000000000005E-2</v>
      </c>
      <c r="E78" s="365">
        <v>9.6000000000000002E-2</v>
      </c>
      <c r="F78" s="366">
        <v>0.1</v>
      </c>
    </row>
    <row r="79" spans="1:6">
      <c r="A79" s="278" t="s">
        <v>1838</v>
      </c>
      <c r="B79" s="283" t="s">
        <v>1842</v>
      </c>
      <c r="C79" s="365">
        <v>9.8000000000000004E-2</v>
      </c>
      <c r="D79" s="365">
        <v>9.8000000000000004E-2</v>
      </c>
      <c r="E79" s="365">
        <v>9.0999999999999998E-2</v>
      </c>
      <c r="F79" s="366">
        <v>0.1</v>
      </c>
    </row>
    <row r="80" spans="1:6">
      <c r="A80" s="278" t="s">
        <v>1838</v>
      </c>
      <c r="B80" s="283" t="s">
        <v>1843</v>
      </c>
      <c r="C80" s="365">
        <v>9.6000000000000002E-2</v>
      </c>
      <c r="D80" s="365">
        <v>9.6000000000000002E-2</v>
      </c>
      <c r="E80" s="365">
        <v>0.1</v>
      </c>
      <c r="F80" s="366">
        <v>0.1</v>
      </c>
    </row>
    <row r="81" spans="1:6">
      <c r="A81" s="278" t="s">
        <v>1838</v>
      </c>
      <c r="B81" s="283" t="s">
        <v>1844</v>
      </c>
      <c r="C81" s="365">
        <v>9.9000000000000005E-2</v>
      </c>
      <c r="D81" s="365">
        <v>9.9000000000000005E-2</v>
      </c>
      <c r="E81" s="365">
        <v>9.8000000000000004E-2</v>
      </c>
      <c r="F81" s="366">
        <v>0.1</v>
      </c>
    </row>
    <row r="82" spans="1:6">
      <c r="A82" s="278" t="s">
        <v>1838</v>
      </c>
      <c r="B82" s="283" t="s">
        <v>1845</v>
      </c>
      <c r="C82" s="365">
        <v>9.9000000000000005E-2</v>
      </c>
      <c r="D82" s="365">
        <v>9.9000000000000005E-2</v>
      </c>
      <c r="E82" s="365">
        <v>9.7000000000000003E-2</v>
      </c>
      <c r="F82" s="366">
        <v>0.1</v>
      </c>
    </row>
    <row r="83" spans="1:6">
      <c r="A83" s="278" t="s">
        <v>1838</v>
      </c>
      <c r="B83" s="283" t="s">
        <v>1846</v>
      </c>
      <c r="C83" s="365">
        <v>9.8000000000000004E-2</v>
      </c>
      <c r="D83" s="365">
        <v>9.8000000000000004E-2</v>
      </c>
      <c r="E83" s="365">
        <v>9.8000000000000004E-2</v>
      </c>
      <c r="F83" s="366">
        <v>0.1</v>
      </c>
    </row>
    <row r="84" spans="1:6">
      <c r="A84" s="278" t="s">
        <v>1838</v>
      </c>
      <c r="B84" s="283" t="s">
        <v>1847</v>
      </c>
      <c r="C84" s="365">
        <v>9.9000000000000005E-2</v>
      </c>
      <c r="D84" s="365">
        <v>9.9000000000000005E-2</v>
      </c>
      <c r="E84" s="365">
        <v>9.9000000000000005E-2</v>
      </c>
      <c r="F84" s="366">
        <v>0.1</v>
      </c>
    </row>
    <row r="85" spans="1:6">
      <c r="A85" s="278" t="s">
        <v>1838</v>
      </c>
      <c r="B85" s="283" t="s">
        <v>1848</v>
      </c>
      <c r="C85" s="365">
        <v>9.9000000000000005E-2</v>
      </c>
      <c r="D85" s="365">
        <v>9.9000000000000005E-2</v>
      </c>
      <c r="E85" s="365">
        <v>9.9000000000000005E-2</v>
      </c>
      <c r="F85" s="366">
        <v>0.1</v>
      </c>
    </row>
    <row r="86" spans="1:6">
      <c r="A86" s="278" t="s">
        <v>1838</v>
      </c>
      <c r="B86" s="283" t="s">
        <v>1849</v>
      </c>
      <c r="C86" s="365">
        <v>0.1</v>
      </c>
      <c r="D86" s="365">
        <v>0.1</v>
      </c>
      <c r="E86" s="365">
        <v>7.6999999999999999E-2</v>
      </c>
      <c r="F86" s="366">
        <v>0.1</v>
      </c>
    </row>
    <row r="87" spans="1:6">
      <c r="A87" s="278" t="s">
        <v>1838</v>
      </c>
      <c r="B87" s="283" t="s">
        <v>1850</v>
      </c>
      <c r="C87" s="365">
        <v>0.1</v>
      </c>
      <c r="D87" s="365">
        <v>0.1</v>
      </c>
      <c r="E87" s="365">
        <v>9.8000000000000004E-2</v>
      </c>
      <c r="F87" s="370"/>
    </row>
    <row r="88" spans="1:6">
      <c r="A88" s="278" t="s">
        <v>1838</v>
      </c>
      <c r="B88" s="283" t="s">
        <v>1851</v>
      </c>
      <c r="C88" s="365">
        <v>9.1999999999999998E-2</v>
      </c>
      <c r="D88" s="365">
        <v>8.5000000000000006E-2</v>
      </c>
      <c r="E88" s="365">
        <v>9.6000000000000002E-2</v>
      </c>
      <c r="F88" s="370"/>
    </row>
    <row r="89" spans="1:6">
      <c r="A89" s="278" t="s">
        <v>1838</v>
      </c>
      <c r="B89" s="283" t="s">
        <v>1852</v>
      </c>
      <c r="C89" s="365">
        <v>0.1</v>
      </c>
      <c r="D89" s="365">
        <v>0.1</v>
      </c>
      <c r="E89" s="365">
        <v>9.7000000000000003E-2</v>
      </c>
      <c r="F89" s="370"/>
    </row>
    <row r="90" spans="1:6">
      <c r="A90" s="278" t="s">
        <v>1838</v>
      </c>
      <c r="B90" s="283" t="s">
        <v>1853</v>
      </c>
      <c r="C90" s="365">
        <v>9.8000000000000004E-2</v>
      </c>
      <c r="D90" s="365">
        <v>9.8000000000000004E-2</v>
      </c>
      <c r="E90" s="365">
        <v>8.7999999999999995E-2</v>
      </c>
      <c r="F90" s="370"/>
    </row>
    <row r="91" spans="1:6">
      <c r="A91" s="278" t="s">
        <v>1838</v>
      </c>
      <c r="B91" s="283" t="s">
        <v>1854</v>
      </c>
      <c r="C91" s="365">
        <v>9.9000000000000005E-2</v>
      </c>
      <c r="D91" s="365">
        <v>9.9000000000000005E-2</v>
      </c>
      <c r="E91" s="365">
        <v>9.0999999999999998E-2</v>
      </c>
      <c r="F91" s="370"/>
    </row>
    <row r="92" spans="1:6">
      <c r="A92" s="278" t="s">
        <v>1838</v>
      </c>
      <c r="B92" s="283" t="s">
        <v>1855</v>
      </c>
      <c r="C92" s="365">
        <v>9.6000000000000002E-2</v>
      </c>
      <c r="D92" s="365">
        <v>9.6000000000000002E-2</v>
      </c>
      <c r="E92" s="365">
        <v>7.2999999999999995E-2</v>
      </c>
      <c r="F92" s="370"/>
    </row>
    <row r="93" spans="1:6">
      <c r="A93" s="278" t="s">
        <v>1838</v>
      </c>
      <c r="B93" s="283" t="s">
        <v>1856</v>
      </c>
      <c r="C93" s="365">
        <v>9.6000000000000002E-2</v>
      </c>
      <c r="D93" s="365">
        <v>9.6000000000000002E-2</v>
      </c>
      <c r="E93" s="365">
        <v>9.9000000000000005E-2</v>
      </c>
      <c r="F93" s="370"/>
    </row>
    <row r="94" spans="1:6">
      <c r="A94" s="278" t="s">
        <v>1838</v>
      </c>
      <c r="B94" s="283" t="s">
        <v>1857</v>
      </c>
      <c r="C94" s="365">
        <v>7.5999999999999998E-2</v>
      </c>
      <c r="D94" s="365">
        <v>7.3999999999999996E-2</v>
      </c>
      <c r="E94" s="365">
        <v>9.7000000000000003E-2</v>
      </c>
      <c r="F94" s="370"/>
    </row>
    <row r="95" spans="1:6">
      <c r="A95" s="278" t="s">
        <v>1838</v>
      </c>
      <c r="B95" s="283" t="s">
        <v>1858</v>
      </c>
      <c r="C95" s="365">
        <v>9.9000000000000005E-2</v>
      </c>
      <c r="D95" s="365">
        <v>9.4E-2</v>
      </c>
      <c r="E95" s="365">
        <v>9.6000000000000002E-2</v>
      </c>
      <c r="F95" s="370"/>
    </row>
    <row r="96" spans="1:6">
      <c r="A96" s="278" t="s">
        <v>1838</v>
      </c>
      <c r="B96" s="283" t="s">
        <v>1859</v>
      </c>
      <c r="C96" s="365">
        <v>9.9000000000000005E-2</v>
      </c>
      <c r="D96" s="365">
        <v>9.9000000000000005E-2</v>
      </c>
      <c r="E96" s="365">
        <v>9.9000000000000005E-2</v>
      </c>
      <c r="F96" s="370"/>
    </row>
    <row r="97" spans="1:6">
      <c r="A97" s="278" t="s">
        <v>1838</v>
      </c>
      <c r="B97" s="283" t="s">
        <v>1860</v>
      </c>
      <c r="C97" s="365">
        <v>9.8000000000000004E-2</v>
      </c>
      <c r="D97" s="365">
        <v>9.8000000000000004E-2</v>
      </c>
      <c r="E97" s="365">
        <v>9.7000000000000003E-2</v>
      </c>
      <c r="F97" s="370"/>
    </row>
    <row r="98" spans="1:6">
      <c r="A98" s="278" t="s">
        <v>1838</v>
      </c>
      <c r="B98" s="283" t="s">
        <v>1861</v>
      </c>
      <c r="C98" s="365">
        <v>0.1</v>
      </c>
      <c r="D98" s="365">
        <v>0.1</v>
      </c>
      <c r="E98" s="365">
        <v>9.7000000000000003E-2</v>
      </c>
      <c r="F98" s="370"/>
    </row>
    <row r="99" spans="1:6">
      <c r="A99" s="278" t="s">
        <v>1838</v>
      </c>
      <c r="B99" s="283" t="s">
        <v>1862</v>
      </c>
      <c r="C99" s="365">
        <v>0.1</v>
      </c>
      <c r="D99" s="365">
        <v>0.1</v>
      </c>
      <c r="E99" s="371"/>
      <c r="F99" s="370"/>
    </row>
    <row r="100" spans="1:6">
      <c r="A100" s="278" t="s">
        <v>1838</v>
      </c>
      <c r="B100" s="283" t="s">
        <v>1863</v>
      </c>
      <c r="C100" s="365">
        <v>0.09</v>
      </c>
      <c r="D100" s="365">
        <v>8.8999999999999996E-2</v>
      </c>
      <c r="E100" s="371"/>
      <c r="F100" s="370"/>
    </row>
    <row r="101" spans="1:6">
      <c r="A101" s="278" t="s">
        <v>1838</v>
      </c>
      <c r="B101" s="283" t="s">
        <v>1864</v>
      </c>
      <c r="C101" s="365">
        <v>9.8000000000000004E-2</v>
      </c>
      <c r="D101" s="365">
        <v>9.7000000000000003E-2</v>
      </c>
      <c r="E101" s="371"/>
      <c r="F101" s="370"/>
    </row>
    <row r="102" spans="1:6">
      <c r="A102" s="278" t="s">
        <v>1838</v>
      </c>
      <c r="B102" s="283" t="s">
        <v>1865</v>
      </c>
      <c r="C102" s="371"/>
      <c r="D102" s="371"/>
      <c r="E102" s="371"/>
      <c r="F102" s="366">
        <v>0.05</v>
      </c>
    </row>
    <row r="103" spans="1:6" ht="24">
      <c r="A103" s="278" t="s">
        <v>1838</v>
      </c>
      <c r="B103" s="283" t="s">
        <v>1866</v>
      </c>
      <c r="C103" s="371"/>
      <c r="D103" s="371"/>
      <c r="E103" s="371"/>
      <c r="F103" s="366">
        <v>0.05</v>
      </c>
    </row>
    <row r="104" spans="1:6">
      <c r="A104" s="278" t="s">
        <v>1838</v>
      </c>
      <c r="B104" s="283" t="s">
        <v>1867</v>
      </c>
      <c r="C104" s="371"/>
      <c r="D104" s="371"/>
      <c r="E104" s="371"/>
      <c r="F104" s="366">
        <v>0.05</v>
      </c>
    </row>
    <row r="105" spans="1:6">
      <c r="A105" s="278" t="s">
        <v>1838</v>
      </c>
      <c r="B105" s="283" t="s">
        <v>1868</v>
      </c>
      <c r="C105" s="371"/>
      <c r="D105" s="371"/>
      <c r="E105" s="371"/>
      <c r="F105" s="366">
        <v>0.05</v>
      </c>
    </row>
    <row r="106" spans="1:6">
      <c r="A106" s="278" t="s">
        <v>1838</v>
      </c>
      <c r="B106" s="283" t="s">
        <v>1869</v>
      </c>
      <c r="C106" s="371"/>
      <c r="D106" s="371"/>
      <c r="E106" s="371"/>
      <c r="F106" s="366">
        <v>0.05</v>
      </c>
    </row>
    <row r="107" spans="1:6" ht="24">
      <c r="A107" s="278" t="s">
        <v>1838</v>
      </c>
      <c r="B107" s="283" t="s">
        <v>1870</v>
      </c>
      <c r="C107" s="371"/>
      <c r="D107" s="371"/>
      <c r="E107" s="371"/>
      <c r="F107" s="366">
        <v>0.05</v>
      </c>
    </row>
    <row r="108" spans="1:6" ht="24">
      <c r="A108" s="278" t="s">
        <v>1838</v>
      </c>
      <c r="B108" s="283" t="s">
        <v>1871</v>
      </c>
      <c r="C108" s="371"/>
      <c r="D108" s="371"/>
      <c r="E108" s="371"/>
      <c r="F108" s="366">
        <v>0.05</v>
      </c>
    </row>
    <row r="109" spans="1:6" ht="24">
      <c r="A109" s="296" t="s">
        <v>1838</v>
      </c>
      <c r="B109" s="289" t="s">
        <v>1872</v>
      </c>
      <c r="C109" s="368"/>
      <c r="D109" s="368"/>
      <c r="E109" s="368"/>
      <c r="F109" s="372">
        <v>0.05</v>
      </c>
    </row>
    <row r="110" spans="1:6">
      <c r="A110" s="278" t="s">
        <v>1873</v>
      </c>
      <c r="B110" s="279" t="s">
        <v>1874</v>
      </c>
      <c r="C110" s="363">
        <v>0.129</v>
      </c>
      <c r="D110" s="363">
        <v>0.129</v>
      </c>
      <c r="E110" s="363">
        <v>0.126</v>
      </c>
      <c r="F110" s="364">
        <v>0.13</v>
      </c>
    </row>
    <row r="111" spans="1:6">
      <c r="A111" s="278" t="s">
        <v>1873</v>
      </c>
      <c r="B111" s="283" t="s">
        <v>1875</v>
      </c>
      <c r="C111" s="365">
        <v>0.11</v>
      </c>
      <c r="D111" s="365">
        <v>0.11</v>
      </c>
      <c r="E111" s="365">
        <v>9.9000000000000005E-2</v>
      </c>
      <c r="F111" s="366">
        <v>0.128</v>
      </c>
    </row>
    <row r="112" spans="1:6">
      <c r="A112" s="278" t="s">
        <v>1873</v>
      </c>
      <c r="B112" s="283" t="s">
        <v>1876</v>
      </c>
      <c r="C112" s="365">
        <v>0.125</v>
      </c>
      <c r="D112" s="365">
        <v>0.125</v>
      </c>
      <c r="E112" s="365">
        <v>0.12</v>
      </c>
      <c r="F112" s="366">
        <v>0.125</v>
      </c>
    </row>
    <row r="113" spans="1:6">
      <c r="A113" s="278" t="s">
        <v>1873</v>
      </c>
      <c r="B113" s="283" t="s">
        <v>1877</v>
      </c>
      <c r="C113" s="365">
        <v>0.13</v>
      </c>
      <c r="D113" s="365">
        <v>0.13</v>
      </c>
      <c r="E113" s="365">
        <v>0.13</v>
      </c>
      <c r="F113" s="366">
        <v>0.13</v>
      </c>
    </row>
    <row r="114" spans="1:6">
      <c r="A114" s="278" t="s">
        <v>1873</v>
      </c>
      <c r="B114" s="283" t="s">
        <v>1878</v>
      </c>
      <c r="C114" s="365">
        <v>0.123</v>
      </c>
      <c r="D114" s="365">
        <v>0.123</v>
      </c>
      <c r="E114" s="365">
        <v>0.12</v>
      </c>
      <c r="F114" s="366">
        <v>0.13</v>
      </c>
    </row>
    <row r="115" spans="1:6">
      <c r="A115" s="278" t="s">
        <v>1873</v>
      </c>
      <c r="B115" s="283" t="s">
        <v>1879</v>
      </c>
      <c r="C115" s="365">
        <v>0.125</v>
      </c>
      <c r="D115" s="365">
        <v>0.125</v>
      </c>
      <c r="E115" s="365">
        <v>0.11700000000000001</v>
      </c>
      <c r="F115" s="366">
        <v>0.13</v>
      </c>
    </row>
    <row r="116" spans="1:6">
      <c r="A116" s="278" t="s">
        <v>1873</v>
      </c>
      <c r="B116" s="283" t="s">
        <v>1880</v>
      </c>
      <c r="C116" s="365">
        <v>0.11700000000000001</v>
      </c>
      <c r="D116" s="365">
        <v>0.11700000000000001</v>
      </c>
      <c r="E116" s="365">
        <v>8.7999999999999995E-2</v>
      </c>
      <c r="F116" s="366">
        <v>0.13</v>
      </c>
    </row>
    <row r="117" spans="1:6">
      <c r="A117" s="278" t="s">
        <v>1873</v>
      </c>
      <c r="B117" s="283" t="s">
        <v>1881</v>
      </c>
      <c r="C117" s="365">
        <v>0.13</v>
      </c>
      <c r="D117" s="365">
        <v>0.13</v>
      </c>
      <c r="E117" s="365">
        <v>0.129</v>
      </c>
      <c r="F117" s="366">
        <v>0.13</v>
      </c>
    </row>
    <row r="118" spans="1:6">
      <c r="A118" s="278" t="s">
        <v>1873</v>
      </c>
      <c r="B118" s="283" t="s">
        <v>1882</v>
      </c>
      <c r="C118" s="365">
        <v>0.123</v>
      </c>
      <c r="D118" s="365">
        <v>0.123</v>
      </c>
      <c r="E118" s="365">
        <v>0.11600000000000001</v>
      </c>
      <c r="F118" s="366">
        <v>0.13</v>
      </c>
    </row>
    <row r="119" spans="1:6">
      <c r="A119" s="278" t="s">
        <v>1873</v>
      </c>
      <c r="B119" s="283" t="s">
        <v>1883</v>
      </c>
      <c r="C119" s="365">
        <v>0.127</v>
      </c>
      <c r="D119" s="365">
        <v>0.127</v>
      </c>
      <c r="E119" s="365">
        <v>0.124</v>
      </c>
      <c r="F119" s="366">
        <v>0.13</v>
      </c>
    </row>
    <row r="120" spans="1:6">
      <c r="A120" s="278" t="s">
        <v>1873</v>
      </c>
      <c r="B120" s="283" t="s">
        <v>1884</v>
      </c>
      <c r="C120" s="365">
        <v>0.125</v>
      </c>
      <c r="D120" s="365">
        <v>0.125</v>
      </c>
      <c r="E120" s="365">
        <v>0.122</v>
      </c>
      <c r="F120" s="366">
        <v>0.13</v>
      </c>
    </row>
    <row r="121" spans="1:6">
      <c r="A121" s="278" t="s">
        <v>1873</v>
      </c>
      <c r="B121" s="283" t="s">
        <v>1885</v>
      </c>
      <c r="C121" s="365">
        <v>0.13</v>
      </c>
      <c r="D121" s="365">
        <v>0.13</v>
      </c>
      <c r="E121" s="365">
        <v>0.13</v>
      </c>
      <c r="F121" s="366">
        <v>0.13</v>
      </c>
    </row>
    <row r="122" spans="1:6">
      <c r="A122" s="278" t="s">
        <v>1873</v>
      </c>
      <c r="B122" s="283" t="s">
        <v>1886</v>
      </c>
      <c r="C122" s="365">
        <v>0.13</v>
      </c>
      <c r="D122" s="365">
        <v>0.13</v>
      </c>
      <c r="E122" s="365">
        <v>0.125</v>
      </c>
      <c r="F122" s="366">
        <v>0.13</v>
      </c>
    </row>
    <row r="123" spans="1:6">
      <c r="A123" s="278" t="s">
        <v>1873</v>
      </c>
      <c r="B123" s="283" t="s">
        <v>1887</v>
      </c>
      <c r="C123" s="365">
        <v>0.129</v>
      </c>
      <c r="D123" s="365">
        <v>0.129</v>
      </c>
      <c r="E123" s="365">
        <v>0.123</v>
      </c>
      <c r="F123" s="366">
        <v>0.13</v>
      </c>
    </row>
    <row r="124" spans="1:6">
      <c r="A124" s="278" t="s">
        <v>1873</v>
      </c>
      <c r="B124" s="283" t="s">
        <v>1888</v>
      </c>
      <c r="C124" s="365">
        <v>0.10199999999999999</v>
      </c>
      <c r="D124" s="365">
        <v>0.10100000000000001</v>
      </c>
      <c r="E124" s="365">
        <v>0.08</v>
      </c>
      <c r="F124" s="370"/>
    </row>
    <row r="125" spans="1:6">
      <c r="A125" s="278" t="s">
        <v>1873</v>
      </c>
      <c r="B125" s="283" t="s">
        <v>1889</v>
      </c>
      <c r="C125" s="365">
        <v>0.13</v>
      </c>
      <c r="D125" s="365">
        <v>0.13</v>
      </c>
      <c r="E125" s="365">
        <v>0.129</v>
      </c>
      <c r="F125" s="370"/>
    </row>
    <row r="126" spans="1:6">
      <c r="A126" s="278" t="s">
        <v>1873</v>
      </c>
      <c r="B126" s="283" t="s">
        <v>1890</v>
      </c>
      <c r="C126" s="365">
        <v>0.13</v>
      </c>
      <c r="D126" s="365">
        <v>0.13</v>
      </c>
      <c r="E126" s="365">
        <v>0.126</v>
      </c>
      <c r="F126" s="370"/>
    </row>
    <row r="127" spans="1:6">
      <c r="A127" s="278" t="s">
        <v>1873</v>
      </c>
      <c r="B127" s="283" t="s">
        <v>1891</v>
      </c>
      <c r="C127" s="365">
        <v>0.125</v>
      </c>
      <c r="D127" s="365">
        <v>0.125</v>
      </c>
      <c r="E127" s="365">
        <v>0.121</v>
      </c>
      <c r="F127" s="370"/>
    </row>
    <row r="128" spans="1:6">
      <c r="A128" s="278" t="s">
        <v>1873</v>
      </c>
      <c r="B128" s="283" t="s">
        <v>1892</v>
      </c>
      <c r="C128" s="365">
        <v>0.12</v>
      </c>
      <c r="D128" s="365">
        <v>0.12</v>
      </c>
      <c r="E128" s="365">
        <v>0.105</v>
      </c>
      <c r="F128" s="370"/>
    </row>
    <row r="129" spans="1:6">
      <c r="A129" s="278" t="s">
        <v>1873</v>
      </c>
      <c r="B129" s="283" t="s">
        <v>1893</v>
      </c>
      <c r="C129" s="365">
        <v>0.13</v>
      </c>
      <c r="D129" s="365">
        <v>0.13</v>
      </c>
      <c r="E129" s="365">
        <v>0.126</v>
      </c>
      <c r="F129" s="370"/>
    </row>
    <row r="130" spans="1:6">
      <c r="A130" s="278" t="s">
        <v>1873</v>
      </c>
      <c r="B130" s="283" t="s">
        <v>1894</v>
      </c>
      <c r="C130" s="365">
        <v>0.125</v>
      </c>
      <c r="D130" s="365">
        <v>0.125</v>
      </c>
      <c r="E130" s="365">
        <v>0.122</v>
      </c>
      <c r="F130" s="370"/>
    </row>
    <row r="131" spans="1:6">
      <c r="A131" s="278" t="s">
        <v>1873</v>
      </c>
      <c r="B131" s="283" t="s">
        <v>1895</v>
      </c>
      <c r="C131" s="365">
        <v>0.127</v>
      </c>
      <c r="D131" s="365">
        <v>0.126</v>
      </c>
      <c r="E131" s="365">
        <v>0.123</v>
      </c>
      <c r="F131" s="370"/>
    </row>
    <row r="132" spans="1:6">
      <c r="A132" s="278" t="s">
        <v>1873</v>
      </c>
      <c r="B132" s="283" t="s">
        <v>1896</v>
      </c>
      <c r="C132" s="365">
        <v>9.0999999999999998E-2</v>
      </c>
      <c r="D132" s="365">
        <v>0.121</v>
      </c>
      <c r="E132" s="365">
        <v>9.9000000000000005E-2</v>
      </c>
      <c r="F132" s="370"/>
    </row>
    <row r="133" spans="1:6">
      <c r="A133" s="278" t="s">
        <v>1873</v>
      </c>
      <c r="B133" s="283" t="s">
        <v>1897</v>
      </c>
      <c r="C133" s="365">
        <v>0.13</v>
      </c>
      <c r="D133" s="365">
        <v>0.13</v>
      </c>
      <c r="E133" s="365">
        <v>0.129</v>
      </c>
      <c r="F133" s="370"/>
    </row>
    <row r="134" spans="1:6">
      <c r="A134" s="278" t="s">
        <v>1873</v>
      </c>
      <c r="B134" s="283" t="s">
        <v>1898</v>
      </c>
      <c r="C134" s="365">
        <v>6.8000000000000005E-2</v>
      </c>
      <c r="D134" s="365">
        <v>6.5000000000000002E-2</v>
      </c>
      <c r="E134" s="365">
        <v>6.5000000000000002E-2</v>
      </c>
      <c r="F134" s="366">
        <v>0.13</v>
      </c>
    </row>
    <row r="135" spans="1:6">
      <c r="A135" s="278" t="s">
        <v>1873</v>
      </c>
      <c r="B135" s="283" t="s">
        <v>1899</v>
      </c>
      <c r="C135" s="365">
        <v>0.123</v>
      </c>
      <c r="D135" s="365">
        <v>0.123</v>
      </c>
      <c r="E135" s="365">
        <v>0.11</v>
      </c>
      <c r="F135" s="370"/>
    </row>
    <row r="136" spans="1:6">
      <c r="A136" s="278" t="s">
        <v>1873</v>
      </c>
      <c r="B136" s="283" t="s">
        <v>1900</v>
      </c>
      <c r="C136" s="365">
        <v>0.13</v>
      </c>
      <c r="D136" s="365">
        <v>0.13</v>
      </c>
      <c r="E136" s="365">
        <v>0.125</v>
      </c>
      <c r="F136" s="370"/>
    </row>
    <row r="137" spans="1:6">
      <c r="A137" s="278" t="s">
        <v>1873</v>
      </c>
      <c r="B137" s="283" t="s">
        <v>1901</v>
      </c>
      <c r="C137" s="365">
        <v>0.121</v>
      </c>
      <c r="D137" s="365">
        <v>0.122</v>
      </c>
      <c r="E137" s="365">
        <v>0.115</v>
      </c>
      <c r="F137" s="370"/>
    </row>
    <row r="138" spans="1:6">
      <c r="A138" s="278" t="s">
        <v>1873</v>
      </c>
      <c r="B138" s="283" t="s">
        <v>1902</v>
      </c>
      <c r="C138" s="365">
        <v>0.105</v>
      </c>
      <c r="D138" s="365">
        <v>0.125</v>
      </c>
      <c r="E138" s="365">
        <v>0.112</v>
      </c>
      <c r="F138" s="370"/>
    </row>
    <row r="139" spans="1:6">
      <c r="A139" s="278" t="s">
        <v>1873</v>
      </c>
      <c r="B139" s="283" t="s">
        <v>1903</v>
      </c>
      <c r="C139" s="365">
        <v>0.127</v>
      </c>
      <c r="D139" s="365">
        <v>0.127</v>
      </c>
      <c r="E139" s="365">
        <v>0.122</v>
      </c>
      <c r="F139" s="366">
        <v>0.13</v>
      </c>
    </row>
    <row r="140" spans="1:6">
      <c r="A140" s="278" t="s">
        <v>1873</v>
      </c>
      <c r="B140" s="283" t="s">
        <v>1904</v>
      </c>
      <c r="C140" s="365">
        <v>0.125</v>
      </c>
      <c r="D140" s="365">
        <v>0.125</v>
      </c>
      <c r="E140" s="365">
        <v>0.11899999999999999</v>
      </c>
      <c r="F140" s="366">
        <v>0.13</v>
      </c>
    </row>
    <row r="141" spans="1:6">
      <c r="A141" s="278" t="s">
        <v>1873</v>
      </c>
      <c r="B141" s="283" t="s">
        <v>1905</v>
      </c>
      <c r="C141" s="365">
        <v>0.125</v>
      </c>
      <c r="D141" s="365">
        <v>0.125</v>
      </c>
      <c r="E141" s="365">
        <v>0.11700000000000001</v>
      </c>
      <c r="F141" s="370"/>
    </row>
    <row r="142" spans="1:6">
      <c r="A142" s="278" t="s">
        <v>1873</v>
      </c>
      <c r="B142" s="283" t="s">
        <v>1906</v>
      </c>
      <c r="C142" s="365">
        <v>0.125</v>
      </c>
      <c r="D142" s="365">
        <v>0.125</v>
      </c>
      <c r="E142" s="365">
        <v>0.115</v>
      </c>
      <c r="F142" s="370"/>
    </row>
    <row r="143" spans="1:6">
      <c r="A143" s="278" t="s">
        <v>1873</v>
      </c>
      <c r="B143" s="283" t="s">
        <v>1907</v>
      </c>
      <c r="C143" s="365">
        <v>0.121</v>
      </c>
      <c r="D143" s="365">
        <v>0.121</v>
      </c>
      <c r="E143" s="365">
        <v>0.108</v>
      </c>
      <c r="F143" s="370"/>
    </row>
    <row r="144" spans="1:6">
      <c r="A144" s="278" t="s">
        <v>1873</v>
      </c>
      <c r="B144" s="373" t="s">
        <v>1908</v>
      </c>
      <c r="C144" s="374">
        <v>0.126</v>
      </c>
      <c r="D144" s="374">
        <v>0.126</v>
      </c>
      <c r="E144" s="374">
        <v>0.121</v>
      </c>
      <c r="F144" s="370"/>
    </row>
    <row r="145" spans="1:6">
      <c r="A145" s="296" t="s">
        <v>1873</v>
      </c>
      <c r="B145" s="375" t="s">
        <v>1909</v>
      </c>
      <c r="C145" s="376"/>
      <c r="D145" s="376"/>
      <c r="E145" s="376"/>
      <c r="F145" s="377">
        <v>0.05</v>
      </c>
    </row>
    <row r="146" spans="1:6" ht="24">
      <c r="A146" s="378" t="s">
        <v>1873</v>
      </c>
      <c r="B146" s="287" t="s">
        <v>1910</v>
      </c>
      <c r="C146" s="371"/>
      <c r="D146" s="371"/>
      <c r="E146" s="371"/>
      <c r="F146" s="379">
        <v>0.05</v>
      </c>
    </row>
    <row r="147" spans="1:6" ht="24">
      <c r="A147" s="278" t="s">
        <v>1873</v>
      </c>
      <c r="B147" s="283" t="s">
        <v>1911</v>
      </c>
      <c r="C147" s="371"/>
      <c r="D147" s="371"/>
      <c r="E147" s="371"/>
      <c r="F147" s="366">
        <v>0.05</v>
      </c>
    </row>
    <row r="148" spans="1:6" ht="24">
      <c r="A148" s="278" t="s">
        <v>1873</v>
      </c>
      <c r="B148" s="283" t="s">
        <v>1912</v>
      </c>
      <c r="C148" s="371"/>
      <c r="D148" s="371"/>
      <c r="E148" s="371"/>
      <c r="F148" s="366">
        <v>0.05</v>
      </c>
    </row>
    <row r="149" spans="1:6" ht="24">
      <c r="A149" s="278" t="s">
        <v>1873</v>
      </c>
      <c r="B149" s="283" t="s">
        <v>1913</v>
      </c>
      <c r="C149" s="371"/>
      <c r="D149" s="371"/>
      <c r="E149" s="371"/>
      <c r="F149" s="366">
        <v>0.05</v>
      </c>
    </row>
    <row r="150" spans="1:6" ht="24">
      <c r="A150" s="278" t="s">
        <v>1873</v>
      </c>
      <c r="B150" s="283" t="s">
        <v>1914</v>
      </c>
      <c r="C150" s="371"/>
      <c r="D150" s="371"/>
      <c r="E150" s="371"/>
      <c r="F150" s="366">
        <v>0.05</v>
      </c>
    </row>
    <row r="151" spans="1:6" ht="24">
      <c r="A151" s="278" t="s">
        <v>1873</v>
      </c>
      <c r="B151" s="283" t="s">
        <v>1915</v>
      </c>
      <c r="C151" s="371"/>
      <c r="D151" s="371"/>
      <c r="E151" s="371"/>
      <c r="F151" s="366">
        <v>0.05</v>
      </c>
    </row>
    <row r="152" spans="1:6" ht="24">
      <c r="A152" s="278" t="s">
        <v>1873</v>
      </c>
      <c r="B152" s="283" t="s">
        <v>1916</v>
      </c>
      <c r="C152" s="371"/>
      <c r="D152" s="371"/>
      <c r="E152" s="371"/>
      <c r="F152" s="366">
        <v>0.05</v>
      </c>
    </row>
    <row r="153" spans="1:6">
      <c r="A153" s="278" t="s">
        <v>1873</v>
      </c>
      <c r="B153" s="283" t="s">
        <v>1917</v>
      </c>
      <c r="C153" s="371"/>
      <c r="D153" s="371"/>
      <c r="E153" s="371"/>
      <c r="F153" s="366">
        <v>0.05</v>
      </c>
    </row>
    <row r="154" spans="1:6">
      <c r="A154" s="278" t="s">
        <v>1873</v>
      </c>
      <c r="B154" s="283" t="s">
        <v>1918</v>
      </c>
      <c r="C154" s="371"/>
      <c r="D154" s="371"/>
      <c r="E154" s="371"/>
      <c r="F154" s="366">
        <v>0.05</v>
      </c>
    </row>
    <row r="155" spans="1:6" ht="24">
      <c r="A155" s="278" t="s">
        <v>1873</v>
      </c>
      <c r="B155" s="283" t="s">
        <v>1919</v>
      </c>
      <c r="C155" s="371"/>
      <c r="D155" s="371"/>
      <c r="E155" s="371"/>
      <c r="F155" s="366">
        <v>0.05</v>
      </c>
    </row>
    <row r="156" spans="1:6" ht="24">
      <c r="A156" s="278" t="s">
        <v>1873</v>
      </c>
      <c r="B156" s="283" t="s">
        <v>1920</v>
      </c>
      <c r="C156" s="371"/>
      <c r="D156" s="371"/>
      <c r="E156" s="371"/>
      <c r="F156" s="366">
        <v>0.05</v>
      </c>
    </row>
    <row r="157" spans="1:6">
      <c r="A157" s="296" t="s">
        <v>1873</v>
      </c>
      <c r="B157" s="289" t="s">
        <v>1921</v>
      </c>
      <c r="C157" s="368"/>
      <c r="D157" s="368"/>
      <c r="E157" s="368"/>
      <c r="F157" s="372">
        <v>0.05</v>
      </c>
    </row>
    <row r="158" spans="1:6">
      <c r="A158" s="278" t="s">
        <v>1922</v>
      </c>
      <c r="B158" s="279" t="s">
        <v>1923</v>
      </c>
      <c r="C158" s="363">
        <v>0.13</v>
      </c>
      <c r="D158" s="363">
        <v>0.13</v>
      </c>
      <c r="E158" s="363">
        <v>0.13</v>
      </c>
      <c r="F158" s="364">
        <v>0.13</v>
      </c>
    </row>
    <row r="159" spans="1:6">
      <c r="A159" s="278" t="s">
        <v>1922</v>
      </c>
      <c r="B159" s="283" t="s">
        <v>1924</v>
      </c>
      <c r="C159" s="365">
        <v>0.13</v>
      </c>
      <c r="D159" s="365">
        <v>0.13</v>
      </c>
      <c r="E159" s="365">
        <v>0.13</v>
      </c>
      <c r="F159" s="366">
        <v>0.13</v>
      </c>
    </row>
    <row r="160" spans="1:6">
      <c r="A160" s="278" t="s">
        <v>1922</v>
      </c>
      <c r="B160" s="283" t="s">
        <v>1925</v>
      </c>
      <c r="C160" s="365">
        <v>0.13</v>
      </c>
      <c r="D160" s="365">
        <v>0.13</v>
      </c>
      <c r="E160" s="365">
        <v>0.129</v>
      </c>
      <c r="F160" s="366">
        <v>0.13</v>
      </c>
    </row>
    <row r="161" spans="1:6">
      <c r="A161" s="278" t="s">
        <v>1922</v>
      </c>
      <c r="B161" s="283" t="s">
        <v>1926</v>
      </c>
      <c r="C161" s="365">
        <v>0.128</v>
      </c>
      <c r="D161" s="365">
        <v>0.128</v>
      </c>
      <c r="E161" s="365">
        <v>0.125</v>
      </c>
      <c r="F161" s="366">
        <v>0.13</v>
      </c>
    </row>
    <row r="162" spans="1:6">
      <c r="A162" s="278" t="s">
        <v>1922</v>
      </c>
      <c r="B162" s="283" t="s">
        <v>1927</v>
      </c>
      <c r="C162" s="365">
        <v>0.122</v>
      </c>
      <c r="D162" s="365">
        <v>0.122</v>
      </c>
      <c r="E162" s="365">
        <v>0.126</v>
      </c>
      <c r="F162" s="366">
        <v>0.122</v>
      </c>
    </row>
    <row r="163" spans="1:6">
      <c r="A163" s="278" t="s">
        <v>1922</v>
      </c>
      <c r="B163" s="283" t="s">
        <v>1928</v>
      </c>
      <c r="C163" s="365">
        <v>0.13</v>
      </c>
      <c r="D163" s="365">
        <v>0.13</v>
      </c>
      <c r="E163" s="365">
        <v>0.125</v>
      </c>
      <c r="F163" s="366">
        <v>0.13</v>
      </c>
    </row>
    <row r="164" spans="1:6">
      <c r="A164" s="278" t="s">
        <v>1922</v>
      </c>
      <c r="B164" s="283" t="s">
        <v>1929</v>
      </c>
      <c r="C164" s="365">
        <v>0.13</v>
      </c>
      <c r="D164" s="365">
        <v>0.13</v>
      </c>
      <c r="E164" s="365">
        <v>0.13</v>
      </c>
      <c r="F164" s="366">
        <v>0.13</v>
      </c>
    </row>
    <row r="165" spans="1:6">
      <c r="A165" s="278" t="s">
        <v>1922</v>
      </c>
      <c r="B165" s="283" t="s">
        <v>1930</v>
      </c>
      <c r="C165" s="365">
        <v>0.13</v>
      </c>
      <c r="D165" s="365">
        <v>0.13</v>
      </c>
      <c r="E165" s="365">
        <v>0.124</v>
      </c>
      <c r="F165" s="366">
        <v>0.13</v>
      </c>
    </row>
    <row r="166" spans="1:6">
      <c r="A166" s="278" t="s">
        <v>1922</v>
      </c>
      <c r="B166" s="283" t="s">
        <v>1931</v>
      </c>
      <c r="C166" s="365">
        <v>0.13</v>
      </c>
      <c r="D166" s="365">
        <v>0.13</v>
      </c>
      <c r="E166" s="365">
        <v>0.13</v>
      </c>
      <c r="F166" s="366">
        <v>0.13</v>
      </c>
    </row>
    <row r="167" spans="1:6">
      <c r="A167" s="278" t="s">
        <v>1922</v>
      </c>
      <c r="B167" s="283" t="s">
        <v>1932</v>
      </c>
      <c r="C167" s="365">
        <v>0.125</v>
      </c>
      <c r="D167" s="365">
        <v>0.125</v>
      </c>
      <c r="E167" s="365">
        <v>0.121</v>
      </c>
      <c r="F167" s="370"/>
    </row>
    <row r="168" spans="1:6">
      <c r="A168" s="278" t="s">
        <v>1922</v>
      </c>
      <c r="B168" s="283" t="s">
        <v>1933</v>
      </c>
      <c r="C168" s="365">
        <v>0.13</v>
      </c>
      <c r="D168" s="365">
        <v>0.13</v>
      </c>
      <c r="E168" s="365">
        <v>0.126</v>
      </c>
      <c r="F168" s="370"/>
    </row>
    <row r="169" spans="1:6">
      <c r="A169" s="278" t="s">
        <v>1922</v>
      </c>
      <c r="B169" s="283" t="s">
        <v>1934</v>
      </c>
      <c r="C169" s="365">
        <v>0.128</v>
      </c>
      <c r="D169" s="365">
        <v>0.129</v>
      </c>
      <c r="E169" s="365">
        <v>0.13</v>
      </c>
      <c r="F169" s="370"/>
    </row>
    <row r="170" spans="1:6">
      <c r="A170" s="278" t="s">
        <v>1922</v>
      </c>
      <c r="B170" s="283" t="s">
        <v>1935</v>
      </c>
      <c r="C170" s="365">
        <v>0.14099999999999999</v>
      </c>
      <c r="D170" s="365">
        <v>0.13</v>
      </c>
      <c r="E170" s="365">
        <v>0.125</v>
      </c>
      <c r="F170" s="370"/>
    </row>
    <row r="171" spans="1:6">
      <c r="A171" s="278" t="s">
        <v>1922</v>
      </c>
      <c r="B171" s="283" t="s">
        <v>1936</v>
      </c>
      <c r="C171" s="365">
        <v>0.127</v>
      </c>
      <c r="D171" s="365">
        <v>0.126</v>
      </c>
      <c r="E171" s="365">
        <v>0.126</v>
      </c>
      <c r="F171" s="366">
        <v>0.11799999999999999</v>
      </c>
    </row>
    <row r="172" spans="1:6">
      <c r="A172" s="278" t="s">
        <v>1922</v>
      </c>
      <c r="B172" s="283" t="s">
        <v>1937</v>
      </c>
      <c r="C172" s="365">
        <v>0.13</v>
      </c>
      <c r="D172" s="365">
        <v>0.13</v>
      </c>
      <c r="E172" s="365">
        <v>0.13</v>
      </c>
      <c r="F172" s="370"/>
    </row>
    <row r="173" spans="1:6">
      <c r="A173" s="278" t="s">
        <v>1922</v>
      </c>
      <c r="B173" s="283" t="s">
        <v>1938</v>
      </c>
      <c r="C173" s="365">
        <v>0.13</v>
      </c>
      <c r="D173" s="365">
        <v>0.13</v>
      </c>
      <c r="E173" s="365">
        <v>0.13</v>
      </c>
      <c r="F173" s="370"/>
    </row>
    <row r="174" spans="1:6">
      <c r="A174" s="278" t="s">
        <v>1922</v>
      </c>
      <c r="B174" s="283" t="s">
        <v>1939</v>
      </c>
      <c r="C174" s="365">
        <v>0.13</v>
      </c>
      <c r="D174" s="365">
        <v>0.13</v>
      </c>
      <c r="E174" s="365">
        <v>0.13</v>
      </c>
      <c r="F174" s="366">
        <v>0.13</v>
      </c>
    </row>
    <row r="175" spans="1:6">
      <c r="A175" s="278" t="s">
        <v>1922</v>
      </c>
      <c r="B175" s="283" t="s">
        <v>1940</v>
      </c>
      <c r="C175" s="365">
        <v>0.13</v>
      </c>
      <c r="D175" s="365">
        <v>0.13</v>
      </c>
      <c r="E175" s="365">
        <v>0.13</v>
      </c>
      <c r="F175" s="366">
        <v>0.13</v>
      </c>
    </row>
    <row r="176" spans="1:6">
      <c r="A176" s="278" t="s">
        <v>1922</v>
      </c>
      <c r="B176" s="283" t="s">
        <v>1941</v>
      </c>
      <c r="C176" s="365">
        <v>0.13</v>
      </c>
      <c r="D176" s="365">
        <v>0.13</v>
      </c>
      <c r="E176" s="365">
        <v>0.13</v>
      </c>
      <c r="F176" s="366">
        <v>0.13</v>
      </c>
    </row>
    <row r="177" spans="1:6">
      <c r="A177" s="278" t="s">
        <v>1922</v>
      </c>
      <c r="B177" s="283" t="s">
        <v>1942</v>
      </c>
      <c r="C177" s="365">
        <v>0.13</v>
      </c>
      <c r="D177" s="365">
        <v>0.13</v>
      </c>
      <c r="E177" s="365">
        <v>0.13</v>
      </c>
      <c r="F177" s="366">
        <v>0.13</v>
      </c>
    </row>
    <row r="178" spans="1:6">
      <c r="A178" s="278" t="s">
        <v>1922</v>
      </c>
      <c r="B178" s="283" t="s">
        <v>1943</v>
      </c>
      <c r="C178" s="365">
        <v>0.13</v>
      </c>
      <c r="D178" s="365">
        <v>0.13</v>
      </c>
      <c r="E178" s="365">
        <v>0.13</v>
      </c>
      <c r="F178" s="366">
        <v>0.127</v>
      </c>
    </row>
    <row r="179" spans="1:6">
      <c r="A179" s="278" t="s">
        <v>1922</v>
      </c>
      <c r="B179" s="283" t="s">
        <v>1944</v>
      </c>
      <c r="C179" s="365">
        <v>0.13</v>
      </c>
      <c r="D179" s="365">
        <v>0.13</v>
      </c>
      <c r="E179" s="365">
        <v>0.13</v>
      </c>
      <c r="F179" s="370"/>
    </row>
    <row r="180" spans="1:6">
      <c r="A180" s="278" t="s">
        <v>1922</v>
      </c>
      <c r="B180" s="283" t="s">
        <v>1945</v>
      </c>
      <c r="C180" s="365">
        <v>0.13</v>
      </c>
      <c r="D180" s="365">
        <v>0.13</v>
      </c>
      <c r="E180" s="365">
        <v>0.125</v>
      </c>
      <c r="F180" s="366">
        <v>0.13</v>
      </c>
    </row>
    <row r="181" spans="1:6">
      <c r="A181" s="278" t="s">
        <v>1922</v>
      </c>
      <c r="B181" s="283" t="s">
        <v>1946</v>
      </c>
      <c r="C181" s="365">
        <v>0.122</v>
      </c>
      <c r="D181" s="365">
        <v>0.123</v>
      </c>
      <c r="E181" s="365">
        <v>0.126</v>
      </c>
      <c r="F181" s="366">
        <v>0.121</v>
      </c>
    </row>
    <row r="182" spans="1:6">
      <c r="A182" s="278" t="s">
        <v>1922</v>
      </c>
      <c r="B182" s="283" t="s">
        <v>1947</v>
      </c>
      <c r="C182" s="365">
        <v>0.125</v>
      </c>
      <c r="D182" s="365">
        <v>0.125</v>
      </c>
      <c r="E182" s="365">
        <v>0.11700000000000001</v>
      </c>
      <c r="F182" s="366">
        <v>0.13</v>
      </c>
    </row>
    <row r="183" spans="1:6">
      <c r="A183" s="278" t="s">
        <v>1922</v>
      </c>
      <c r="B183" s="283" t="s">
        <v>1948</v>
      </c>
      <c r="C183" s="365">
        <v>0.127</v>
      </c>
      <c r="D183" s="365">
        <v>0.127</v>
      </c>
      <c r="E183" s="365">
        <v>0.128</v>
      </c>
      <c r="F183" s="370"/>
    </row>
    <row r="184" spans="1:6">
      <c r="A184" s="278" t="s">
        <v>1922</v>
      </c>
      <c r="B184" s="283" t="s">
        <v>1949</v>
      </c>
      <c r="C184" s="365">
        <v>0.125</v>
      </c>
      <c r="D184" s="365">
        <v>0.125</v>
      </c>
      <c r="E184" s="365">
        <v>0.127</v>
      </c>
      <c r="F184" s="370"/>
    </row>
    <row r="185" spans="1:6">
      <c r="A185" s="278" t="s">
        <v>1922</v>
      </c>
      <c r="B185" s="283" t="s">
        <v>1950</v>
      </c>
      <c r="C185" s="365">
        <v>0.127</v>
      </c>
      <c r="D185" s="365">
        <v>0.127</v>
      </c>
      <c r="E185" s="365">
        <v>0.128</v>
      </c>
      <c r="F185" s="366">
        <v>0.13</v>
      </c>
    </row>
    <row r="186" spans="1:6" ht="24">
      <c r="A186" s="278" t="s">
        <v>1922</v>
      </c>
      <c r="B186" s="283" t="s">
        <v>1951</v>
      </c>
      <c r="C186" s="371"/>
      <c r="D186" s="371"/>
      <c r="E186" s="371"/>
      <c r="F186" s="366">
        <v>0.05</v>
      </c>
    </row>
    <row r="187" spans="1:6">
      <c r="A187" s="278" t="s">
        <v>1922</v>
      </c>
      <c r="B187" s="283" t="s">
        <v>1952</v>
      </c>
      <c r="C187" s="371"/>
      <c r="D187" s="371"/>
      <c r="E187" s="371"/>
      <c r="F187" s="366">
        <v>0.05</v>
      </c>
    </row>
    <row r="188" spans="1:6">
      <c r="A188" s="278" t="s">
        <v>1922</v>
      </c>
      <c r="B188" s="283" t="s">
        <v>1953</v>
      </c>
      <c r="C188" s="371"/>
      <c r="D188" s="371"/>
      <c r="E188" s="371"/>
      <c r="F188" s="366">
        <v>0.05</v>
      </c>
    </row>
    <row r="189" spans="1:6" ht="24">
      <c r="A189" s="278" t="s">
        <v>1922</v>
      </c>
      <c r="B189" s="283" t="s">
        <v>1954</v>
      </c>
      <c r="C189" s="371"/>
      <c r="D189" s="371"/>
      <c r="E189" s="371"/>
      <c r="F189" s="366">
        <v>0.05</v>
      </c>
    </row>
    <row r="190" spans="1:6" ht="24">
      <c r="A190" s="278" t="s">
        <v>1922</v>
      </c>
      <c r="B190" s="283" t="s">
        <v>1955</v>
      </c>
      <c r="C190" s="371"/>
      <c r="D190" s="371"/>
      <c r="E190" s="371"/>
      <c r="F190" s="366">
        <v>0.05</v>
      </c>
    </row>
    <row r="191" spans="1:6" ht="24">
      <c r="A191" s="278" t="s">
        <v>1922</v>
      </c>
      <c r="B191" s="283" t="s">
        <v>1956</v>
      </c>
      <c r="C191" s="371"/>
      <c r="D191" s="371"/>
      <c r="E191" s="371"/>
      <c r="F191" s="366">
        <v>0.05</v>
      </c>
    </row>
    <row r="192" spans="1:6" ht="24">
      <c r="A192" s="278" t="s">
        <v>1922</v>
      </c>
      <c r="B192" s="283" t="s">
        <v>1957</v>
      </c>
      <c r="C192" s="371"/>
      <c r="D192" s="371"/>
      <c r="E192" s="371"/>
      <c r="F192" s="366">
        <v>0.05</v>
      </c>
    </row>
    <row r="193" spans="1:6" ht="24">
      <c r="A193" s="278" t="s">
        <v>1922</v>
      </c>
      <c r="B193" s="283" t="s">
        <v>1958</v>
      </c>
      <c r="C193" s="371"/>
      <c r="D193" s="371"/>
      <c r="E193" s="371"/>
      <c r="F193" s="366">
        <v>0.05</v>
      </c>
    </row>
    <row r="194" spans="1:6" ht="24">
      <c r="A194" s="278" t="s">
        <v>1922</v>
      </c>
      <c r="B194" s="283" t="s">
        <v>1959</v>
      </c>
      <c r="C194" s="371"/>
      <c r="D194" s="371"/>
      <c r="E194" s="371"/>
      <c r="F194" s="366">
        <v>0.05</v>
      </c>
    </row>
    <row r="195" spans="1:6">
      <c r="A195" s="278" t="s">
        <v>1922</v>
      </c>
      <c r="B195" s="283" t="s">
        <v>1960</v>
      </c>
      <c r="C195" s="371"/>
      <c r="D195" s="371"/>
      <c r="E195" s="371"/>
      <c r="F195" s="366">
        <v>0.05</v>
      </c>
    </row>
    <row r="196" spans="1:6" ht="24">
      <c r="A196" s="278" t="s">
        <v>1922</v>
      </c>
      <c r="B196" s="283" t="s">
        <v>1961</v>
      </c>
      <c r="C196" s="371"/>
      <c r="D196" s="371"/>
      <c r="E196" s="371"/>
      <c r="F196" s="366">
        <v>0.05</v>
      </c>
    </row>
    <row r="197" spans="1:6" ht="24">
      <c r="A197" s="278" t="s">
        <v>1922</v>
      </c>
      <c r="B197" s="283" t="s">
        <v>1962</v>
      </c>
      <c r="C197" s="371"/>
      <c r="D197" s="371"/>
      <c r="E197" s="371"/>
      <c r="F197" s="366">
        <v>0.05</v>
      </c>
    </row>
    <row r="198" spans="1:6" ht="24">
      <c r="A198" s="278" t="s">
        <v>1922</v>
      </c>
      <c r="B198" s="283" t="s">
        <v>1963</v>
      </c>
      <c r="C198" s="371"/>
      <c r="D198" s="371"/>
      <c r="E198" s="371"/>
      <c r="F198" s="366">
        <v>0.05</v>
      </c>
    </row>
    <row r="199" spans="1:6" ht="24">
      <c r="A199" s="278" t="s">
        <v>1922</v>
      </c>
      <c r="B199" s="283" t="s">
        <v>1964</v>
      </c>
      <c r="C199" s="371"/>
      <c r="D199" s="371"/>
      <c r="E199" s="371"/>
      <c r="F199" s="366">
        <v>0.05</v>
      </c>
    </row>
    <row r="200" spans="1:6" ht="24">
      <c r="A200" s="278" t="s">
        <v>1922</v>
      </c>
      <c r="B200" s="283" t="s">
        <v>1965</v>
      </c>
      <c r="C200" s="371"/>
      <c r="D200" s="371"/>
      <c r="E200" s="371"/>
      <c r="F200" s="366">
        <v>0.05</v>
      </c>
    </row>
    <row r="201" spans="1:6" ht="24">
      <c r="A201" s="278" t="s">
        <v>1922</v>
      </c>
      <c r="B201" s="283" t="s">
        <v>1966</v>
      </c>
      <c r="C201" s="371"/>
      <c r="D201" s="371"/>
      <c r="E201" s="371"/>
      <c r="F201" s="366">
        <v>0.05</v>
      </c>
    </row>
    <row r="202" spans="1:6" ht="24">
      <c r="A202" s="278" t="s">
        <v>1922</v>
      </c>
      <c r="B202" s="283" t="s">
        <v>1967</v>
      </c>
      <c r="C202" s="371"/>
      <c r="D202" s="371"/>
      <c r="E202" s="371"/>
      <c r="F202" s="366">
        <v>0.05</v>
      </c>
    </row>
    <row r="203" spans="1:6" ht="24">
      <c r="A203" s="278" t="s">
        <v>1922</v>
      </c>
      <c r="B203" s="283" t="s">
        <v>1968</v>
      </c>
      <c r="C203" s="371"/>
      <c r="D203" s="371"/>
      <c r="E203" s="371"/>
      <c r="F203" s="366">
        <v>0.05</v>
      </c>
    </row>
    <row r="204" spans="1:6">
      <c r="A204" s="278" t="s">
        <v>1922</v>
      </c>
      <c r="B204" s="283" t="s">
        <v>1969</v>
      </c>
      <c r="C204" s="371"/>
      <c r="D204" s="371"/>
      <c r="E204" s="371"/>
      <c r="F204" s="366">
        <v>0.05</v>
      </c>
    </row>
    <row r="205" spans="1:6">
      <c r="A205" s="296" t="s">
        <v>1922</v>
      </c>
      <c r="B205" s="289" t="s">
        <v>1970</v>
      </c>
      <c r="C205" s="368"/>
      <c r="D205" s="368"/>
      <c r="E205" s="368"/>
      <c r="F205" s="372">
        <v>0.05</v>
      </c>
    </row>
    <row r="206" spans="1:6">
      <c r="A206" s="278" t="s">
        <v>1971</v>
      </c>
      <c r="B206" s="279" t="s">
        <v>1972</v>
      </c>
      <c r="C206" s="363">
        <v>0.15</v>
      </c>
      <c r="D206" s="363">
        <v>0.15</v>
      </c>
      <c r="E206" s="363">
        <v>0.15</v>
      </c>
      <c r="F206" s="364">
        <v>0.15</v>
      </c>
    </row>
    <row r="207" spans="1:6">
      <c r="A207" s="278" t="s">
        <v>1971</v>
      </c>
      <c r="B207" s="283" t="s">
        <v>1973</v>
      </c>
      <c r="C207" s="365">
        <v>0.15</v>
      </c>
      <c r="D207" s="365">
        <v>0.15</v>
      </c>
      <c r="E207" s="365">
        <v>0.15</v>
      </c>
      <c r="F207" s="366">
        <v>0.14399999999999999</v>
      </c>
    </row>
    <row r="208" spans="1:6">
      <c r="A208" s="278" t="s">
        <v>1971</v>
      </c>
      <c r="B208" s="283" t="s">
        <v>1974</v>
      </c>
      <c r="C208" s="365">
        <v>0.15</v>
      </c>
      <c r="D208" s="365">
        <v>0.15</v>
      </c>
      <c r="E208" s="365">
        <v>0.15</v>
      </c>
      <c r="F208" s="366">
        <v>0.15</v>
      </c>
    </row>
    <row r="209" spans="1:6">
      <c r="A209" s="278" t="s">
        <v>1971</v>
      </c>
      <c r="B209" s="283" t="s">
        <v>1975</v>
      </c>
      <c r="C209" s="365">
        <v>0.13700000000000001</v>
      </c>
      <c r="D209" s="365">
        <v>0.13700000000000001</v>
      </c>
      <c r="E209" s="365">
        <v>0.14000000000000001</v>
      </c>
      <c r="F209" s="366">
        <v>0.11700000000000001</v>
      </c>
    </row>
    <row r="210" spans="1:6">
      <c r="A210" s="278" t="s">
        <v>1971</v>
      </c>
      <c r="B210" s="283" t="s">
        <v>1976</v>
      </c>
      <c r="C210" s="365">
        <v>0.15</v>
      </c>
      <c r="D210" s="365">
        <v>0.15</v>
      </c>
      <c r="E210" s="365">
        <v>0.15</v>
      </c>
      <c r="F210" s="366">
        <v>0.13800000000000001</v>
      </c>
    </row>
    <row r="211" spans="1:6">
      <c r="A211" s="278" t="s">
        <v>1971</v>
      </c>
      <c r="B211" s="283" t="s">
        <v>1977</v>
      </c>
      <c r="C211" s="365">
        <v>0.13700000000000001</v>
      </c>
      <c r="D211" s="365">
        <v>0.13500000000000001</v>
      </c>
      <c r="E211" s="365">
        <v>0.13600000000000001</v>
      </c>
      <c r="F211" s="366">
        <v>0.1</v>
      </c>
    </row>
    <row r="212" spans="1:6">
      <c r="A212" s="278" t="s">
        <v>1971</v>
      </c>
      <c r="B212" s="283" t="s">
        <v>1978</v>
      </c>
      <c r="C212" s="365">
        <v>0.15</v>
      </c>
      <c r="D212" s="365">
        <v>0.15</v>
      </c>
      <c r="E212" s="365">
        <v>0.14799999999999999</v>
      </c>
      <c r="F212" s="366">
        <v>0.13600000000000001</v>
      </c>
    </row>
    <row r="213" spans="1:6">
      <c r="A213" s="278" t="s">
        <v>1971</v>
      </c>
      <c r="B213" s="283" t="s">
        <v>1979</v>
      </c>
      <c r="C213" s="365">
        <v>0.15</v>
      </c>
      <c r="D213" s="365">
        <v>0.15</v>
      </c>
      <c r="E213" s="365">
        <v>0.15</v>
      </c>
      <c r="F213" s="366">
        <v>0.13800000000000001</v>
      </c>
    </row>
    <row r="214" spans="1:6">
      <c r="A214" s="278" t="s">
        <v>1971</v>
      </c>
      <c r="B214" s="283" t="s">
        <v>1980</v>
      </c>
      <c r="C214" s="365">
        <v>9.0999999999999998E-2</v>
      </c>
      <c r="D214" s="365">
        <v>0.09</v>
      </c>
      <c r="E214" s="365">
        <v>9.1999999999999998E-2</v>
      </c>
      <c r="F214" s="370"/>
    </row>
    <row r="215" spans="1:6">
      <c r="A215" s="278" t="s">
        <v>1971</v>
      </c>
      <c r="B215" s="283" t="s">
        <v>1981</v>
      </c>
      <c r="C215" s="365">
        <v>0.15</v>
      </c>
      <c r="D215" s="365">
        <v>0.15</v>
      </c>
      <c r="E215" s="365">
        <v>0.15</v>
      </c>
      <c r="F215" s="366">
        <v>0.15</v>
      </c>
    </row>
    <row r="216" spans="1:6">
      <c r="A216" s="278" t="s">
        <v>1971</v>
      </c>
      <c r="B216" s="283" t="s">
        <v>1982</v>
      </c>
      <c r="C216" s="365">
        <v>0.14699999999999999</v>
      </c>
      <c r="D216" s="365">
        <v>0.14699999999999999</v>
      </c>
      <c r="E216" s="365">
        <v>0.15</v>
      </c>
      <c r="F216" s="366">
        <v>0.14000000000000001</v>
      </c>
    </row>
    <row r="217" spans="1:6">
      <c r="A217" s="278" t="s">
        <v>1971</v>
      </c>
      <c r="B217" s="283" t="s">
        <v>1983</v>
      </c>
      <c r="C217" s="365">
        <v>0.15</v>
      </c>
      <c r="D217" s="365">
        <v>0.15</v>
      </c>
      <c r="E217" s="365">
        <v>0.15</v>
      </c>
      <c r="F217" s="366">
        <v>0.15</v>
      </c>
    </row>
    <row r="218" spans="1:6">
      <c r="A218" s="278" t="s">
        <v>1971</v>
      </c>
      <c r="B218" s="283" t="s">
        <v>1984</v>
      </c>
      <c r="C218" s="365">
        <v>0.15</v>
      </c>
      <c r="D218" s="365">
        <v>0.15</v>
      </c>
      <c r="E218" s="365">
        <v>0.15</v>
      </c>
      <c r="F218" s="366">
        <v>0.15</v>
      </c>
    </row>
    <row r="219" spans="1:6">
      <c r="A219" s="278" t="s">
        <v>1971</v>
      </c>
      <c r="B219" s="283" t="s">
        <v>1985</v>
      </c>
      <c r="C219" s="365">
        <v>0.15</v>
      </c>
      <c r="D219" s="365">
        <v>0.15</v>
      </c>
      <c r="E219" s="365">
        <v>0.15</v>
      </c>
      <c r="F219" s="366">
        <v>0.14799999999999999</v>
      </c>
    </row>
    <row r="220" spans="1:6">
      <c r="A220" s="278" t="s">
        <v>1971</v>
      </c>
      <c r="B220" s="283" t="s">
        <v>1986</v>
      </c>
      <c r="C220" s="365">
        <v>0.15</v>
      </c>
      <c r="D220" s="365">
        <v>0.15</v>
      </c>
      <c r="E220" s="365">
        <v>0.15</v>
      </c>
      <c r="F220" s="366">
        <v>0.15</v>
      </c>
    </row>
    <row r="221" spans="1:6">
      <c r="A221" s="278" t="s">
        <v>1971</v>
      </c>
      <c r="B221" s="283" t="s">
        <v>1987</v>
      </c>
      <c r="C221" s="365"/>
      <c r="D221" s="371"/>
      <c r="E221" s="371"/>
      <c r="F221" s="366">
        <v>0.14799999999999999</v>
      </c>
    </row>
    <row r="222" spans="1:6">
      <c r="A222" s="278" t="s">
        <v>1971</v>
      </c>
      <c r="B222" s="283" t="s">
        <v>1988</v>
      </c>
      <c r="C222" s="365"/>
      <c r="D222" s="371"/>
      <c r="E222" s="371"/>
      <c r="F222" s="366">
        <v>0.1</v>
      </c>
    </row>
    <row r="223" spans="1:6">
      <c r="A223" s="278" t="s">
        <v>1971</v>
      </c>
      <c r="B223" s="283" t="s">
        <v>1989</v>
      </c>
      <c r="C223" s="365"/>
      <c r="D223" s="371"/>
      <c r="E223" s="371"/>
      <c r="F223" s="366">
        <v>0.15</v>
      </c>
    </row>
    <row r="224" spans="1:6">
      <c r="A224" s="278" t="s">
        <v>1971</v>
      </c>
      <c r="B224" s="283" t="s">
        <v>1990</v>
      </c>
      <c r="C224" s="365"/>
      <c r="D224" s="371"/>
      <c r="E224" s="371"/>
      <c r="F224" s="366">
        <v>0.15</v>
      </c>
    </row>
    <row r="225" spans="1:6">
      <c r="A225" s="278" t="s">
        <v>1971</v>
      </c>
      <c r="B225" s="283" t="s">
        <v>1991</v>
      </c>
      <c r="C225" s="365">
        <v>0.15</v>
      </c>
      <c r="D225" s="365">
        <v>0.15</v>
      </c>
      <c r="E225" s="365">
        <v>0.15</v>
      </c>
      <c r="F225" s="366">
        <v>0.15</v>
      </c>
    </row>
    <row r="226" spans="1:6">
      <c r="A226" s="278" t="s">
        <v>1971</v>
      </c>
      <c r="B226" s="283" t="s">
        <v>1992</v>
      </c>
      <c r="C226" s="365">
        <v>0.15</v>
      </c>
      <c r="D226" s="365">
        <v>0.15</v>
      </c>
      <c r="E226" s="365">
        <v>0.15</v>
      </c>
      <c r="F226" s="366">
        <v>0.14799999999999999</v>
      </c>
    </row>
    <row r="227" spans="1:6">
      <c r="A227" s="278" t="s">
        <v>1971</v>
      </c>
      <c r="B227" s="283" t="s">
        <v>1993</v>
      </c>
      <c r="C227" s="365">
        <v>0.15</v>
      </c>
      <c r="D227" s="365">
        <v>0.15</v>
      </c>
      <c r="E227" s="365">
        <v>0.15</v>
      </c>
      <c r="F227" s="366">
        <v>0.15</v>
      </c>
    </row>
    <row r="228" spans="1:6">
      <c r="A228" s="278" t="s">
        <v>1971</v>
      </c>
      <c r="B228" s="283" t="s">
        <v>1994</v>
      </c>
      <c r="C228" s="365">
        <v>0.15</v>
      </c>
      <c r="D228" s="365">
        <v>0.15</v>
      </c>
      <c r="E228" s="365">
        <v>0.15</v>
      </c>
      <c r="F228" s="366">
        <v>0.15</v>
      </c>
    </row>
    <row r="229" spans="1:6">
      <c r="A229" s="278" t="s">
        <v>1971</v>
      </c>
      <c r="B229" s="283" t="s">
        <v>1995</v>
      </c>
      <c r="C229" s="365">
        <v>0.15</v>
      </c>
      <c r="D229" s="365">
        <v>0.15</v>
      </c>
      <c r="E229" s="365">
        <v>0.15</v>
      </c>
      <c r="F229" s="370"/>
    </row>
    <row r="230" spans="1:6">
      <c r="A230" s="278" t="s">
        <v>1971</v>
      </c>
      <c r="B230" s="283" t="s">
        <v>1996</v>
      </c>
      <c r="C230" s="365">
        <v>0.14499999999999999</v>
      </c>
      <c r="D230" s="365">
        <v>0.14499999999999999</v>
      </c>
      <c r="E230" s="365">
        <v>0.14399999999999999</v>
      </c>
      <c r="F230" s="370"/>
    </row>
    <row r="231" spans="1:6">
      <c r="A231" s="278" t="s">
        <v>1971</v>
      </c>
      <c r="B231" s="283" t="s">
        <v>1997</v>
      </c>
      <c r="C231" s="365">
        <v>0.128</v>
      </c>
      <c r="D231" s="365">
        <v>0.125</v>
      </c>
      <c r="E231" s="365">
        <v>0.13200000000000001</v>
      </c>
      <c r="F231" s="370"/>
    </row>
    <row r="232" spans="1:6">
      <c r="A232" s="278" t="s">
        <v>1971</v>
      </c>
      <c r="B232" s="283" t="s">
        <v>1998</v>
      </c>
      <c r="C232" s="365">
        <v>0.14499999999999999</v>
      </c>
      <c r="D232" s="365">
        <v>0.14399999999999999</v>
      </c>
      <c r="E232" s="365">
        <v>0.14599999999999999</v>
      </c>
      <c r="F232" s="366">
        <v>0.13800000000000001</v>
      </c>
    </row>
    <row r="233" spans="1:6">
      <c r="A233" s="278" t="s">
        <v>1971</v>
      </c>
      <c r="B233" s="283" t="s">
        <v>1999</v>
      </c>
      <c r="C233" s="365">
        <v>0.14499999999999999</v>
      </c>
      <c r="D233" s="365">
        <v>0.14299999999999999</v>
      </c>
      <c r="E233" s="365">
        <v>0.14199999999999999</v>
      </c>
      <c r="F233" s="370"/>
    </row>
    <row r="234" spans="1:6">
      <c r="A234" s="278" t="s">
        <v>1971</v>
      </c>
      <c r="B234" s="283" t="s">
        <v>2000</v>
      </c>
      <c r="C234" s="365">
        <v>0.14000000000000001</v>
      </c>
      <c r="D234" s="365">
        <v>0.14000000000000001</v>
      </c>
      <c r="E234" s="365">
        <v>0.14399999999999999</v>
      </c>
      <c r="F234" s="370"/>
    </row>
    <row r="235" spans="1:6">
      <c r="A235" s="278" t="s">
        <v>1971</v>
      </c>
      <c r="B235" s="283" t="s">
        <v>2001</v>
      </c>
      <c r="C235" s="365">
        <v>0.14099999999999999</v>
      </c>
      <c r="D235" s="365">
        <v>0.14199999999999999</v>
      </c>
      <c r="E235" s="365">
        <v>0.14499999999999999</v>
      </c>
      <c r="F235" s="366">
        <v>0.15</v>
      </c>
    </row>
    <row r="236" spans="1:6">
      <c r="A236" s="278" t="s">
        <v>1971</v>
      </c>
      <c r="B236" s="283" t="s">
        <v>2002</v>
      </c>
      <c r="C236" s="371"/>
      <c r="D236" s="371"/>
      <c r="E236" s="371"/>
      <c r="F236" s="366">
        <v>0.14299999999999999</v>
      </c>
    </row>
    <row r="237" spans="1:6" ht="24">
      <c r="A237" s="278" t="s">
        <v>1971</v>
      </c>
      <c r="B237" s="283" t="s">
        <v>2003</v>
      </c>
      <c r="C237" s="371"/>
      <c r="D237" s="371"/>
      <c r="E237" s="371"/>
      <c r="F237" s="366">
        <v>0.05</v>
      </c>
    </row>
    <row r="238" spans="1:6" ht="24">
      <c r="A238" s="278" t="s">
        <v>1971</v>
      </c>
      <c r="B238" s="283" t="s">
        <v>2004</v>
      </c>
      <c r="C238" s="371"/>
      <c r="D238" s="371"/>
      <c r="E238" s="371"/>
      <c r="F238" s="366">
        <v>0.05</v>
      </c>
    </row>
    <row r="239" spans="1:6" ht="24">
      <c r="A239" s="278" t="s">
        <v>1971</v>
      </c>
      <c r="B239" s="283" t="s">
        <v>2005</v>
      </c>
      <c r="C239" s="371"/>
      <c r="D239" s="371"/>
      <c r="E239" s="371"/>
      <c r="F239" s="366">
        <v>0.05</v>
      </c>
    </row>
    <row r="240" spans="1:6" ht="24">
      <c r="A240" s="278" t="s">
        <v>1971</v>
      </c>
      <c r="B240" s="283" t="s">
        <v>2006</v>
      </c>
      <c r="C240" s="371"/>
      <c r="D240" s="371"/>
      <c r="E240" s="371"/>
      <c r="F240" s="366">
        <v>0.05</v>
      </c>
    </row>
    <row r="241" spans="1:6" ht="24">
      <c r="A241" s="278" t="s">
        <v>1971</v>
      </c>
      <c r="B241" s="283" t="s">
        <v>2007</v>
      </c>
      <c r="C241" s="371"/>
      <c r="D241" s="371"/>
      <c r="E241" s="371"/>
      <c r="F241" s="366">
        <v>0.05</v>
      </c>
    </row>
    <row r="242" spans="1:6" ht="24">
      <c r="A242" s="278" t="s">
        <v>1971</v>
      </c>
      <c r="B242" s="283" t="s">
        <v>2008</v>
      </c>
      <c r="C242" s="371"/>
      <c r="D242" s="371"/>
      <c r="E242" s="371"/>
      <c r="F242" s="366">
        <v>0.05</v>
      </c>
    </row>
    <row r="243" spans="1:6" ht="24">
      <c r="A243" s="278" t="s">
        <v>1971</v>
      </c>
      <c r="B243" s="283" t="s">
        <v>2009</v>
      </c>
      <c r="C243" s="371"/>
      <c r="D243" s="371"/>
      <c r="E243" s="371"/>
      <c r="F243" s="366">
        <v>0.05</v>
      </c>
    </row>
    <row r="244" spans="1:6" ht="24">
      <c r="A244" s="296" t="s">
        <v>1971</v>
      </c>
      <c r="B244" s="289" t="s">
        <v>2010</v>
      </c>
      <c r="C244" s="368"/>
      <c r="D244" s="368"/>
      <c r="E244" s="368"/>
      <c r="F244" s="372">
        <v>0.05</v>
      </c>
    </row>
    <row r="245" spans="1:6">
      <c r="A245" s="278" t="s">
        <v>2011</v>
      </c>
      <c r="B245" s="279" t="s">
        <v>2012</v>
      </c>
      <c r="C245" s="363">
        <v>0.15</v>
      </c>
      <c r="D245" s="363">
        <v>0.15</v>
      </c>
      <c r="E245" s="363">
        <v>0.15</v>
      </c>
      <c r="F245" s="364">
        <v>0.14299999999999999</v>
      </c>
    </row>
    <row r="246" spans="1:6">
      <c r="A246" s="278" t="s">
        <v>2011</v>
      </c>
      <c r="B246" s="283" t="s">
        <v>2013</v>
      </c>
      <c r="C246" s="365">
        <v>0.15</v>
      </c>
      <c r="D246" s="365">
        <v>0.15</v>
      </c>
      <c r="E246" s="365">
        <v>0.15</v>
      </c>
      <c r="F246" s="366">
        <v>0.114</v>
      </c>
    </row>
    <row r="247" spans="1:6">
      <c r="A247" s="278" t="s">
        <v>2011</v>
      </c>
      <c r="B247" s="283" t="s">
        <v>2014</v>
      </c>
      <c r="C247" s="365">
        <v>0.15</v>
      </c>
      <c r="D247" s="365">
        <v>0.15</v>
      </c>
      <c r="E247" s="365">
        <v>0.15</v>
      </c>
      <c r="F247" s="366">
        <v>0.15</v>
      </c>
    </row>
    <row r="248" spans="1:6">
      <c r="A248" s="278" t="s">
        <v>2011</v>
      </c>
      <c r="B248" s="283" t="s">
        <v>2015</v>
      </c>
      <c r="C248" s="365">
        <v>0.15</v>
      </c>
      <c r="D248" s="365">
        <v>0.15</v>
      </c>
      <c r="E248" s="365">
        <v>0.15</v>
      </c>
      <c r="F248" s="366">
        <v>0.14000000000000001</v>
      </c>
    </row>
    <row r="249" spans="1:6">
      <c r="A249" s="278" t="s">
        <v>2011</v>
      </c>
      <c r="B249" s="283" t="s">
        <v>2016</v>
      </c>
      <c r="C249" s="365">
        <v>0.15</v>
      </c>
      <c r="D249" s="365">
        <v>0.14899999999999999</v>
      </c>
      <c r="E249" s="365">
        <v>0.15</v>
      </c>
      <c r="F249" s="366">
        <v>0.1</v>
      </c>
    </row>
    <row r="250" spans="1:6">
      <c r="A250" s="278" t="s">
        <v>2011</v>
      </c>
      <c r="B250" s="283" t="s">
        <v>2017</v>
      </c>
      <c r="C250" s="365">
        <v>0.15</v>
      </c>
      <c r="D250" s="365">
        <v>0.15</v>
      </c>
      <c r="E250" s="365">
        <v>0.15</v>
      </c>
      <c r="F250" s="366">
        <v>0.14399999999999999</v>
      </c>
    </row>
    <row r="251" spans="1:6">
      <c r="A251" s="278" t="s">
        <v>2011</v>
      </c>
      <c r="B251" s="283" t="s">
        <v>2018</v>
      </c>
      <c r="C251" s="365">
        <v>0.15</v>
      </c>
      <c r="D251" s="365">
        <v>0.15</v>
      </c>
      <c r="E251" s="365">
        <v>0.15</v>
      </c>
      <c r="F251" s="366">
        <v>0.14299999999999999</v>
      </c>
    </row>
    <row r="252" spans="1:6">
      <c r="A252" s="278" t="s">
        <v>2011</v>
      </c>
      <c r="B252" s="283" t="s">
        <v>2019</v>
      </c>
      <c r="C252" s="365">
        <v>0.15</v>
      </c>
      <c r="D252" s="365">
        <v>0.15</v>
      </c>
      <c r="E252" s="365">
        <v>0.15</v>
      </c>
      <c r="F252" s="366">
        <v>0.1</v>
      </c>
    </row>
    <row r="253" spans="1:6">
      <c r="A253" s="278" t="s">
        <v>2011</v>
      </c>
      <c r="B253" s="283" t="s">
        <v>2020</v>
      </c>
      <c r="C253" s="365">
        <v>0.15</v>
      </c>
      <c r="D253" s="365">
        <v>0.15</v>
      </c>
      <c r="E253" s="365">
        <v>0.15</v>
      </c>
      <c r="F253" s="366">
        <v>0.1</v>
      </c>
    </row>
    <row r="254" spans="1:6">
      <c r="A254" s="278" t="s">
        <v>2011</v>
      </c>
      <c r="B254" s="283" t="s">
        <v>2021</v>
      </c>
      <c r="C254" s="371"/>
      <c r="D254" s="371"/>
      <c r="E254" s="371"/>
      <c r="F254" s="366">
        <v>0.15</v>
      </c>
    </row>
    <row r="255" spans="1:6">
      <c r="A255" s="278" t="s">
        <v>2011</v>
      </c>
      <c r="B255" s="283" t="s">
        <v>2022</v>
      </c>
      <c r="C255" s="371"/>
      <c r="D255" s="371"/>
      <c r="E255" s="371"/>
      <c r="F255" s="366">
        <v>0.14299999999999999</v>
      </c>
    </row>
    <row r="256" spans="1:6">
      <c r="A256" s="278" t="s">
        <v>2011</v>
      </c>
      <c r="B256" s="283" t="s">
        <v>2023</v>
      </c>
      <c r="C256" s="365">
        <v>0.14599999999999999</v>
      </c>
      <c r="D256" s="365">
        <v>0.14699999999999999</v>
      </c>
      <c r="E256" s="365">
        <v>0.15</v>
      </c>
      <c r="F256" s="366">
        <v>0.13200000000000001</v>
      </c>
    </row>
    <row r="257" spans="1:6">
      <c r="A257" s="278" t="s">
        <v>2011</v>
      </c>
      <c r="B257" s="283" t="s">
        <v>2024</v>
      </c>
      <c r="C257" s="365">
        <v>0.15</v>
      </c>
      <c r="D257" s="365">
        <v>0.15</v>
      </c>
      <c r="E257" s="365">
        <v>0.15</v>
      </c>
      <c r="F257" s="366">
        <v>0.13900000000000001</v>
      </c>
    </row>
    <row r="258" spans="1:6">
      <c r="A258" s="278" t="s">
        <v>2011</v>
      </c>
      <c r="B258" s="283" t="s">
        <v>2025</v>
      </c>
      <c r="C258" s="365">
        <v>0.15</v>
      </c>
      <c r="D258" s="365">
        <v>0.15</v>
      </c>
      <c r="E258" s="365">
        <v>0.15</v>
      </c>
      <c r="F258" s="366">
        <v>0.13</v>
      </c>
    </row>
    <row r="259" spans="1:6">
      <c r="A259" s="278" t="s">
        <v>2011</v>
      </c>
      <c r="B259" s="283" t="s">
        <v>2026</v>
      </c>
      <c r="C259" s="365">
        <v>0.14799999999999999</v>
      </c>
      <c r="D259" s="365">
        <v>0.14899999999999999</v>
      </c>
      <c r="E259" s="365">
        <v>0.15</v>
      </c>
      <c r="F259" s="366">
        <v>0.13700000000000001</v>
      </c>
    </row>
    <row r="260" spans="1:6">
      <c r="A260" s="278" t="s">
        <v>2011</v>
      </c>
      <c r="B260" s="283" t="s">
        <v>2027</v>
      </c>
      <c r="C260" s="365">
        <v>0.15</v>
      </c>
      <c r="D260" s="365">
        <v>0.15</v>
      </c>
      <c r="E260" s="365">
        <v>0.15</v>
      </c>
      <c r="F260" s="366">
        <v>0.14199999999999999</v>
      </c>
    </row>
    <row r="261" spans="1:6">
      <c r="A261" s="278" t="s">
        <v>2011</v>
      </c>
      <c r="B261" s="283" t="s">
        <v>2028</v>
      </c>
      <c r="C261" s="365">
        <v>0.15</v>
      </c>
      <c r="D261" s="365">
        <v>0.15</v>
      </c>
      <c r="E261" s="365">
        <v>0.14899999999999999</v>
      </c>
      <c r="F261" s="366">
        <v>0.14799999999999999</v>
      </c>
    </row>
    <row r="262" spans="1:6">
      <c r="A262" s="278" t="s">
        <v>2011</v>
      </c>
      <c r="B262" s="283" t="s">
        <v>2029</v>
      </c>
      <c r="C262" s="365">
        <v>0.15</v>
      </c>
      <c r="D262" s="365">
        <v>0.15</v>
      </c>
      <c r="E262" s="365">
        <v>0.15</v>
      </c>
      <c r="F262" s="370"/>
    </row>
    <row r="263" spans="1:6">
      <c r="A263" s="278" t="s">
        <v>2011</v>
      </c>
      <c r="B263" s="283" t="s">
        <v>2030</v>
      </c>
      <c r="C263" s="365">
        <v>0.14899999999999999</v>
      </c>
      <c r="D263" s="365">
        <v>0.14899999999999999</v>
      </c>
      <c r="E263" s="365">
        <v>0.15</v>
      </c>
      <c r="F263" s="366">
        <v>0.13</v>
      </c>
    </row>
    <row r="264" spans="1:6">
      <c r="A264" s="278" t="s">
        <v>2011</v>
      </c>
      <c r="B264" s="283" t="s">
        <v>2031</v>
      </c>
      <c r="C264" s="365">
        <v>0.14799999999999999</v>
      </c>
      <c r="D264" s="365">
        <v>0.14699999999999999</v>
      </c>
      <c r="E264" s="365">
        <v>0.15</v>
      </c>
      <c r="F264" s="366">
        <v>7.8E-2</v>
      </c>
    </row>
    <row r="265" spans="1:6">
      <c r="A265" s="278" t="s">
        <v>2011</v>
      </c>
      <c r="B265" s="283" t="s">
        <v>2032</v>
      </c>
      <c r="C265" s="365">
        <v>0.15</v>
      </c>
      <c r="D265" s="365">
        <v>0.15</v>
      </c>
      <c r="E265" s="365">
        <v>0.15</v>
      </c>
      <c r="F265" s="366">
        <v>7.3999999999999996E-2</v>
      </c>
    </row>
    <row r="266" spans="1:6">
      <c r="A266" s="278" t="s">
        <v>2011</v>
      </c>
      <c r="B266" s="283" t="s">
        <v>2033</v>
      </c>
      <c r="C266" s="365">
        <v>0.14699999999999999</v>
      </c>
      <c r="D266" s="365">
        <v>0.14699999999999999</v>
      </c>
      <c r="E266" s="365">
        <v>0.15</v>
      </c>
      <c r="F266" s="366">
        <v>0.14299999999999999</v>
      </c>
    </row>
    <row r="267" spans="1:6">
      <c r="A267" s="278" t="s">
        <v>2011</v>
      </c>
      <c r="B267" s="283" t="s">
        <v>2034</v>
      </c>
      <c r="C267" s="365">
        <v>0.14199999999999999</v>
      </c>
      <c r="D267" s="365">
        <v>0.14299999999999999</v>
      </c>
      <c r="E267" s="365">
        <v>0.15</v>
      </c>
      <c r="F267" s="370"/>
    </row>
    <row r="268" spans="1:6">
      <c r="A268" s="278" t="s">
        <v>2011</v>
      </c>
      <c r="B268" s="283" t="s">
        <v>2035</v>
      </c>
      <c r="C268" s="365">
        <v>0.15</v>
      </c>
      <c r="D268" s="365">
        <v>0.15</v>
      </c>
      <c r="E268" s="365">
        <v>0.15</v>
      </c>
      <c r="F268" s="366">
        <v>0.13</v>
      </c>
    </row>
    <row r="269" spans="1:6">
      <c r="A269" s="278" t="s">
        <v>2011</v>
      </c>
      <c r="B269" s="283" t="s">
        <v>2036</v>
      </c>
      <c r="C269" s="365">
        <v>0.15</v>
      </c>
      <c r="D269" s="365">
        <v>0.15</v>
      </c>
      <c r="E269" s="365">
        <v>0.15</v>
      </c>
      <c r="F269" s="366">
        <v>0.14299999999999999</v>
      </c>
    </row>
    <row r="270" spans="1:6">
      <c r="A270" s="278" t="s">
        <v>2011</v>
      </c>
      <c r="B270" s="283" t="s">
        <v>2037</v>
      </c>
      <c r="C270" s="365">
        <v>0.14499999999999999</v>
      </c>
      <c r="D270" s="365">
        <v>0.14499999999999999</v>
      </c>
      <c r="E270" s="365">
        <v>0.15</v>
      </c>
      <c r="F270" s="366">
        <v>0.14699999999999999</v>
      </c>
    </row>
    <row r="271" spans="1:6">
      <c r="A271" s="278" t="s">
        <v>2011</v>
      </c>
      <c r="B271" s="283" t="s">
        <v>2038</v>
      </c>
      <c r="C271" s="365">
        <v>0.15</v>
      </c>
      <c r="D271" s="365">
        <v>0.15</v>
      </c>
      <c r="E271" s="365">
        <v>0.15</v>
      </c>
      <c r="F271" s="366">
        <v>0.13800000000000001</v>
      </c>
    </row>
    <row r="272" spans="1:6">
      <c r="A272" s="278" t="s">
        <v>2011</v>
      </c>
      <c r="B272" s="283" t="s">
        <v>2039</v>
      </c>
      <c r="C272" s="371"/>
      <c r="D272" s="371"/>
      <c r="E272" s="371"/>
      <c r="F272" s="366">
        <v>0.14000000000000001</v>
      </c>
    </row>
    <row r="273" spans="1:6">
      <c r="A273" s="278" t="s">
        <v>2011</v>
      </c>
      <c r="B273" s="283" t="s">
        <v>2040</v>
      </c>
      <c r="C273" s="365">
        <v>0.14199999999999999</v>
      </c>
      <c r="D273" s="365">
        <v>0.14299999999999999</v>
      </c>
      <c r="E273" s="365">
        <v>0.15</v>
      </c>
      <c r="F273" s="366">
        <v>0.1</v>
      </c>
    </row>
    <row r="274" spans="1:6">
      <c r="A274" s="278" t="s">
        <v>2011</v>
      </c>
      <c r="B274" s="283" t="s">
        <v>2041</v>
      </c>
      <c r="C274" s="365">
        <v>0.14799999999999999</v>
      </c>
      <c r="D274" s="365">
        <v>0.14799999999999999</v>
      </c>
      <c r="E274" s="365">
        <v>0.15</v>
      </c>
      <c r="F274" s="366">
        <v>6.7000000000000004E-2</v>
      </c>
    </row>
    <row r="275" spans="1:6">
      <c r="A275" s="278" t="s">
        <v>2011</v>
      </c>
      <c r="B275" s="283" t="s">
        <v>2042</v>
      </c>
      <c r="C275" s="365">
        <v>0.15</v>
      </c>
      <c r="D275" s="365">
        <v>0.15</v>
      </c>
      <c r="E275" s="365">
        <v>0.15</v>
      </c>
      <c r="F275" s="366">
        <v>0.15</v>
      </c>
    </row>
    <row r="276" spans="1:6">
      <c r="A276" s="278" t="s">
        <v>2011</v>
      </c>
      <c r="B276" s="283" t="s">
        <v>2043</v>
      </c>
      <c r="C276" s="365">
        <v>0.14499999999999999</v>
      </c>
      <c r="D276" s="365">
        <v>0.14299999999999999</v>
      </c>
      <c r="E276" s="365">
        <v>0.15</v>
      </c>
      <c r="F276" s="366">
        <v>5.8999999999999997E-2</v>
      </c>
    </row>
    <row r="277" spans="1:6">
      <c r="A277" s="278" t="s">
        <v>2011</v>
      </c>
      <c r="B277" s="283" t="s">
        <v>2044</v>
      </c>
      <c r="C277" s="365">
        <v>0.15</v>
      </c>
      <c r="D277" s="365">
        <v>0.15</v>
      </c>
      <c r="E277" s="365">
        <v>0.15</v>
      </c>
      <c r="F277" s="366">
        <v>0.121</v>
      </c>
    </row>
    <row r="278" spans="1:6">
      <c r="A278" s="278" t="s">
        <v>2011</v>
      </c>
      <c r="B278" s="283" t="s">
        <v>2045</v>
      </c>
      <c r="C278" s="365">
        <v>0.15</v>
      </c>
      <c r="D278" s="365">
        <v>0.15</v>
      </c>
      <c r="E278" s="365">
        <v>0.15</v>
      </c>
      <c r="F278" s="366">
        <v>0.13800000000000001</v>
      </c>
    </row>
    <row r="279" spans="1:6" ht="24">
      <c r="A279" s="278" t="s">
        <v>2011</v>
      </c>
      <c r="B279" s="283" t="s">
        <v>2046</v>
      </c>
      <c r="C279" s="371"/>
      <c r="D279" s="371"/>
      <c r="E279" s="371"/>
      <c r="F279" s="366">
        <v>0.05</v>
      </c>
    </row>
    <row r="280" spans="1:6" ht="24">
      <c r="A280" s="278" t="s">
        <v>2011</v>
      </c>
      <c r="B280" s="283" t="s">
        <v>2047</v>
      </c>
      <c r="C280" s="371"/>
      <c r="D280" s="371"/>
      <c r="E280" s="371"/>
      <c r="F280" s="366">
        <v>0.05</v>
      </c>
    </row>
    <row r="281" spans="1:6" ht="24">
      <c r="A281" s="278" t="s">
        <v>2011</v>
      </c>
      <c r="B281" s="283" t="s">
        <v>2048</v>
      </c>
      <c r="C281" s="371"/>
      <c r="D281" s="371"/>
      <c r="E281" s="371"/>
      <c r="F281" s="366">
        <v>0.05</v>
      </c>
    </row>
    <row r="282" spans="1:6" ht="24">
      <c r="A282" s="278" t="s">
        <v>2011</v>
      </c>
      <c r="B282" s="283" t="s">
        <v>2049</v>
      </c>
      <c r="C282" s="371"/>
      <c r="D282" s="371"/>
      <c r="E282" s="371"/>
      <c r="F282" s="366">
        <v>0.05</v>
      </c>
    </row>
    <row r="283" spans="1:6" ht="24">
      <c r="A283" s="278" t="s">
        <v>2011</v>
      </c>
      <c r="B283" s="283" t="s">
        <v>2050</v>
      </c>
      <c r="C283" s="371"/>
      <c r="D283" s="371"/>
      <c r="E283" s="371"/>
      <c r="F283" s="366">
        <v>0.05</v>
      </c>
    </row>
    <row r="284" spans="1:6" ht="24">
      <c r="A284" s="278" t="s">
        <v>2011</v>
      </c>
      <c r="B284" s="283" t="s">
        <v>2051</v>
      </c>
      <c r="C284" s="371"/>
      <c r="D284" s="371"/>
      <c r="E284" s="371"/>
      <c r="F284" s="366">
        <v>0.05</v>
      </c>
    </row>
    <row r="285" spans="1:6" ht="24">
      <c r="A285" s="278" t="s">
        <v>2011</v>
      </c>
      <c r="B285" s="283" t="s">
        <v>2052</v>
      </c>
      <c r="C285" s="371"/>
      <c r="D285" s="371"/>
      <c r="E285" s="371"/>
      <c r="F285" s="366">
        <v>0.05</v>
      </c>
    </row>
    <row r="286" spans="1:6" ht="24">
      <c r="A286" s="278" t="s">
        <v>2011</v>
      </c>
      <c r="B286" s="283" t="s">
        <v>2053</v>
      </c>
      <c r="C286" s="371"/>
      <c r="D286" s="371"/>
      <c r="E286" s="371"/>
      <c r="F286" s="366">
        <v>0.05</v>
      </c>
    </row>
    <row r="287" spans="1:6" ht="24">
      <c r="A287" s="278" t="s">
        <v>2011</v>
      </c>
      <c r="B287" s="283" t="s">
        <v>2054</v>
      </c>
      <c r="C287" s="371"/>
      <c r="D287" s="371"/>
      <c r="E287" s="371"/>
      <c r="F287" s="366">
        <v>0.05</v>
      </c>
    </row>
    <row r="288" spans="1:6" ht="24">
      <c r="A288" s="278" t="s">
        <v>2011</v>
      </c>
      <c r="B288" s="283" t="s">
        <v>2055</v>
      </c>
      <c r="C288" s="371"/>
      <c r="D288" s="371"/>
      <c r="E288" s="371"/>
      <c r="F288" s="366">
        <v>0.05</v>
      </c>
    </row>
    <row r="289" spans="1:6" ht="24">
      <c r="A289" s="296" t="s">
        <v>2011</v>
      </c>
      <c r="B289" s="289" t="s">
        <v>2056</v>
      </c>
      <c r="C289" s="368"/>
      <c r="D289" s="368"/>
      <c r="E289" s="368"/>
      <c r="F289" s="372">
        <v>0.05</v>
      </c>
    </row>
    <row r="290" spans="1:6">
      <c r="A290" s="278" t="s">
        <v>2057</v>
      </c>
      <c r="B290" s="279" t="s">
        <v>2058</v>
      </c>
      <c r="C290" s="363">
        <v>0.15</v>
      </c>
      <c r="D290" s="363">
        <v>0.15</v>
      </c>
      <c r="E290" s="363">
        <v>0.15</v>
      </c>
      <c r="F290" s="380"/>
    </row>
    <row r="291" spans="1:6">
      <c r="A291" s="278" t="s">
        <v>2057</v>
      </c>
      <c r="B291" s="283" t="s">
        <v>2059</v>
      </c>
      <c r="C291" s="365">
        <v>0.15</v>
      </c>
      <c r="D291" s="365">
        <v>0.15</v>
      </c>
      <c r="E291" s="365">
        <v>0.15</v>
      </c>
      <c r="F291" s="370"/>
    </row>
    <row r="292" spans="1:6">
      <c r="A292" s="278" t="s">
        <v>2057</v>
      </c>
      <c r="B292" s="283" t="s">
        <v>2060</v>
      </c>
      <c r="C292" s="365">
        <v>0.15</v>
      </c>
      <c r="D292" s="365">
        <v>0.15</v>
      </c>
      <c r="E292" s="365">
        <v>0.15</v>
      </c>
      <c r="F292" s="366">
        <v>0.14699999999999999</v>
      </c>
    </row>
    <row r="293" spans="1:6">
      <c r="A293" s="278" t="s">
        <v>2057</v>
      </c>
      <c r="B293" s="283" t="s">
        <v>2061</v>
      </c>
      <c r="C293" s="371"/>
      <c r="D293" s="371"/>
      <c r="E293" s="371"/>
      <c r="F293" s="366">
        <v>0.1</v>
      </c>
    </row>
    <row r="294" spans="1:6">
      <c r="A294" s="278" t="s">
        <v>2057</v>
      </c>
      <c r="B294" s="283" t="s">
        <v>2062</v>
      </c>
      <c r="C294" s="365">
        <v>0.15</v>
      </c>
      <c r="D294" s="365">
        <v>0.15</v>
      </c>
      <c r="E294" s="365">
        <v>0.15</v>
      </c>
      <c r="F294" s="366">
        <v>0.15</v>
      </c>
    </row>
    <row r="295" spans="1:6">
      <c r="A295" s="278" t="s">
        <v>2057</v>
      </c>
      <c r="B295" s="283" t="s">
        <v>2063</v>
      </c>
      <c r="C295" s="365">
        <v>0.15</v>
      </c>
      <c r="D295" s="365">
        <v>0.15</v>
      </c>
      <c r="E295" s="365">
        <v>0.15</v>
      </c>
      <c r="F295" s="366">
        <v>0.15</v>
      </c>
    </row>
    <row r="296" spans="1:6">
      <c r="A296" s="278" t="s">
        <v>2057</v>
      </c>
      <c r="B296" s="283" t="s">
        <v>2064</v>
      </c>
      <c r="C296" s="365">
        <v>0.15</v>
      </c>
      <c r="D296" s="365">
        <v>0.15</v>
      </c>
      <c r="E296" s="365">
        <v>0.15</v>
      </c>
      <c r="F296" s="366">
        <v>0.15</v>
      </c>
    </row>
    <row r="297" spans="1:6">
      <c r="A297" s="278" t="s">
        <v>2057</v>
      </c>
      <c r="B297" s="283" t="s">
        <v>2065</v>
      </c>
      <c r="C297" s="365">
        <v>0.14799999999999999</v>
      </c>
      <c r="D297" s="365">
        <v>0.14899999999999999</v>
      </c>
      <c r="E297" s="365">
        <v>0.15</v>
      </c>
      <c r="F297" s="366">
        <v>0.13700000000000001</v>
      </c>
    </row>
    <row r="298" spans="1:6">
      <c r="A298" s="278" t="s">
        <v>2057</v>
      </c>
      <c r="B298" s="283" t="s">
        <v>2066</v>
      </c>
      <c r="C298" s="365">
        <v>0.13400000000000001</v>
      </c>
      <c r="D298" s="365">
        <v>0.13400000000000001</v>
      </c>
      <c r="E298" s="365">
        <v>0.14499999999999999</v>
      </c>
      <c r="F298" s="366">
        <v>0.14799999999999999</v>
      </c>
    </row>
    <row r="299" spans="1:6">
      <c r="A299" s="278" t="s">
        <v>2057</v>
      </c>
      <c r="B299" s="283" t="s">
        <v>2067</v>
      </c>
      <c r="C299" s="365">
        <v>0.15</v>
      </c>
      <c r="D299" s="365">
        <v>0.15</v>
      </c>
      <c r="E299" s="365">
        <v>0.15</v>
      </c>
      <c r="F299" s="370"/>
    </row>
    <row r="300" spans="1:6">
      <c r="A300" s="278" t="s">
        <v>2057</v>
      </c>
      <c r="B300" s="283" t="s">
        <v>2068</v>
      </c>
      <c r="C300" s="365">
        <v>0.15</v>
      </c>
      <c r="D300" s="365">
        <v>0.15</v>
      </c>
      <c r="E300" s="365">
        <v>0.15</v>
      </c>
      <c r="F300" s="366">
        <v>0.15</v>
      </c>
    </row>
    <row r="301" spans="1:6">
      <c r="A301" s="278" t="s">
        <v>2057</v>
      </c>
      <c r="B301" s="283" t="s">
        <v>2069</v>
      </c>
      <c r="C301" s="365">
        <v>0.15</v>
      </c>
      <c r="D301" s="365">
        <v>0.15</v>
      </c>
      <c r="E301" s="365">
        <v>0.15</v>
      </c>
      <c r="F301" s="370"/>
    </row>
    <row r="302" spans="1:6">
      <c r="A302" s="278" t="s">
        <v>2057</v>
      </c>
      <c r="B302" s="283" t="s">
        <v>2070</v>
      </c>
      <c r="C302" s="365">
        <v>0.15</v>
      </c>
      <c r="D302" s="365">
        <v>0.15</v>
      </c>
      <c r="E302" s="365">
        <v>0.15</v>
      </c>
      <c r="F302" s="366">
        <v>0.15</v>
      </c>
    </row>
    <row r="303" spans="1:6">
      <c r="A303" s="278" t="s">
        <v>2057</v>
      </c>
      <c r="B303" s="283" t="s">
        <v>2071</v>
      </c>
      <c r="C303" s="365">
        <v>0.15</v>
      </c>
      <c r="D303" s="365">
        <v>0.15</v>
      </c>
      <c r="E303" s="365">
        <v>0.15</v>
      </c>
      <c r="F303" s="366">
        <v>0.15</v>
      </c>
    </row>
    <row r="304" spans="1:6">
      <c r="A304" s="278" t="s">
        <v>2057</v>
      </c>
      <c r="B304" s="283" t="s">
        <v>2072</v>
      </c>
      <c r="C304" s="365">
        <v>0.15</v>
      </c>
      <c r="D304" s="365">
        <v>0.15</v>
      </c>
      <c r="E304" s="365">
        <v>0.15</v>
      </c>
      <c r="F304" s="370"/>
    </row>
    <row r="305" spans="1:6">
      <c r="A305" s="278" t="s">
        <v>2057</v>
      </c>
      <c r="B305" s="283" t="s">
        <v>2073</v>
      </c>
      <c r="C305" s="365">
        <v>0.15</v>
      </c>
      <c r="D305" s="365">
        <v>0.15</v>
      </c>
      <c r="E305" s="365">
        <v>0.15</v>
      </c>
      <c r="F305" s="366">
        <v>0.14000000000000001</v>
      </c>
    </row>
    <row r="306" spans="1:6">
      <c r="A306" s="278" t="s">
        <v>2057</v>
      </c>
      <c r="B306" s="283" t="s">
        <v>2074</v>
      </c>
      <c r="C306" s="365">
        <v>0.15</v>
      </c>
      <c r="D306" s="365">
        <v>0.15</v>
      </c>
      <c r="E306" s="365">
        <v>0.15</v>
      </c>
      <c r="F306" s="370"/>
    </row>
    <row r="307" spans="1:6">
      <c r="A307" s="278" t="s">
        <v>2057</v>
      </c>
      <c r="B307" s="283" t="s">
        <v>2075</v>
      </c>
      <c r="C307" s="365">
        <v>0.15</v>
      </c>
      <c r="D307" s="365">
        <v>0.15</v>
      </c>
      <c r="E307" s="365">
        <v>0.15</v>
      </c>
      <c r="F307" s="366">
        <v>0.14299999999999999</v>
      </c>
    </row>
    <row r="308" spans="1:6">
      <c r="A308" s="278" t="s">
        <v>2057</v>
      </c>
      <c r="B308" s="283" t="s">
        <v>2076</v>
      </c>
      <c r="C308" s="365">
        <v>0.15</v>
      </c>
      <c r="D308" s="365">
        <v>0.15</v>
      </c>
      <c r="E308" s="365">
        <v>0.15</v>
      </c>
      <c r="F308" s="366">
        <v>0.15</v>
      </c>
    </row>
    <row r="309" spans="1:6">
      <c r="A309" s="278" t="s">
        <v>2057</v>
      </c>
      <c r="B309" s="283" t="s">
        <v>2077</v>
      </c>
      <c r="C309" s="365">
        <v>0.15</v>
      </c>
      <c r="D309" s="365">
        <v>0.15</v>
      </c>
      <c r="E309" s="365">
        <v>0.15</v>
      </c>
      <c r="F309" s="370"/>
    </row>
    <row r="310" spans="1:6">
      <c r="A310" s="278" t="s">
        <v>2057</v>
      </c>
      <c r="B310" s="283" t="s">
        <v>2078</v>
      </c>
      <c r="C310" s="365">
        <v>0.15</v>
      </c>
      <c r="D310" s="365">
        <v>0.15</v>
      </c>
      <c r="E310" s="365">
        <v>0.15</v>
      </c>
      <c r="F310" s="366">
        <v>0.13700000000000001</v>
      </c>
    </row>
    <row r="311" spans="1:6">
      <c r="A311" s="278" t="s">
        <v>2057</v>
      </c>
      <c r="B311" s="283" t="s">
        <v>2079</v>
      </c>
      <c r="C311" s="365">
        <v>0.15</v>
      </c>
      <c r="D311" s="365">
        <v>0.15</v>
      </c>
      <c r="E311" s="365">
        <v>0.15</v>
      </c>
      <c r="F311" s="366">
        <v>0.15</v>
      </c>
    </row>
    <row r="312" spans="1:6">
      <c r="A312" s="278" t="s">
        <v>2057</v>
      </c>
      <c r="B312" s="283" t="s">
        <v>2080</v>
      </c>
      <c r="C312" s="365">
        <v>0.15</v>
      </c>
      <c r="D312" s="365">
        <v>0.15</v>
      </c>
      <c r="E312" s="365">
        <v>0.15</v>
      </c>
      <c r="F312" s="366">
        <v>0.1</v>
      </c>
    </row>
    <row r="313" spans="1:6">
      <c r="A313" s="278" t="s">
        <v>2057</v>
      </c>
      <c r="B313" s="283" t="s">
        <v>2081</v>
      </c>
      <c r="C313" s="365">
        <v>0.15</v>
      </c>
      <c r="D313" s="365">
        <v>0.15</v>
      </c>
      <c r="E313" s="365">
        <v>0.15</v>
      </c>
      <c r="F313" s="366">
        <v>0.15</v>
      </c>
    </row>
    <row r="314" spans="1:6" ht="24">
      <c r="A314" s="278" t="s">
        <v>2057</v>
      </c>
      <c r="B314" s="283" t="s">
        <v>2082</v>
      </c>
      <c r="C314" s="371"/>
      <c r="D314" s="371"/>
      <c r="E314" s="371"/>
      <c r="F314" s="366">
        <v>0.05</v>
      </c>
    </row>
    <row r="315" spans="1:6" ht="24">
      <c r="A315" s="278" t="s">
        <v>2057</v>
      </c>
      <c r="B315" s="283" t="s">
        <v>2083</v>
      </c>
      <c r="C315" s="371"/>
      <c r="D315" s="371"/>
      <c r="E315" s="371"/>
      <c r="F315" s="366">
        <v>0.05</v>
      </c>
    </row>
    <row r="316" spans="1:6" ht="24">
      <c r="A316" s="296" t="s">
        <v>2057</v>
      </c>
      <c r="B316" s="289" t="s">
        <v>2084</v>
      </c>
      <c r="C316" s="368"/>
      <c r="D316" s="368"/>
      <c r="E316" s="368"/>
      <c r="F316" s="372">
        <v>0.05</v>
      </c>
    </row>
    <row r="317" spans="1:6">
      <c r="A317" s="278" t="s">
        <v>2085</v>
      </c>
      <c r="B317" s="279" t="s">
        <v>2086</v>
      </c>
      <c r="C317" s="363">
        <v>0.15</v>
      </c>
      <c r="D317" s="363">
        <v>0.15</v>
      </c>
      <c r="E317" s="363">
        <v>0.15</v>
      </c>
      <c r="F317" s="364">
        <v>0.15</v>
      </c>
    </row>
    <row r="318" spans="1:6">
      <c r="A318" s="278" t="s">
        <v>2085</v>
      </c>
      <c r="B318" s="283" t="s">
        <v>2087</v>
      </c>
      <c r="C318" s="365">
        <v>0.107</v>
      </c>
      <c r="D318" s="365">
        <v>0.11</v>
      </c>
      <c r="E318" s="365">
        <v>0.112</v>
      </c>
      <c r="F318" s="370"/>
    </row>
    <row r="319" spans="1:6">
      <c r="A319" s="278" t="s">
        <v>2085</v>
      </c>
      <c r="B319" s="283" t="s">
        <v>2088</v>
      </c>
      <c r="C319" s="365">
        <v>0.15</v>
      </c>
      <c r="D319" s="365">
        <v>0.15</v>
      </c>
      <c r="E319" s="365">
        <v>0.15</v>
      </c>
      <c r="F319" s="366">
        <v>0.15</v>
      </c>
    </row>
    <row r="320" spans="1:6">
      <c r="A320" s="278" t="s">
        <v>2085</v>
      </c>
      <c r="B320" s="283" t="s">
        <v>2089</v>
      </c>
      <c r="C320" s="365">
        <v>0.15</v>
      </c>
      <c r="D320" s="365">
        <v>0.15</v>
      </c>
      <c r="E320" s="365">
        <v>0.15</v>
      </c>
      <c r="F320" s="370"/>
    </row>
    <row r="321" spans="1:6">
      <c r="A321" s="278" t="s">
        <v>2085</v>
      </c>
      <c r="B321" s="283" t="s">
        <v>2090</v>
      </c>
      <c r="C321" s="365">
        <v>0.15</v>
      </c>
      <c r="D321" s="365">
        <v>0.15</v>
      </c>
      <c r="E321" s="365">
        <v>0.15</v>
      </c>
      <c r="F321" s="370"/>
    </row>
    <row r="322" spans="1:6">
      <c r="A322" s="278" t="s">
        <v>2085</v>
      </c>
      <c r="B322" s="283" t="s">
        <v>2091</v>
      </c>
      <c r="C322" s="365">
        <v>0.15</v>
      </c>
      <c r="D322" s="365">
        <v>0.15</v>
      </c>
      <c r="E322" s="365">
        <v>0.15</v>
      </c>
      <c r="F322" s="366">
        <v>0.15</v>
      </c>
    </row>
    <row r="323" spans="1:6">
      <c r="A323" s="278" t="s">
        <v>2085</v>
      </c>
      <c r="B323" s="283" t="s">
        <v>2092</v>
      </c>
      <c r="C323" s="365">
        <v>0.15</v>
      </c>
      <c r="D323" s="365">
        <v>0.15</v>
      </c>
      <c r="E323" s="365">
        <v>0.15</v>
      </c>
      <c r="F323" s="370"/>
    </row>
    <row r="324" spans="1:6">
      <c r="A324" s="278" t="s">
        <v>2085</v>
      </c>
      <c r="B324" s="283" t="s">
        <v>2093</v>
      </c>
      <c r="C324" s="365">
        <v>0.15</v>
      </c>
      <c r="D324" s="365">
        <v>0.15</v>
      </c>
      <c r="E324" s="365">
        <v>0.15</v>
      </c>
      <c r="F324" s="370"/>
    </row>
    <row r="325" spans="1:6">
      <c r="A325" s="278" t="s">
        <v>2085</v>
      </c>
      <c r="B325" s="283" t="s">
        <v>2094</v>
      </c>
      <c r="C325" s="365">
        <v>0.15</v>
      </c>
      <c r="D325" s="365">
        <v>0.15</v>
      </c>
      <c r="E325" s="365">
        <v>0.15</v>
      </c>
      <c r="F325" s="366">
        <v>0.14699999999999999</v>
      </c>
    </row>
    <row r="326" spans="1:6">
      <c r="A326" s="278" t="s">
        <v>2085</v>
      </c>
      <c r="B326" s="283" t="s">
        <v>2095</v>
      </c>
      <c r="C326" s="365">
        <v>0.15</v>
      </c>
      <c r="D326" s="365">
        <v>0.15</v>
      </c>
      <c r="E326" s="365">
        <v>0.15</v>
      </c>
      <c r="F326" s="370"/>
    </row>
    <row r="327" spans="1:6">
      <c r="A327" s="278" t="s">
        <v>2085</v>
      </c>
      <c r="B327" s="283" t="s">
        <v>2096</v>
      </c>
      <c r="C327" s="365">
        <v>0.15</v>
      </c>
      <c r="D327" s="365">
        <v>0.15</v>
      </c>
      <c r="E327" s="365">
        <v>0.15</v>
      </c>
      <c r="F327" s="366">
        <v>0.15</v>
      </c>
    </row>
    <row r="328" spans="1:6">
      <c r="A328" s="278" t="s">
        <v>2085</v>
      </c>
      <c r="B328" s="283" t="s">
        <v>2097</v>
      </c>
      <c r="C328" s="365">
        <v>0.15</v>
      </c>
      <c r="D328" s="365">
        <v>0.15</v>
      </c>
      <c r="E328" s="365">
        <v>0.15</v>
      </c>
      <c r="F328" s="366">
        <v>0.14099999999999999</v>
      </c>
    </row>
    <row r="329" spans="1:6">
      <c r="A329" s="278" t="s">
        <v>2085</v>
      </c>
      <c r="B329" s="283" t="s">
        <v>2098</v>
      </c>
      <c r="C329" s="365">
        <v>0.15</v>
      </c>
      <c r="D329" s="365">
        <v>0.15</v>
      </c>
      <c r="E329" s="365">
        <v>0.15</v>
      </c>
      <c r="F329" s="366">
        <v>0.15</v>
      </c>
    </row>
    <row r="330" spans="1:6">
      <c r="A330" s="278" t="s">
        <v>2085</v>
      </c>
      <c r="B330" s="283" t="s">
        <v>2099</v>
      </c>
      <c r="C330" s="365">
        <v>0.15</v>
      </c>
      <c r="D330" s="365">
        <v>0.15</v>
      </c>
      <c r="E330" s="365">
        <v>0.15</v>
      </c>
      <c r="F330" s="370"/>
    </row>
    <row r="331" spans="1:6">
      <c r="A331" s="278" t="s">
        <v>2085</v>
      </c>
      <c r="B331" s="283" t="s">
        <v>2100</v>
      </c>
      <c r="C331" s="365">
        <v>0.15</v>
      </c>
      <c r="D331" s="365">
        <v>0.15</v>
      </c>
      <c r="E331" s="365">
        <v>0.15</v>
      </c>
      <c r="F331" s="366">
        <v>0.15</v>
      </c>
    </row>
    <row r="332" spans="1:6">
      <c r="A332" s="278" t="s">
        <v>2085</v>
      </c>
      <c r="B332" s="283" t="s">
        <v>2101</v>
      </c>
      <c r="C332" s="365">
        <v>0.15</v>
      </c>
      <c r="D332" s="365">
        <v>0.15</v>
      </c>
      <c r="E332" s="365">
        <v>0.15</v>
      </c>
      <c r="F332" s="366">
        <v>0.15</v>
      </c>
    </row>
    <row r="333" spans="1:6">
      <c r="A333" s="278" t="s">
        <v>2085</v>
      </c>
      <c r="B333" s="283" t="s">
        <v>2102</v>
      </c>
      <c r="C333" s="365">
        <v>0.15</v>
      </c>
      <c r="D333" s="365">
        <v>0.15</v>
      </c>
      <c r="E333" s="365">
        <v>0.15</v>
      </c>
      <c r="F333" s="366">
        <v>0.14099999999999999</v>
      </c>
    </row>
    <row r="334" spans="1:6">
      <c r="A334" s="278" t="s">
        <v>2085</v>
      </c>
      <c r="B334" s="283" t="s">
        <v>2103</v>
      </c>
      <c r="C334" s="365">
        <v>0.15</v>
      </c>
      <c r="D334" s="365">
        <v>0.15</v>
      </c>
      <c r="E334" s="365">
        <v>0.15</v>
      </c>
      <c r="F334" s="366">
        <v>0.15</v>
      </c>
    </row>
    <row r="335" spans="1:6">
      <c r="A335" s="278" t="s">
        <v>2085</v>
      </c>
      <c r="B335" s="283" t="s">
        <v>2104</v>
      </c>
      <c r="C335" s="365">
        <v>0.15</v>
      </c>
      <c r="D335" s="365">
        <v>0.15</v>
      </c>
      <c r="E335" s="365">
        <v>0.15</v>
      </c>
      <c r="F335" s="370"/>
    </row>
    <row r="336" spans="1:6">
      <c r="A336" s="278" t="s">
        <v>2085</v>
      </c>
      <c r="B336" s="283" t="s">
        <v>2105</v>
      </c>
      <c r="C336" s="365">
        <v>0.15</v>
      </c>
      <c r="D336" s="365">
        <v>0.15</v>
      </c>
      <c r="E336" s="365">
        <v>0.15</v>
      </c>
      <c r="F336" s="366">
        <v>0.11799999999999999</v>
      </c>
    </row>
    <row r="337" spans="1:6">
      <c r="A337" s="296" t="s">
        <v>2085</v>
      </c>
      <c r="B337" s="289" t="s">
        <v>2106</v>
      </c>
      <c r="C337" s="368"/>
      <c r="D337" s="368"/>
      <c r="E337" s="368"/>
      <c r="F337" s="372">
        <v>0.14299999999999999</v>
      </c>
    </row>
    <row r="338" spans="1:6">
      <c r="A338" s="278" t="s">
        <v>2107</v>
      </c>
      <c r="B338" s="279" t="s">
        <v>2108</v>
      </c>
      <c r="C338" s="363">
        <v>0.15</v>
      </c>
      <c r="D338" s="363">
        <v>0.15</v>
      </c>
      <c r="E338" s="363">
        <v>0.15</v>
      </c>
      <c r="F338" s="380"/>
    </row>
    <row r="339" spans="1:6">
      <c r="A339" s="278" t="s">
        <v>2107</v>
      </c>
      <c r="B339" s="283" t="s">
        <v>2109</v>
      </c>
      <c r="C339" s="365">
        <v>0.15</v>
      </c>
      <c r="D339" s="365">
        <v>0.15</v>
      </c>
      <c r="E339" s="365">
        <v>0.15</v>
      </c>
      <c r="F339" s="370"/>
    </row>
    <row r="340" spans="1:6">
      <c r="A340" s="278" t="s">
        <v>2107</v>
      </c>
      <c r="B340" s="283" t="s">
        <v>2110</v>
      </c>
      <c r="C340" s="365">
        <v>0.15</v>
      </c>
      <c r="D340" s="365">
        <v>0.15</v>
      </c>
      <c r="E340" s="365">
        <v>0.15</v>
      </c>
      <c r="F340" s="370"/>
    </row>
    <row r="341" spans="1:6">
      <c r="A341" s="278" t="s">
        <v>2107</v>
      </c>
      <c r="B341" s="283" t="s">
        <v>2111</v>
      </c>
      <c r="C341" s="365">
        <v>0.15</v>
      </c>
      <c r="D341" s="365">
        <v>0.15</v>
      </c>
      <c r="E341" s="365">
        <v>0.15</v>
      </c>
      <c r="F341" s="366">
        <v>0.15</v>
      </c>
    </row>
    <row r="342" spans="1:6">
      <c r="A342" s="278" t="s">
        <v>2107</v>
      </c>
      <c r="B342" s="283" t="s">
        <v>2112</v>
      </c>
      <c r="C342" s="365">
        <v>0.15</v>
      </c>
      <c r="D342" s="365">
        <v>0.15</v>
      </c>
      <c r="E342" s="365">
        <v>0.15</v>
      </c>
      <c r="F342" s="366">
        <v>0.15</v>
      </c>
    </row>
    <row r="343" spans="1:6">
      <c r="A343" s="278" t="s">
        <v>2107</v>
      </c>
      <c r="B343" s="283" t="s">
        <v>2113</v>
      </c>
      <c r="C343" s="365">
        <v>0.15</v>
      </c>
      <c r="D343" s="365">
        <v>0.15</v>
      </c>
      <c r="E343" s="365">
        <v>0.15</v>
      </c>
      <c r="F343" s="366">
        <v>0.15</v>
      </c>
    </row>
    <row r="344" spans="1:6">
      <c r="A344" s="296" t="s">
        <v>2107</v>
      </c>
      <c r="B344" s="289" t="s">
        <v>2114</v>
      </c>
      <c r="C344" s="367">
        <v>0.15</v>
      </c>
      <c r="D344" s="367">
        <v>0.15</v>
      </c>
      <c r="E344" s="367">
        <v>0.15</v>
      </c>
      <c r="F344" s="372">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2115</v>
      </c>
      <c r="B1" s="313"/>
      <c r="C1" s="314"/>
      <c r="D1" s="315"/>
      <c r="E1" s="315"/>
      <c r="F1" s="316"/>
      <c r="G1" s="317"/>
      <c r="H1" s="316"/>
      <c r="I1" s="317"/>
      <c r="J1" s="317"/>
      <c r="K1" s="317"/>
      <c r="L1" s="317"/>
      <c r="M1" s="317"/>
      <c r="N1" s="306"/>
      <c r="O1" s="306"/>
      <c r="P1" s="306"/>
      <c r="Q1" s="306"/>
      <c r="R1" s="306"/>
      <c r="S1" s="306"/>
      <c r="T1" s="306"/>
    </row>
    <row r="2" spans="1:20" ht="18" customHeight="1">
      <c r="A2" s="318" t="s">
        <v>1758</v>
      </c>
      <c r="B2" s="319">
        <f>1+F4</f>
        <v>1.0128999999999999</v>
      </c>
      <c r="C2" s="320"/>
      <c r="D2" s="321"/>
      <c r="E2" s="321"/>
      <c r="F2" s="322"/>
      <c r="G2" s="323"/>
      <c r="H2" s="316"/>
      <c r="I2" s="317"/>
      <c r="J2" s="317"/>
      <c r="K2" s="317"/>
      <c r="L2" s="317"/>
      <c r="M2" s="317"/>
    </row>
    <row r="3" spans="1:20" ht="13.5">
      <c r="A3" s="238" t="s">
        <v>2116</v>
      </c>
      <c r="B3" s="239" t="s">
        <v>2117</v>
      </c>
      <c r="C3" s="324" t="s">
        <v>2118</v>
      </c>
      <c r="D3" s="325" t="s">
        <v>2119</v>
      </c>
      <c r="E3" s="325" t="s">
        <v>2120</v>
      </c>
      <c r="F3" s="326" t="s">
        <v>2121</v>
      </c>
      <c r="G3" s="327" t="s">
        <v>2122</v>
      </c>
      <c r="H3" s="325" t="s">
        <v>1467</v>
      </c>
      <c r="I3" s="357" t="s">
        <v>2123</v>
      </c>
      <c r="J3" s="357" t="s">
        <v>2124</v>
      </c>
      <c r="K3" s="357" t="s">
        <v>2125</v>
      </c>
      <c r="L3" s="357" t="s">
        <v>2126</v>
      </c>
      <c r="M3" s="357" t="s">
        <v>2127</v>
      </c>
    </row>
    <row r="4" spans="1:20" ht="24">
      <c r="A4" s="238" t="s">
        <v>2128</v>
      </c>
      <c r="B4" s="328" t="str">
        <f>估价对象房地状况!C4</f>
        <v>估价对象位于XX商圈，周边商业氛围成熟，人流量大，商业繁华度好</v>
      </c>
      <c r="C4" s="329" t="s">
        <v>899</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2129</v>
      </c>
      <c r="B5" s="335" t="str">
        <f>估价对象房地状况!C6</f>
        <v>估价对象周边道路状况、公共交通通达情况、停车便捷程度，综合评价交通便捷度较好</v>
      </c>
      <c r="C5" s="329" t="s">
        <v>954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2130</v>
      </c>
      <c r="B6" s="239">
        <f>估价对象房地状况!C19</f>
        <v>0</v>
      </c>
      <c r="C6" s="329" t="s">
        <v>899</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2131</v>
      </c>
      <c r="B7" s="338" t="s">
        <v>2132</v>
      </c>
      <c r="C7" s="329" t="s">
        <v>2133</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2134</v>
      </c>
      <c r="B8" s="239">
        <f>估价对象房地状况!C10</f>
        <v>0</v>
      </c>
      <c r="C8" s="329" t="s">
        <v>899</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2135</v>
      </c>
      <c r="B9" s="339" t="s">
        <v>2136</v>
      </c>
      <c r="C9" s="329" t="s">
        <v>899</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2137</v>
      </c>
      <c r="B10" s="241" t="str">
        <f>估价对象房地状况!C7</f>
        <v>估价对象所在区域公共配套设施齐备情况</v>
      </c>
      <c r="C10" s="329" t="s">
        <v>900</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2138</v>
      </c>
      <c r="B11" s="341"/>
      <c r="C11" s="329" t="s">
        <v>954</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2139</v>
      </c>
      <c r="B12" s="343" t="str">
        <f>估价对象房地状况!C9</f>
        <v>区域自然环境：；人文环境；综合评价环境状况一般</v>
      </c>
      <c r="C12" s="329" t="s">
        <v>900</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1759</v>
      </c>
      <c r="B13" s="319">
        <f>1+F15</f>
        <v>1.0148999999999999</v>
      </c>
      <c r="C13" s="346"/>
      <c r="D13" s="321"/>
      <c r="E13" s="321"/>
      <c r="F13" s="322"/>
      <c r="G13" s="323"/>
      <c r="H13" s="316"/>
      <c r="I13" s="271"/>
      <c r="J13" s="271"/>
      <c r="K13" s="271"/>
      <c r="L13" s="271"/>
      <c r="M13" s="271"/>
    </row>
    <row r="14" spans="1:20" ht="18" customHeight="1">
      <c r="A14" s="238" t="s">
        <v>2116</v>
      </c>
      <c r="B14" s="239"/>
      <c r="C14" s="324" t="s">
        <v>2118</v>
      </c>
      <c r="D14" s="325" t="s">
        <v>2119</v>
      </c>
      <c r="E14" s="325" t="s">
        <v>2120</v>
      </c>
      <c r="F14" s="326" t="s">
        <v>2121</v>
      </c>
      <c r="G14" s="327" t="s">
        <v>2122</v>
      </c>
      <c r="H14" s="325" t="s">
        <v>1467</v>
      </c>
      <c r="I14" s="357" t="s">
        <v>2123</v>
      </c>
      <c r="J14" s="357" t="s">
        <v>2124</v>
      </c>
      <c r="K14" s="357" t="s">
        <v>2125</v>
      </c>
      <c r="L14" s="357" t="s">
        <v>2126</v>
      </c>
      <c r="M14" s="357" t="s">
        <v>2127</v>
      </c>
    </row>
    <row r="15" spans="1:20" ht="24">
      <c r="A15" s="238" t="s">
        <v>2140</v>
      </c>
      <c r="B15" s="328" t="str">
        <f>估价对象房地状况!C5</f>
        <v>估价对象位于XX商圈，周边办公楼项目较多，入驻率高，办公集聚程度较好</v>
      </c>
      <c r="C15" s="329" t="s">
        <v>899</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2129</v>
      </c>
      <c r="B16" s="239" t="str">
        <f>估价对象房地状况!C6</f>
        <v>估价对象周边道路状况、公共交通通达情况、停车便捷程度，综合评价交通便捷度较好</v>
      </c>
      <c r="C16" s="329" t="s">
        <v>899</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2130</v>
      </c>
      <c r="B17" s="239">
        <f>估价对象房地状况!C19</f>
        <v>0</v>
      </c>
      <c r="C17" s="329" t="s">
        <v>899</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2131</v>
      </c>
      <c r="B18" s="338" t="s">
        <v>2132</v>
      </c>
      <c r="C18" s="329" t="s">
        <v>899</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2134</v>
      </c>
      <c r="B19" s="239">
        <f>估价对象房地状况!C10</f>
        <v>0</v>
      </c>
      <c r="C19" s="329" t="s">
        <v>899</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2135</v>
      </c>
      <c r="B20" s="339" t="s">
        <v>2136</v>
      </c>
      <c r="C20" s="329" t="s">
        <v>899</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2137</v>
      </c>
      <c r="B21" s="241" t="str">
        <f>估价对象房地状况!C7</f>
        <v>估价对象所在区域公共配套设施齐备情况</v>
      </c>
      <c r="C21" s="329" t="s">
        <v>899</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2138</v>
      </c>
      <c r="B22" s="341"/>
      <c r="C22" s="329" t="s">
        <v>899</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2139</v>
      </c>
      <c r="B23" s="347" t="str">
        <f>估价对象房地状况!C9</f>
        <v>区域自然环境：；人文环境；综合评价环境状况一般</v>
      </c>
      <c r="C23" s="329" t="s">
        <v>899</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2116</v>
      </c>
      <c r="B25" s="239"/>
      <c r="C25" s="324" t="s">
        <v>2118</v>
      </c>
      <c r="D25" s="325" t="s">
        <v>2119</v>
      </c>
      <c r="E25" s="325" t="s">
        <v>2120</v>
      </c>
      <c r="F25" s="326" t="s">
        <v>2121</v>
      </c>
      <c r="G25" s="327" t="s">
        <v>2122</v>
      </c>
      <c r="H25" s="325" t="s">
        <v>1467</v>
      </c>
      <c r="I25" s="357" t="s">
        <v>2123</v>
      </c>
      <c r="J25" s="357" t="s">
        <v>2124</v>
      </c>
      <c r="K25" s="357" t="s">
        <v>2125</v>
      </c>
      <c r="L25" s="357" t="s">
        <v>2126</v>
      </c>
      <c r="M25" s="357" t="s">
        <v>2127</v>
      </c>
    </row>
    <row r="26" spans="1:20" ht="24">
      <c r="A26" s="238" t="s">
        <v>2141</v>
      </c>
      <c r="B26" s="328" t="str">
        <f>估价对象房地状况!C3</f>
        <v>估价对象周边居住用地比例、居住小区规模和社区发展完善程度，综合评价居住社区成熟度一般</v>
      </c>
      <c r="C26" s="329" t="s">
        <v>899</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2129</v>
      </c>
      <c r="B27" s="239" t="str">
        <f>估价对象房地状况!C6</f>
        <v>估价对象周边道路状况、公共交通通达情况、停车便捷程度，综合评价交通便捷度较好</v>
      </c>
      <c r="C27" s="329" t="s">
        <v>899</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2130</v>
      </c>
      <c r="B28" s="239">
        <f>估价对象房地状况!C19</f>
        <v>0</v>
      </c>
      <c r="C28" s="329" t="s">
        <v>899</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2142</v>
      </c>
      <c r="B29" s="239">
        <f>估价对象房地状况!C10</f>
        <v>0</v>
      </c>
      <c r="C29" s="329" t="s">
        <v>900</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2137</v>
      </c>
      <c r="B30" s="241" t="str">
        <f>估价对象房地状况!C7</f>
        <v>估价对象所在区域公共配套设施齐备情况</v>
      </c>
      <c r="C30" s="329" t="s">
        <v>899</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2138</v>
      </c>
      <c r="B31" s="341"/>
      <c r="C31" s="329" t="s">
        <v>900</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2135</v>
      </c>
      <c r="B32" s="339" t="s">
        <v>2136</v>
      </c>
      <c r="C32" s="329" t="s">
        <v>899</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2139</v>
      </c>
      <c r="B33" s="328" t="str">
        <f>估价对象房地状况!C9</f>
        <v>区域自然环境：；人文环境；综合评价环境状况一般</v>
      </c>
      <c r="C33" s="329" t="s">
        <v>899</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2143</v>
      </c>
      <c r="B34" s="350" t="s">
        <v>2144</v>
      </c>
      <c r="C34" s="329" t="s">
        <v>954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1760</v>
      </c>
      <c r="B35" s="319">
        <f>1+F37</f>
        <v>1.0127999999999999</v>
      </c>
      <c r="C35" s="346"/>
      <c r="D35" s="321"/>
      <c r="E35" s="321"/>
      <c r="F35" s="322"/>
      <c r="G35" s="323"/>
      <c r="H35" s="316"/>
      <c r="I35" s="271"/>
      <c r="J35" s="271"/>
      <c r="K35" s="271"/>
      <c r="L35" s="271"/>
      <c r="M35" s="271"/>
    </row>
    <row r="36" spans="1:13" ht="13.5">
      <c r="A36" s="238" t="s">
        <v>2116</v>
      </c>
      <c r="B36" s="239"/>
      <c r="C36" s="324" t="s">
        <v>2118</v>
      </c>
      <c r="D36" s="325" t="s">
        <v>2119</v>
      </c>
      <c r="E36" s="325" t="s">
        <v>2120</v>
      </c>
      <c r="F36" s="326" t="s">
        <v>2121</v>
      </c>
      <c r="G36" s="327" t="s">
        <v>2122</v>
      </c>
      <c r="H36" s="325" t="s">
        <v>1467</v>
      </c>
      <c r="I36" s="357" t="s">
        <v>2123</v>
      </c>
      <c r="J36" s="357" t="s">
        <v>2124</v>
      </c>
      <c r="K36" s="357" t="s">
        <v>2125</v>
      </c>
      <c r="L36" s="357" t="s">
        <v>2126</v>
      </c>
      <c r="M36" s="357" t="s">
        <v>2127</v>
      </c>
    </row>
    <row r="37" spans="1:13" ht="24">
      <c r="A37" s="238" t="s">
        <v>2145</v>
      </c>
      <c r="B37" s="239" t="str">
        <f>估价对象房地状况!G3</f>
        <v>估价对象位于XX开发区，园区建设成熟度XX，产业集聚程度XX</v>
      </c>
      <c r="C37" s="329" t="s">
        <v>899</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2129</v>
      </c>
      <c r="B38" s="239" t="str">
        <f>估价对象房地状况!G4</f>
        <v>估价对象周边道路状况、公共交通通达情况、停车便捷程度，综合评价交通便捷度较好</v>
      </c>
      <c r="C38" s="329" t="s">
        <v>899</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2130</v>
      </c>
      <c r="B39" s="239">
        <f>估价对象房地状况!G17</f>
        <v>0</v>
      </c>
      <c r="C39" s="329" t="s">
        <v>899</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2142</v>
      </c>
      <c r="B40" s="239">
        <f>估价对象房地状况!G22</f>
        <v>0</v>
      </c>
      <c r="C40" s="329" t="s">
        <v>899</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2137</v>
      </c>
      <c r="B41" s="241" t="str">
        <f>估价对象房地状况!G19</f>
        <v>估价对象所在区域公共配套设施齐备情况</v>
      </c>
      <c r="C41" s="329" t="s">
        <v>899</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2138</v>
      </c>
      <c r="B42" s="341"/>
      <c r="C42" s="329" t="s">
        <v>899</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2135</v>
      </c>
      <c r="B43" s="339" t="s">
        <v>2136</v>
      </c>
      <c r="C43" s="329" t="s">
        <v>1730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2146</v>
      </c>
      <c r="B44" s="352" t="str">
        <f>估价对象房地状况!G18</f>
        <v>该园区内是否有污染型企业，绿化情况，卫生条件，整体环境状况判断</v>
      </c>
      <c r="C44" s="329" t="s">
        <v>900</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sheetPr codeName="Sheet35"/>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95" t="s">
        <v>2147</v>
      </c>
      <c r="B1" s="3695"/>
      <c r="C1" s="3695"/>
      <c r="D1" s="3695"/>
      <c r="E1" s="3695"/>
      <c r="F1" s="3695"/>
      <c r="H1" s="268"/>
      <c r="I1" s="301" t="s">
        <v>1763</v>
      </c>
      <c r="J1" s="226" t="s">
        <v>1769</v>
      </c>
      <c r="K1" s="226" t="s">
        <v>1789</v>
      </c>
      <c r="L1" s="226" t="s">
        <v>1810</v>
      </c>
      <c r="M1" s="226" t="s">
        <v>1838</v>
      </c>
      <c r="N1" s="226" t="s">
        <v>1873</v>
      </c>
      <c r="O1" s="226" t="s">
        <v>1922</v>
      </c>
      <c r="P1" s="226" t="s">
        <v>1971</v>
      </c>
      <c r="Q1" s="226" t="s">
        <v>2011</v>
      </c>
      <c r="R1" s="226" t="s">
        <v>2057</v>
      </c>
      <c r="S1" s="226" t="s">
        <v>2085</v>
      </c>
      <c r="T1" s="261" t="s">
        <v>2107</v>
      </c>
    </row>
    <row r="2" spans="1:20">
      <c r="A2" s="3696" t="s">
        <v>2148</v>
      </c>
      <c r="B2" s="3696"/>
      <c r="C2" s="3696"/>
      <c r="D2" s="3696"/>
      <c r="E2" s="3696"/>
      <c r="F2" s="3696"/>
      <c r="I2" s="302" t="s">
        <v>1764</v>
      </c>
      <c r="J2" s="283" t="s">
        <v>1770</v>
      </c>
      <c r="K2" s="283" t="s">
        <v>1790</v>
      </c>
      <c r="L2" s="283" t="s">
        <v>1811</v>
      </c>
      <c r="M2" s="283" t="s">
        <v>1839</v>
      </c>
      <c r="N2" s="283" t="s">
        <v>1874</v>
      </c>
      <c r="O2" s="283" t="s">
        <v>1923</v>
      </c>
      <c r="P2" s="283" t="s">
        <v>1972</v>
      </c>
      <c r="Q2" s="283" t="s">
        <v>2012</v>
      </c>
      <c r="R2" s="283" t="s">
        <v>2058</v>
      </c>
      <c r="S2" s="283" t="s">
        <v>2086</v>
      </c>
      <c r="T2" s="283" t="s">
        <v>2108</v>
      </c>
    </row>
    <row r="3" spans="1:20" s="268" customFormat="1" ht="19.5" customHeight="1">
      <c r="A3" s="3697" t="s">
        <v>1761</v>
      </c>
      <c r="B3" s="273"/>
      <c r="C3" s="274" t="s">
        <v>1758</v>
      </c>
      <c r="D3" s="274" t="s">
        <v>1759</v>
      </c>
      <c r="E3" s="274" t="s">
        <v>461</v>
      </c>
      <c r="F3" s="274" t="s">
        <v>1760</v>
      </c>
      <c r="G3" s="275"/>
      <c r="I3" s="302" t="s">
        <v>1765</v>
      </c>
      <c r="J3" s="283" t="s">
        <v>1771</v>
      </c>
      <c r="K3" s="283" t="s">
        <v>1791</v>
      </c>
      <c r="L3" s="283" t="s">
        <v>1812</v>
      </c>
      <c r="M3" s="283" t="s">
        <v>1840</v>
      </c>
      <c r="N3" s="283" t="s">
        <v>1875</v>
      </c>
      <c r="O3" s="283" t="s">
        <v>1924</v>
      </c>
      <c r="P3" s="283" t="s">
        <v>1973</v>
      </c>
      <c r="Q3" s="283" t="s">
        <v>2013</v>
      </c>
      <c r="R3" s="283" t="s">
        <v>2059</v>
      </c>
      <c r="S3" s="283" t="s">
        <v>2087</v>
      </c>
      <c r="T3" s="283" t="s">
        <v>2109</v>
      </c>
    </row>
    <row r="4" spans="1:20" s="268" customFormat="1" ht="19.5" customHeight="1">
      <c r="A4" s="3698"/>
      <c r="B4" s="276" t="s">
        <v>1762</v>
      </c>
      <c r="C4" s="276" t="s">
        <v>2149</v>
      </c>
      <c r="D4" s="276" t="s">
        <v>2149</v>
      </c>
      <c r="E4" s="276" t="s">
        <v>2149</v>
      </c>
      <c r="F4" s="277" t="s">
        <v>2149</v>
      </c>
      <c r="G4" s="275"/>
      <c r="I4" s="302" t="s">
        <v>1766</v>
      </c>
      <c r="J4" s="283" t="s">
        <v>1772</v>
      </c>
      <c r="K4" s="283" t="s">
        <v>1792</v>
      </c>
      <c r="L4" s="283" t="s">
        <v>1813</v>
      </c>
      <c r="M4" s="283" t="s">
        <v>1841</v>
      </c>
      <c r="N4" s="283" t="s">
        <v>1876</v>
      </c>
      <c r="O4" s="283" t="s">
        <v>1925</v>
      </c>
      <c r="P4" s="283" t="s">
        <v>1974</v>
      </c>
      <c r="Q4" s="283" t="s">
        <v>2014</v>
      </c>
      <c r="R4" s="283" t="s">
        <v>2060</v>
      </c>
      <c r="S4" s="283" t="s">
        <v>2088</v>
      </c>
      <c r="T4" s="283" t="s">
        <v>2110</v>
      </c>
    </row>
    <row r="5" spans="1:20" ht="14.25" customHeight="1">
      <c r="A5" s="278" t="s">
        <v>1763</v>
      </c>
      <c r="B5" s="279" t="s">
        <v>1764</v>
      </c>
      <c r="C5" s="279">
        <v>29530</v>
      </c>
      <c r="D5" s="279">
        <v>28130</v>
      </c>
      <c r="E5" s="279">
        <v>27930</v>
      </c>
      <c r="F5" s="280">
        <v>11300</v>
      </c>
      <c r="G5" s="281" t="s">
        <v>1763</v>
      </c>
      <c r="H5" s="282">
        <f>SUMPRODUCT((B5:B9=基准地价修正!I2)*(C3:F3=基准地价修正!E2)*(C5:F9))</f>
        <v>0</v>
      </c>
      <c r="I5" s="302" t="s">
        <v>1767</v>
      </c>
      <c r="J5" s="283" t="s">
        <v>1773</v>
      </c>
      <c r="K5" s="283" t="s">
        <v>1793</v>
      </c>
      <c r="L5" s="283" t="s">
        <v>1814</v>
      </c>
      <c r="M5" s="283" t="s">
        <v>1842</v>
      </c>
      <c r="N5" s="283" t="s">
        <v>1877</v>
      </c>
      <c r="O5" s="283" t="s">
        <v>1926</v>
      </c>
      <c r="P5" s="283" t="s">
        <v>1975</v>
      </c>
      <c r="Q5" s="283" t="s">
        <v>2015</v>
      </c>
      <c r="R5" s="283" t="s">
        <v>2062</v>
      </c>
      <c r="S5" s="283" t="s">
        <v>2089</v>
      </c>
      <c r="T5" s="283" t="s">
        <v>2111</v>
      </c>
    </row>
    <row r="6" spans="1:20" ht="14.25" customHeight="1">
      <c r="A6" s="278" t="s">
        <v>1763</v>
      </c>
      <c r="B6" s="283" t="s">
        <v>1765</v>
      </c>
      <c r="C6" s="283">
        <v>30290</v>
      </c>
      <c r="D6" s="283">
        <v>29210</v>
      </c>
      <c r="E6" s="283">
        <v>28860</v>
      </c>
      <c r="F6" s="284">
        <v>12600</v>
      </c>
      <c r="G6" s="285" t="s">
        <v>1769</v>
      </c>
      <c r="H6" s="286">
        <f>SUMPRODUCT((B10:B28=基准地价修正!I2)*(C3:F3=基准地价修正!E2)*(C10:F28))</f>
        <v>0</v>
      </c>
      <c r="I6" s="302" t="s">
        <v>1768</v>
      </c>
      <c r="J6" s="283" t="s">
        <v>1774</v>
      </c>
      <c r="K6" s="283" t="s">
        <v>1794</v>
      </c>
      <c r="L6" s="283" t="s">
        <v>1815</v>
      </c>
      <c r="M6" s="283" t="s">
        <v>1843</v>
      </c>
      <c r="N6" s="283" t="s">
        <v>1878</v>
      </c>
      <c r="O6" s="283" t="s">
        <v>1927</v>
      </c>
      <c r="P6" s="283" t="s">
        <v>1976</v>
      </c>
      <c r="Q6" s="283" t="s">
        <v>2016</v>
      </c>
      <c r="R6" s="283" t="s">
        <v>2063</v>
      </c>
      <c r="S6" s="283" t="s">
        <v>2090</v>
      </c>
      <c r="T6" s="283" t="s">
        <v>2112</v>
      </c>
    </row>
    <row r="7" spans="1:20" ht="14.25" customHeight="1">
      <c r="A7" s="278" t="s">
        <v>1763</v>
      </c>
      <c r="B7" s="287" t="s">
        <v>1766</v>
      </c>
      <c r="C7" s="283">
        <v>29350</v>
      </c>
      <c r="D7" s="283">
        <v>28410</v>
      </c>
      <c r="E7" s="283">
        <v>27990</v>
      </c>
      <c r="F7" s="284">
        <v>12300</v>
      </c>
      <c r="G7" s="285" t="s">
        <v>1789</v>
      </c>
      <c r="H7" s="286">
        <f>SUMPRODUCT((B29:B48=基准地价修正!I2)*(C3:F3=基准地价修正!E2)*(C29:F48))</f>
        <v>0</v>
      </c>
      <c r="J7" s="283" t="s">
        <v>1775</v>
      </c>
      <c r="K7" s="283" t="s">
        <v>1795</v>
      </c>
      <c r="L7" s="283" t="s">
        <v>1816</v>
      </c>
      <c r="M7" s="283" t="s">
        <v>1844</v>
      </c>
      <c r="N7" s="283" t="s">
        <v>1879</v>
      </c>
      <c r="O7" s="283" t="s">
        <v>1928</v>
      </c>
      <c r="P7" s="283" t="s">
        <v>1977</v>
      </c>
      <c r="Q7" s="283" t="s">
        <v>2017</v>
      </c>
      <c r="R7" s="283" t="s">
        <v>2064</v>
      </c>
      <c r="S7" s="283" t="s">
        <v>2091</v>
      </c>
      <c r="T7" s="287" t="s">
        <v>2113</v>
      </c>
    </row>
    <row r="8" spans="1:20" ht="14.25" customHeight="1">
      <c r="A8" s="278" t="s">
        <v>1763</v>
      </c>
      <c r="B8" s="283" t="s">
        <v>1767</v>
      </c>
      <c r="C8" s="283">
        <v>30890</v>
      </c>
      <c r="D8" s="283">
        <v>29780</v>
      </c>
      <c r="E8" s="283">
        <v>29270</v>
      </c>
      <c r="F8" s="284">
        <v>11600</v>
      </c>
      <c r="G8" s="285" t="s">
        <v>1810</v>
      </c>
      <c r="H8" s="286">
        <f>SUMPRODUCT((B49:B75=基准地价修正!I2)*(C3:F3=基准地价修正!E2)*(C49:F75))</f>
        <v>0</v>
      </c>
      <c r="J8" s="283" t="s">
        <v>1776</v>
      </c>
      <c r="K8" s="283" t="s">
        <v>1796</v>
      </c>
      <c r="L8" s="283" t="s">
        <v>1817</v>
      </c>
      <c r="M8" s="283" t="s">
        <v>1845</v>
      </c>
      <c r="N8" s="283" t="s">
        <v>1880</v>
      </c>
      <c r="O8" s="283" t="s">
        <v>1929</v>
      </c>
      <c r="P8" s="283" t="s">
        <v>1978</v>
      </c>
      <c r="Q8" s="283" t="s">
        <v>2018</v>
      </c>
      <c r="R8" s="283" t="s">
        <v>2065</v>
      </c>
      <c r="S8" s="283" t="s">
        <v>2092</v>
      </c>
      <c r="T8" s="283" t="s">
        <v>2114</v>
      </c>
    </row>
    <row r="9" spans="1:20" ht="14.25" customHeight="1">
      <c r="A9" s="278" t="s">
        <v>1763</v>
      </c>
      <c r="B9" s="288" t="s">
        <v>1768</v>
      </c>
      <c r="C9" s="289">
        <v>28140</v>
      </c>
      <c r="D9" s="289"/>
      <c r="E9" s="289"/>
      <c r="F9" s="290"/>
      <c r="G9" s="285" t="s">
        <v>1838</v>
      </c>
      <c r="H9" s="286">
        <f>SUMPRODUCT((B76:B109=基准地价修正!I2)*(C3:F3=基准地价修正!E2)*(C76:F109))</f>
        <v>0</v>
      </c>
      <c r="J9" s="283" t="s">
        <v>1777</v>
      </c>
      <c r="K9" s="283" t="s">
        <v>1797</v>
      </c>
      <c r="L9" s="283" t="s">
        <v>1818</v>
      </c>
      <c r="M9" s="283" t="s">
        <v>1846</v>
      </c>
      <c r="N9" s="283" t="s">
        <v>1881</v>
      </c>
      <c r="O9" s="283" t="s">
        <v>1930</v>
      </c>
      <c r="P9" s="283" t="s">
        <v>1979</v>
      </c>
      <c r="Q9" s="283" t="s">
        <v>2019</v>
      </c>
      <c r="R9" s="283" t="s">
        <v>2066</v>
      </c>
      <c r="S9" s="283" t="s">
        <v>2093</v>
      </c>
    </row>
    <row r="10" spans="1:20" ht="14.25" customHeight="1">
      <c r="A10" s="278" t="s">
        <v>1769</v>
      </c>
      <c r="B10" s="279" t="s">
        <v>1770</v>
      </c>
      <c r="C10" s="279">
        <v>27450</v>
      </c>
      <c r="D10" s="279">
        <v>26180</v>
      </c>
      <c r="E10" s="279">
        <v>25980</v>
      </c>
      <c r="F10" s="280">
        <v>8910</v>
      </c>
      <c r="G10" s="285" t="s">
        <v>1873</v>
      </c>
      <c r="H10" s="286">
        <f>SUMPRODUCT((B110:B157=基准地价修正!I2)*(C3:F3=基准地价修正!E2)*(C110:F157))</f>
        <v>0</v>
      </c>
      <c r="J10" s="283" t="s">
        <v>1778</v>
      </c>
      <c r="K10" s="283" t="s">
        <v>1798</v>
      </c>
      <c r="L10" s="283" t="s">
        <v>1819</v>
      </c>
      <c r="M10" s="283" t="s">
        <v>1847</v>
      </c>
      <c r="N10" s="283" t="s">
        <v>1882</v>
      </c>
      <c r="O10" s="283" t="s">
        <v>1931</v>
      </c>
      <c r="P10" s="283" t="s">
        <v>1980</v>
      </c>
      <c r="Q10" s="283" t="s">
        <v>2020</v>
      </c>
      <c r="R10" s="283" t="s">
        <v>2067</v>
      </c>
      <c r="S10" s="283" t="s">
        <v>2094</v>
      </c>
    </row>
    <row r="11" spans="1:20" ht="14.25" customHeight="1">
      <c r="A11" s="278" t="s">
        <v>1769</v>
      </c>
      <c r="B11" s="287" t="s">
        <v>1771</v>
      </c>
      <c r="C11" s="283">
        <v>22950</v>
      </c>
      <c r="D11" s="283">
        <v>22630</v>
      </c>
      <c r="E11" s="283">
        <v>22030</v>
      </c>
      <c r="F11" s="291">
        <v>8330</v>
      </c>
      <c r="G11" s="285" t="s">
        <v>1922</v>
      </c>
      <c r="H11" s="286">
        <f>SUMPRODUCT((B158:B205=基准地价修正!I2)*(C3:F3=基准地价修正!E2)*(C158:F205))</f>
        <v>0</v>
      </c>
      <c r="J11" s="283" t="s">
        <v>1779</v>
      </c>
      <c r="K11" s="283" t="s">
        <v>1799</v>
      </c>
      <c r="L11" s="283" t="s">
        <v>1820</v>
      </c>
      <c r="M11" s="283" t="s">
        <v>1848</v>
      </c>
      <c r="N11" s="283" t="s">
        <v>1883</v>
      </c>
      <c r="O11" s="283" t="s">
        <v>1932</v>
      </c>
      <c r="P11" s="283" t="s">
        <v>1981</v>
      </c>
      <c r="Q11" s="283" t="s">
        <v>2021</v>
      </c>
      <c r="R11" s="283" t="s">
        <v>2068</v>
      </c>
      <c r="S11" s="283" t="s">
        <v>2095</v>
      </c>
    </row>
    <row r="12" spans="1:20" ht="14.25" customHeight="1">
      <c r="A12" s="278" t="s">
        <v>1769</v>
      </c>
      <c r="B12" s="287" t="s">
        <v>1772</v>
      </c>
      <c r="C12" s="283">
        <v>24940</v>
      </c>
      <c r="D12" s="283">
        <v>23180</v>
      </c>
      <c r="E12" s="283">
        <v>22910</v>
      </c>
      <c r="F12" s="291">
        <v>7180</v>
      </c>
      <c r="G12" s="285" t="s">
        <v>1971</v>
      </c>
      <c r="H12" s="286">
        <f>SUMPRODUCT((B206:B244=基准地价修正!I2)*(C3:F3=基准地价修正!E2)*(C206:F244))</f>
        <v>0</v>
      </c>
      <c r="J12" s="283" t="s">
        <v>1780</v>
      </c>
      <c r="K12" s="283" t="s">
        <v>1800</v>
      </c>
      <c r="L12" s="283" t="s">
        <v>1821</v>
      </c>
      <c r="M12" s="283" t="s">
        <v>1849</v>
      </c>
      <c r="N12" s="283" t="s">
        <v>1884</v>
      </c>
      <c r="O12" s="283" t="s">
        <v>1933</v>
      </c>
      <c r="P12" s="283" t="s">
        <v>1982</v>
      </c>
      <c r="Q12" s="283" t="s">
        <v>2022</v>
      </c>
      <c r="R12" s="283" t="s">
        <v>2069</v>
      </c>
      <c r="S12" s="283" t="s">
        <v>2096</v>
      </c>
    </row>
    <row r="13" spans="1:20" ht="14.25" customHeight="1">
      <c r="A13" s="278" t="s">
        <v>1769</v>
      </c>
      <c r="B13" s="287" t="s">
        <v>1773</v>
      </c>
      <c r="C13" s="283">
        <v>24140</v>
      </c>
      <c r="D13" s="283">
        <v>22270</v>
      </c>
      <c r="E13" s="283">
        <v>21950</v>
      </c>
      <c r="F13" s="291">
        <v>7600</v>
      </c>
      <c r="G13" s="285" t="s">
        <v>2011</v>
      </c>
      <c r="H13" s="286">
        <f>SUMPRODUCT((B245:B289=基准地价修正!I2)*(C3:F3=基准地价修正!E2)*(C245:F289))</f>
        <v>0</v>
      </c>
      <c r="J13" s="283" t="s">
        <v>1781</v>
      </c>
      <c r="K13" s="283" t="s">
        <v>1801</v>
      </c>
      <c r="L13" s="283" t="s">
        <v>1822</v>
      </c>
      <c r="M13" s="283" t="s">
        <v>1850</v>
      </c>
      <c r="N13" s="283" t="s">
        <v>1885</v>
      </c>
      <c r="O13" s="283" t="s">
        <v>1934</v>
      </c>
      <c r="P13" s="283" t="s">
        <v>1983</v>
      </c>
      <c r="Q13" s="283" t="s">
        <v>2023</v>
      </c>
      <c r="R13" s="283" t="s">
        <v>2070</v>
      </c>
      <c r="S13" s="283" t="s">
        <v>2097</v>
      </c>
    </row>
    <row r="14" spans="1:20" ht="14.25" customHeight="1">
      <c r="A14" s="278" t="s">
        <v>1769</v>
      </c>
      <c r="B14" s="287" t="s">
        <v>1774</v>
      </c>
      <c r="C14" s="283">
        <v>25600</v>
      </c>
      <c r="D14" s="283">
        <v>22260</v>
      </c>
      <c r="E14" s="283">
        <v>22110</v>
      </c>
      <c r="F14" s="291">
        <v>7630</v>
      </c>
      <c r="G14" s="285" t="s">
        <v>2057</v>
      </c>
      <c r="H14" s="286">
        <f>SUMPRODUCT((B290:B316=基准地价修正!I2)*(C3:F3=基准地价修正!E2)*(C290:F316))</f>
        <v>0</v>
      </c>
      <c r="J14" s="283" t="s">
        <v>1782</v>
      </c>
      <c r="K14" s="283" t="s">
        <v>1802</v>
      </c>
      <c r="L14" s="283" t="s">
        <v>1823</v>
      </c>
      <c r="M14" s="283" t="s">
        <v>1851</v>
      </c>
      <c r="N14" s="283" t="s">
        <v>1886</v>
      </c>
      <c r="O14" s="283" t="s">
        <v>1935</v>
      </c>
      <c r="P14" s="283" t="s">
        <v>1984</v>
      </c>
      <c r="Q14" s="283" t="s">
        <v>2024</v>
      </c>
      <c r="R14" s="283" t="s">
        <v>2071</v>
      </c>
      <c r="S14" s="283" t="s">
        <v>2098</v>
      </c>
    </row>
    <row r="15" spans="1:20" ht="14.25" customHeight="1">
      <c r="A15" s="278" t="s">
        <v>1769</v>
      </c>
      <c r="B15" s="287" t="s">
        <v>1775</v>
      </c>
      <c r="C15" s="283">
        <v>24760</v>
      </c>
      <c r="D15" s="283">
        <v>24440</v>
      </c>
      <c r="E15" s="283">
        <v>24130</v>
      </c>
      <c r="F15" s="291">
        <v>9480</v>
      </c>
      <c r="G15" s="285" t="s">
        <v>2085</v>
      </c>
      <c r="H15" s="286">
        <f>SUMPRODUCT((B317:B337=基准地价修正!I2)*(C3:F3=基准地价修正!E2)*(C317:F337))</f>
        <v>0</v>
      </c>
      <c r="J15" s="283" t="s">
        <v>1783</v>
      </c>
      <c r="K15" s="283" t="s">
        <v>1803</v>
      </c>
      <c r="L15" s="283" t="s">
        <v>1824</v>
      </c>
      <c r="M15" s="283" t="s">
        <v>1852</v>
      </c>
      <c r="N15" s="283" t="s">
        <v>1887</v>
      </c>
      <c r="O15" s="283" t="s">
        <v>1936</v>
      </c>
      <c r="P15" s="283" t="s">
        <v>1985</v>
      </c>
      <c r="Q15" s="283" t="s">
        <v>2025</v>
      </c>
      <c r="R15" s="283" t="s">
        <v>2072</v>
      </c>
      <c r="S15" s="283" t="s">
        <v>2099</v>
      </c>
    </row>
    <row r="16" spans="1:20" ht="14.25" customHeight="1">
      <c r="A16" s="278" t="s">
        <v>1769</v>
      </c>
      <c r="B16" s="287" t="s">
        <v>1776</v>
      </c>
      <c r="C16" s="283">
        <v>22220</v>
      </c>
      <c r="D16" s="283">
        <v>22310</v>
      </c>
      <c r="E16" s="283">
        <v>22000</v>
      </c>
      <c r="F16" s="291">
        <v>8900</v>
      </c>
      <c r="G16" s="292" t="s">
        <v>2107</v>
      </c>
      <c r="H16" s="293">
        <f>SUMPRODUCT((B338:B344=基准地价修正!I2)*(C3:F3=基准地价修正!E2)*(C338:F344))</f>
        <v>0</v>
      </c>
      <c r="J16" s="283" t="s">
        <v>1784</v>
      </c>
      <c r="K16" s="283" t="s">
        <v>1804</v>
      </c>
      <c r="L16" s="283" t="s">
        <v>1825</v>
      </c>
      <c r="M16" s="283" t="s">
        <v>1853</v>
      </c>
      <c r="N16" s="283" t="s">
        <v>1888</v>
      </c>
      <c r="O16" s="283" t="s">
        <v>1937</v>
      </c>
      <c r="P16" s="283" t="s">
        <v>1986</v>
      </c>
      <c r="Q16" s="283" t="s">
        <v>2026</v>
      </c>
      <c r="R16" s="283" t="s">
        <v>2073</v>
      </c>
      <c r="S16" s="283" t="s">
        <v>2100</v>
      </c>
    </row>
    <row r="17" spans="1:19" ht="14.25" customHeight="1">
      <c r="A17" s="278" t="s">
        <v>1769</v>
      </c>
      <c r="B17" s="287" t="s">
        <v>1777</v>
      </c>
      <c r="C17" s="283">
        <v>24700</v>
      </c>
      <c r="D17" s="283">
        <v>25150</v>
      </c>
      <c r="E17" s="283">
        <v>24700</v>
      </c>
      <c r="F17" s="294"/>
      <c r="H17" s="295"/>
      <c r="J17" s="283" t="s">
        <v>1785</v>
      </c>
      <c r="K17" s="283" t="s">
        <v>1805</v>
      </c>
      <c r="L17" s="283" t="s">
        <v>1826</v>
      </c>
      <c r="M17" s="283" t="s">
        <v>1854</v>
      </c>
      <c r="N17" s="283" t="s">
        <v>1889</v>
      </c>
      <c r="O17" s="283" t="s">
        <v>1938</v>
      </c>
      <c r="P17" s="283" t="s">
        <v>1987</v>
      </c>
      <c r="Q17" s="283" t="s">
        <v>2027</v>
      </c>
      <c r="R17" s="283" t="s">
        <v>2074</v>
      </c>
      <c r="S17" s="283" t="s">
        <v>2101</v>
      </c>
    </row>
    <row r="18" spans="1:19" ht="14.25" customHeight="1">
      <c r="A18" s="278" t="s">
        <v>1769</v>
      </c>
      <c r="B18" s="287" t="s">
        <v>1778</v>
      </c>
      <c r="C18" s="283">
        <v>22350</v>
      </c>
      <c r="D18" s="283">
        <v>24340</v>
      </c>
      <c r="E18" s="283">
        <v>24100</v>
      </c>
      <c r="F18" s="294"/>
      <c r="H18" s="295"/>
      <c r="J18" s="283" t="s">
        <v>1786</v>
      </c>
      <c r="K18" s="283" t="s">
        <v>1806</v>
      </c>
      <c r="L18" s="283" t="s">
        <v>1827</v>
      </c>
      <c r="M18" s="283" t="s">
        <v>1855</v>
      </c>
      <c r="N18" s="283" t="s">
        <v>1890</v>
      </c>
      <c r="O18" s="283" t="s">
        <v>1939</v>
      </c>
      <c r="P18" s="283" t="s">
        <v>1988</v>
      </c>
      <c r="Q18" s="283" t="s">
        <v>2028</v>
      </c>
      <c r="R18" s="283" t="s">
        <v>2075</v>
      </c>
      <c r="S18" s="283" t="s">
        <v>2102</v>
      </c>
    </row>
    <row r="19" spans="1:19" ht="14.25" customHeight="1">
      <c r="A19" s="278" t="s">
        <v>1769</v>
      </c>
      <c r="B19" s="287" t="s">
        <v>1779</v>
      </c>
      <c r="C19" s="283">
        <v>23430</v>
      </c>
      <c r="D19" s="283">
        <v>21580</v>
      </c>
      <c r="E19" s="283">
        <v>21350</v>
      </c>
      <c r="F19" s="294"/>
      <c r="H19" s="295"/>
      <c r="J19" s="283" t="s">
        <v>1787</v>
      </c>
      <c r="K19" s="283" t="s">
        <v>1807</v>
      </c>
      <c r="L19" s="283" t="s">
        <v>1828</v>
      </c>
      <c r="M19" s="283" t="s">
        <v>1856</v>
      </c>
      <c r="N19" s="283" t="s">
        <v>1891</v>
      </c>
      <c r="O19" s="283" t="s">
        <v>1940</v>
      </c>
      <c r="P19" s="283" t="s">
        <v>1989</v>
      </c>
      <c r="Q19" s="283" t="s">
        <v>2029</v>
      </c>
      <c r="R19" s="283" t="s">
        <v>2076</v>
      </c>
      <c r="S19" s="283" t="s">
        <v>2103</v>
      </c>
    </row>
    <row r="20" spans="1:19" ht="14.25" customHeight="1">
      <c r="A20" s="278" t="s">
        <v>1769</v>
      </c>
      <c r="B20" s="287" t="s">
        <v>1780</v>
      </c>
      <c r="C20" s="283">
        <v>27660</v>
      </c>
      <c r="D20" s="283">
        <v>24240</v>
      </c>
      <c r="E20" s="283">
        <v>24020</v>
      </c>
      <c r="F20" s="294"/>
      <c r="J20" s="283" t="s">
        <v>1788</v>
      </c>
      <c r="K20" s="283" t="s">
        <v>1808</v>
      </c>
      <c r="L20" s="283" t="s">
        <v>1829</v>
      </c>
      <c r="M20" s="283" t="s">
        <v>1857</v>
      </c>
      <c r="N20" s="283" t="s">
        <v>1892</v>
      </c>
      <c r="O20" s="283" t="s">
        <v>1941</v>
      </c>
      <c r="P20" s="283" t="s">
        <v>1990</v>
      </c>
      <c r="Q20" s="283" t="s">
        <v>2030</v>
      </c>
      <c r="R20" s="283" t="s">
        <v>2077</v>
      </c>
      <c r="S20" s="283" t="s">
        <v>2104</v>
      </c>
    </row>
    <row r="21" spans="1:19" ht="14.25" customHeight="1">
      <c r="A21" s="278" t="s">
        <v>1769</v>
      </c>
      <c r="B21" s="287" t="s">
        <v>1781</v>
      </c>
      <c r="C21" s="283">
        <v>24720</v>
      </c>
      <c r="D21" s="283">
        <v>21670</v>
      </c>
      <c r="E21" s="283">
        <v>21510</v>
      </c>
      <c r="F21" s="294"/>
      <c r="K21" s="283" t="s">
        <v>1809</v>
      </c>
      <c r="L21" s="283" t="s">
        <v>1830</v>
      </c>
      <c r="M21" s="283" t="s">
        <v>1858</v>
      </c>
      <c r="N21" s="283" t="s">
        <v>1893</v>
      </c>
      <c r="O21" s="283" t="s">
        <v>1942</v>
      </c>
      <c r="P21" s="283" t="s">
        <v>1991</v>
      </c>
      <c r="Q21" s="283" t="s">
        <v>2031</v>
      </c>
      <c r="R21" s="283" t="s">
        <v>2078</v>
      </c>
      <c r="S21" s="283" t="s">
        <v>2105</v>
      </c>
    </row>
    <row r="22" spans="1:19" ht="14.25" customHeight="1">
      <c r="A22" s="278" t="s">
        <v>1769</v>
      </c>
      <c r="B22" s="287" t="s">
        <v>1782</v>
      </c>
      <c r="C22" s="283">
        <v>26530</v>
      </c>
      <c r="D22" s="283">
        <v>22980</v>
      </c>
      <c r="E22" s="283">
        <v>22650</v>
      </c>
      <c r="F22" s="294"/>
      <c r="L22" s="283" t="s">
        <v>1831</v>
      </c>
      <c r="M22" s="283" t="s">
        <v>1859</v>
      </c>
      <c r="N22" s="283" t="s">
        <v>1894</v>
      </c>
      <c r="O22" s="283" t="s">
        <v>1943</v>
      </c>
      <c r="P22" s="283" t="s">
        <v>1992</v>
      </c>
      <c r="Q22" s="283" t="s">
        <v>2032</v>
      </c>
      <c r="R22" s="283" t="s">
        <v>2079</v>
      </c>
      <c r="S22" s="287" t="s">
        <v>2106</v>
      </c>
    </row>
    <row r="23" spans="1:19" ht="14.25" customHeight="1">
      <c r="A23" s="278" t="s">
        <v>1769</v>
      </c>
      <c r="B23" s="287" t="s">
        <v>1783</v>
      </c>
      <c r="C23" s="283">
        <v>24700</v>
      </c>
      <c r="D23" s="283">
        <v>27290</v>
      </c>
      <c r="E23" s="283">
        <v>26710</v>
      </c>
      <c r="F23" s="294"/>
      <c r="L23" s="283" t="s">
        <v>1832</v>
      </c>
      <c r="M23" s="283" t="s">
        <v>1860</v>
      </c>
      <c r="N23" s="283" t="s">
        <v>1895</v>
      </c>
      <c r="O23" s="283" t="s">
        <v>1944</v>
      </c>
      <c r="P23" s="283" t="s">
        <v>1993</v>
      </c>
      <c r="Q23" s="283" t="s">
        <v>2033</v>
      </c>
      <c r="R23" s="283" t="s">
        <v>2080</v>
      </c>
    </row>
    <row r="24" spans="1:19" ht="14.25" customHeight="1">
      <c r="A24" s="278" t="s">
        <v>1769</v>
      </c>
      <c r="B24" s="287" t="s">
        <v>1784</v>
      </c>
      <c r="C24" s="283">
        <v>23070</v>
      </c>
      <c r="D24" s="283">
        <v>24130</v>
      </c>
      <c r="E24" s="283">
        <v>23860</v>
      </c>
      <c r="F24" s="294"/>
      <c r="L24" s="283" t="s">
        <v>1833</v>
      </c>
      <c r="M24" s="283" t="s">
        <v>1861</v>
      </c>
      <c r="N24" s="283" t="s">
        <v>1896</v>
      </c>
      <c r="O24" s="283" t="s">
        <v>1945</v>
      </c>
      <c r="P24" s="283" t="s">
        <v>1994</v>
      </c>
      <c r="Q24" s="283" t="s">
        <v>2034</v>
      </c>
      <c r="R24" s="283" t="s">
        <v>2081</v>
      </c>
    </row>
    <row r="25" spans="1:19" ht="14.25" customHeight="1">
      <c r="A25" s="278" t="s">
        <v>1769</v>
      </c>
      <c r="B25" s="287" t="s">
        <v>1785</v>
      </c>
      <c r="C25" s="283">
        <v>27550</v>
      </c>
      <c r="D25" s="283">
        <v>25850</v>
      </c>
      <c r="E25" s="283">
        <v>25340</v>
      </c>
      <c r="F25" s="294"/>
      <c r="L25" s="283" t="s">
        <v>1834</v>
      </c>
      <c r="M25" s="283" t="s">
        <v>1862</v>
      </c>
      <c r="N25" s="283" t="s">
        <v>1897</v>
      </c>
      <c r="O25" s="283" t="s">
        <v>1946</v>
      </c>
      <c r="P25" s="283" t="s">
        <v>1995</v>
      </c>
      <c r="Q25" s="283" t="s">
        <v>2035</v>
      </c>
      <c r="R25" s="283" t="s">
        <v>2082</v>
      </c>
    </row>
    <row r="26" spans="1:19" ht="14.25" customHeight="1">
      <c r="A26" s="278" t="s">
        <v>1769</v>
      </c>
      <c r="B26" s="287" t="s">
        <v>1786</v>
      </c>
      <c r="C26" s="283"/>
      <c r="D26" s="283">
        <v>23900</v>
      </c>
      <c r="E26" s="283">
        <v>23590</v>
      </c>
      <c r="F26" s="294"/>
      <c r="L26" s="283" t="s">
        <v>1835</v>
      </c>
      <c r="M26" s="283" t="s">
        <v>1863</v>
      </c>
      <c r="N26" s="283" t="s">
        <v>1898</v>
      </c>
      <c r="O26" s="283" t="s">
        <v>1947</v>
      </c>
      <c r="P26" s="283" t="s">
        <v>1996</v>
      </c>
      <c r="Q26" s="283" t="s">
        <v>2036</v>
      </c>
      <c r="R26" s="283" t="s">
        <v>2083</v>
      </c>
    </row>
    <row r="27" spans="1:19" ht="14.25" customHeight="1">
      <c r="A27" s="278" t="s">
        <v>1769</v>
      </c>
      <c r="B27" s="287" t="s">
        <v>1787</v>
      </c>
      <c r="C27" s="283"/>
      <c r="D27" s="283">
        <v>22850</v>
      </c>
      <c r="E27" s="283">
        <v>21920</v>
      </c>
      <c r="F27" s="294"/>
      <c r="L27" s="283" t="s">
        <v>1836</v>
      </c>
      <c r="M27" s="283" t="s">
        <v>1864</v>
      </c>
      <c r="N27" s="283" t="s">
        <v>1899</v>
      </c>
      <c r="O27" s="283" t="s">
        <v>1948</v>
      </c>
      <c r="P27" s="283" t="s">
        <v>1997</v>
      </c>
      <c r="Q27" s="283" t="s">
        <v>2037</v>
      </c>
      <c r="R27" s="283" t="s">
        <v>2084</v>
      </c>
    </row>
    <row r="28" spans="1:19" ht="14.25" customHeight="1">
      <c r="A28" s="296" t="s">
        <v>1769</v>
      </c>
      <c r="B28" s="288" t="s">
        <v>1788</v>
      </c>
      <c r="C28" s="289"/>
      <c r="D28" s="289">
        <v>26610</v>
      </c>
      <c r="E28" s="289">
        <v>26370</v>
      </c>
      <c r="F28" s="290"/>
      <c r="L28" s="283" t="s">
        <v>1837</v>
      </c>
      <c r="M28" s="283" t="s">
        <v>1865</v>
      </c>
      <c r="N28" s="283" t="s">
        <v>1900</v>
      </c>
      <c r="O28" s="283" t="s">
        <v>1949</v>
      </c>
      <c r="P28" s="283" t="s">
        <v>1998</v>
      </c>
      <c r="Q28" s="283" t="s">
        <v>2038</v>
      </c>
    </row>
    <row r="29" spans="1:19" ht="14.25" customHeight="1">
      <c r="A29" s="278" t="s">
        <v>1789</v>
      </c>
      <c r="B29" s="279" t="s">
        <v>1790</v>
      </c>
      <c r="C29" s="279">
        <v>22090</v>
      </c>
      <c r="D29" s="279">
        <v>21860</v>
      </c>
      <c r="E29" s="279">
        <v>19380</v>
      </c>
      <c r="F29" s="280">
        <v>6610</v>
      </c>
      <c r="M29" s="283" t="s">
        <v>1866</v>
      </c>
      <c r="N29" s="283" t="s">
        <v>1901</v>
      </c>
      <c r="O29" s="283" t="s">
        <v>1950</v>
      </c>
      <c r="P29" s="283" t="s">
        <v>1999</v>
      </c>
      <c r="Q29" s="283" t="s">
        <v>2039</v>
      </c>
    </row>
    <row r="30" spans="1:19" ht="14.25" customHeight="1">
      <c r="A30" s="278" t="s">
        <v>1789</v>
      </c>
      <c r="B30" s="287" t="s">
        <v>1791</v>
      </c>
      <c r="C30" s="283">
        <v>21380</v>
      </c>
      <c r="D30" s="283">
        <v>19930</v>
      </c>
      <c r="E30" s="283">
        <v>19860</v>
      </c>
      <c r="F30" s="291">
        <v>6010</v>
      </c>
      <c r="H30" s="295"/>
      <c r="M30" s="283" t="s">
        <v>1867</v>
      </c>
      <c r="N30" s="283" t="s">
        <v>1902</v>
      </c>
      <c r="O30" s="283" t="s">
        <v>1951</v>
      </c>
      <c r="P30" s="283" t="s">
        <v>2150</v>
      </c>
      <c r="Q30" s="283" t="s">
        <v>2040</v>
      </c>
    </row>
    <row r="31" spans="1:19" ht="14.25" customHeight="1">
      <c r="A31" s="278" t="s">
        <v>1789</v>
      </c>
      <c r="B31" s="287" t="s">
        <v>1792</v>
      </c>
      <c r="C31" s="283">
        <v>21670</v>
      </c>
      <c r="D31" s="283">
        <v>20660</v>
      </c>
      <c r="E31" s="283">
        <v>20290</v>
      </c>
      <c r="F31" s="291">
        <v>5840</v>
      </c>
      <c r="H31" s="295"/>
      <c r="M31" s="283" t="s">
        <v>1868</v>
      </c>
      <c r="N31" s="283" t="s">
        <v>1903</v>
      </c>
      <c r="O31" s="283" t="s">
        <v>1952</v>
      </c>
      <c r="P31" s="283" t="s">
        <v>2001</v>
      </c>
      <c r="Q31" s="283" t="s">
        <v>2041</v>
      </c>
    </row>
    <row r="32" spans="1:19" ht="14.25" customHeight="1">
      <c r="A32" s="278" t="s">
        <v>1789</v>
      </c>
      <c r="B32" s="287" t="s">
        <v>1793</v>
      </c>
      <c r="C32" s="283">
        <v>22280</v>
      </c>
      <c r="D32" s="283">
        <v>21800</v>
      </c>
      <c r="E32" s="283">
        <v>17650</v>
      </c>
      <c r="F32" s="291">
        <v>4690</v>
      </c>
      <c r="H32" s="295"/>
      <c r="M32" s="283" t="s">
        <v>1869</v>
      </c>
      <c r="N32" s="283" t="s">
        <v>1904</v>
      </c>
      <c r="O32" s="283" t="s">
        <v>1953</v>
      </c>
      <c r="P32" s="283" t="s">
        <v>2002</v>
      </c>
      <c r="Q32" s="283" t="s">
        <v>2042</v>
      </c>
    </row>
    <row r="33" spans="1:17" ht="14.25" customHeight="1">
      <c r="A33" s="278" t="s">
        <v>1789</v>
      </c>
      <c r="B33" s="287" t="s">
        <v>1794</v>
      </c>
      <c r="C33" s="283">
        <v>22130</v>
      </c>
      <c r="D33" s="283">
        <v>20460</v>
      </c>
      <c r="E33" s="283">
        <v>18500</v>
      </c>
      <c r="F33" s="291">
        <v>5340</v>
      </c>
      <c r="H33" s="295"/>
      <c r="M33" s="283" t="s">
        <v>1870</v>
      </c>
      <c r="N33" s="283" t="s">
        <v>1905</v>
      </c>
      <c r="O33" s="283" t="s">
        <v>1954</v>
      </c>
      <c r="P33" s="283" t="s">
        <v>2003</v>
      </c>
      <c r="Q33" s="283" t="s">
        <v>2043</v>
      </c>
    </row>
    <row r="34" spans="1:17" ht="14.25" customHeight="1">
      <c r="A34" s="278" t="s">
        <v>1789</v>
      </c>
      <c r="B34" s="287" t="s">
        <v>1795</v>
      </c>
      <c r="C34" s="283">
        <v>22070</v>
      </c>
      <c r="D34" s="283">
        <v>20110</v>
      </c>
      <c r="E34" s="283">
        <v>18830</v>
      </c>
      <c r="F34" s="291">
        <v>5190</v>
      </c>
      <c r="H34" s="295"/>
      <c r="M34" s="283" t="s">
        <v>1871</v>
      </c>
      <c r="N34" s="283" t="s">
        <v>1906</v>
      </c>
      <c r="O34" s="283" t="s">
        <v>1955</v>
      </c>
      <c r="P34" s="283" t="s">
        <v>2004</v>
      </c>
      <c r="Q34" s="283" t="s">
        <v>2044</v>
      </c>
    </row>
    <row r="35" spans="1:17" ht="14.25" customHeight="1">
      <c r="A35" s="278" t="s">
        <v>1789</v>
      </c>
      <c r="B35" s="287" t="s">
        <v>1796</v>
      </c>
      <c r="C35" s="283">
        <v>22240</v>
      </c>
      <c r="D35" s="283">
        <v>19550</v>
      </c>
      <c r="E35" s="283">
        <v>19220</v>
      </c>
      <c r="F35" s="291">
        <v>5800</v>
      </c>
      <c r="H35" s="295"/>
      <c r="M35" s="283" t="s">
        <v>1872</v>
      </c>
      <c r="N35" s="283" t="s">
        <v>1907</v>
      </c>
      <c r="O35" s="283" t="s">
        <v>1956</v>
      </c>
      <c r="P35" s="283" t="s">
        <v>2005</v>
      </c>
      <c r="Q35" s="283" t="s">
        <v>2045</v>
      </c>
    </row>
    <row r="36" spans="1:17" ht="14.25" customHeight="1">
      <c r="A36" s="278" t="s">
        <v>1789</v>
      </c>
      <c r="B36" s="287" t="s">
        <v>1797</v>
      </c>
      <c r="C36" s="283">
        <v>19750</v>
      </c>
      <c r="D36" s="283">
        <v>19790</v>
      </c>
      <c r="E36" s="283">
        <v>18510</v>
      </c>
      <c r="F36" s="291">
        <v>6520</v>
      </c>
      <c r="H36" s="295"/>
      <c r="N36" s="283" t="s">
        <v>1908</v>
      </c>
      <c r="O36" s="283" t="s">
        <v>1957</v>
      </c>
      <c r="P36" s="283" t="s">
        <v>2006</v>
      </c>
      <c r="Q36" s="283" t="s">
        <v>2046</v>
      </c>
    </row>
    <row r="37" spans="1:17" ht="14.25" customHeight="1">
      <c r="A37" s="278" t="s">
        <v>1789</v>
      </c>
      <c r="B37" s="287" t="s">
        <v>1798</v>
      </c>
      <c r="C37" s="283">
        <v>22380</v>
      </c>
      <c r="D37" s="283">
        <v>18530</v>
      </c>
      <c r="E37" s="283">
        <v>17930</v>
      </c>
      <c r="F37" s="291">
        <v>6270</v>
      </c>
      <c r="H37" s="297"/>
      <c r="N37" s="283" t="s">
        <v>1909</v>
      </c>
      <c r="O37" s="283" t="s">
        <v>1958</v>
      </c>
      <c r="P37" s="283" t="s">
        <v>2007</v>
      </c>
      <c r="Q37" s="283" t="s">
        <v>2047</v>
      </c>
    </row>
    <row r="38" spans="1:17" ht="14.25" customHeight="1">
      <c r="A38" s="278" t="s">
        <v>1789</v>
      </c>
      <c r="B38" s="287" t="s">
        <v>1799</v>
      </c>
      <c r="C38" s="283">
        <v>20200</v>
      </c>
      <c r="D38" s="283">
        <v>20070</v>
      </c>
      <c r="E38" s="283">
        <v>19950</v>
      </c>
      <c r="F38" s="291"/>
      <c r="H38" s="298"/>
      <c r="N38" s="283" t="s">
        <v>1910</v>
      </c>
      <c r="O38" s="283" t="s">
        <v>1959</v>
      </c>
      <c r="P38" s="283" t="s">
        <v>2008</v>
      </c>
      <c r="Q38" s="283" t="s">
        <v>2048</v>
      </c>
    </row>
    <row r="39" spans="1:17" ht="14.25" customHeight="1">
      <c r="A39" s="278" t="s">
        <v>1789</v>
      </c>
      <c r="B39" s="287" t="s">
        <v>1800</v>
      </c>
      <c r="C39" s="283">
        <v>19300</v>
      </c>
      <c r="D39" s="283">
        <v>20360</v>
      </c>
      <c r="E39" s="283">
        <v>20230</v>
      </c>
      <c r="F39" s="291"/>
      <c r="H39" s="298"/>
      <c r="N39" s="283" t="s">
        <v>1911</v>
      </c>
      <c r="O39" s="283" t="s">
        <v>1960</v>
      </c>
      <c r="P39" s="283" t="s">
        <v>2009</v>
      </c>
      <c r="Q39" s="283" t="s">
        <v>2049</v>
      </c>
    </row>
    <row r="40" spans="1:17" ht="14.25" customHeight="1">
      <c r="A40" s="278" t="s">
        <v>1789</v>
      </c>
      <c r="B40" s="287" t="s">
        <v>1801</v>
      </c>
      <c r="C40" s="283">
        <v>20210</v>
      </c>
      <c r="D40" s="283">
        <v>19060</v>
      </c>
      <c r="E40" s="283">
        <v>18890</v>
      </c>
      <c r="F40" s="291"/>
      <c r="H40" s="298"/>
      <c r="N40" s="283" t="s">
        <v>1912</v>
      </c>
      <c r="O40" s="283" t="s">
        <v>1961</v>
      </c>
      <c r="P40" s="283" t="s">
        <v>2010</v>
      </c>
      <c r="Q40" s="283" t="s">
        <v>2050</v>
      </c>
    </row>
    <row r="41" spans="1:17" ht="14.25" customHeight="1">
      <c r="A41" s="278" t="s">
        <v>1789</v>
      </c>
      <c r="B41" s="287" t="s">
        <v>1802</v>
      </c>
      <c r="C41" s="283">
        <v>20560</v>
      </c>
      <c r="D41" s="283">
        <v>21040</v>
      </c>
      <c r="E41" s="283">
        <v>20740</v>
      </c>
      <c r="F41" s="291"/>
      <c r="H41" s="298"/>
      <c r="N41" s="287" t="s">
        <v>1913</v>
      </c>
      <c r="O41" s="287" t="s">
        <v>1962</v>
      </c>
      <c r="Q41" s="287" t="s">
        <v>2051</v>
      </c>
    </row>
    <row r="42" spans="1:17" ht="14.25" customHeight="1">
      <c r="A42" s="278" t="s">
        <v>1789</v>
      </c>
      <c r="B42" s="287" t="s">
        <v>1803</v>
      </c>
      <c r="C42" s="283">
        <v>19280</v>
      </c>
      <c r="D42" s="283">
        <v>22940</v>
      </c>
      <c r="E42" s="283">
        <v>22500</v>
      </c>
      <c r="F42" s="291"/>
      <c r="H42" s="298"/>
      <c r="N42" s="283" t="s">
        <v>1914</v>
      </c>
      <c r="O42" s="283" t="s">
        <v>1963</v>
      </c>
      <c r="Q42" s="283" t="s">
        <v>2052</v>
      </c>
    </row>
    <row r="43" spans="1:17" ht="14.25" customHeight="1">
      <c r="A43" s="278" t="s">
        <v>1789</v>
      </c>
      <c r="B43" s="287" t="s">
        <v>1804</v>
      </c>
      <c r="C43" s="283">
        <v>21520</v>
      </c>
      <c r="D43" s="283">
        <v>19230</v>
      </c>
      <c r="E43" s="283">
        <v>18540</v>
      </c>
      <c r="F43" s="291"/>
      <c r="H43" s="298"/>
      <c r="N43" s="283" t="s">
        <v>1915</v>
      </c>
      <c r="O43" s="283" t="s">
        <v>1964</v>
      </c>
      <c r="Q43" s="283" t="s">
        <v>2053</v>
      </c>
    </row>
    <row r="44" spans="1:17" ht="14.25" customHeight="1">
      <c r="A44" s="278" t="s">
        <v>1789</v>
      </c>
      <c r="B44" s="287" t="s">
        <v>1805</v>
      </c>
      <c r="C44" s="283">
        <v>23260</v>
      </c>
      <c r="D44" s="283">
        <v>21180</v>
      </c>
      <c r="E44" s="283">
        <v>20730</v>
      </c>
      <c r="F44" s="291"/>
      <c r="H44" s="298"/>
      <c r="N44" s="283" t="s">
        <v>1916</v>
      </c>
      <c r="O44" s="283" t="s">
        <v>1965</v>
      </c>
      <c r="Q44" s="283" t="s">
        <v>2054</v>
      </c>
    </row>
    <row r="45" spans="1:17" ht="14.25" customHeight="1">
      <c r="A45" s="278" t="s">
        <v>1789</v>
      </c>
      <c r="B45" s="287" t="s">
        <v>1806</v>
      </c>
      <c r="C45" s="283">
        <v>19610</v>
      </c>
      <c r="D45" s="283">
        <v>18090</v>
      </c>
      <c r="E45" s="283">
        <v>17970</v>
      </c>
      <c r="F45" s="291"/>
      <c r="H45" s="295"/>
      <c r="N45" s="283" t="s">
        <v>1917</v>
      </c>
      <c r="O45" s="283" t="s">
        <v>1966</v>
      </c>
      <c r="Q45" s="283" t="s">
        <v>2055</v>
      </c>
    </row>
    <row r="46" spans="1:17" ht="14.25" customHeight="1">
      <c r="A46" s="278" t="s">
        <v>1789</v>
      </c>
      <c r="B46" s="287" t="s">
        <v>1807</v>
      </c>
      <c r="C46" s="283">
        <v>21660</v>
      </c>
      <c r="D46" s="283">
        <v>19190</v>
      </c>
      <c r="E46" s="283">
        <v>19790</v>
      </c>
      <c r="F46" s="291"/>
      <c r="H46" s="298"/>
      <c r="N46" s="283" t="s">
        <v>1918</v>
      </c>
      <c r="O46" s="283" t="s">
        <v>1967</v>
      </c>
      <c r="Q46" s="283" t="s">
        <v>2056</v>
      </c>
    </row>
    <row r="47" spans="1:17" ht="14.25" customHeight="1">
      <c r="A47" s="278" t="s">
        <v>1789</v>
      </c>
      <c r="B47" s="287" t="s">
        <v>1808</v>
      </c>
      <c r="C47" s="283">
        <v>18220</v>
      </c>
      <c r="D47" s="283"/>
      <c r="E47" s="283">
        <v>17220</v>
      </c>
      <c r="F47" s="291"/>
      <c r="H47" s="298"/>
      <c r="N47" s="283" t="s">
        <v>1919</v>
      </c>
      <c r="O47" s="283" t="s">
        <v>1968</v>
      </c>
    </row>
    <row r="48" spans="1:17" ht="14.25" customHeight="1">
      <c r="A48" s="278" t="s">
        <v>1789</v>
      </c>
      <c r="B48" s="288" t="s">
        <v>1809</v>
      </c>
      <c r="C48" s="289">
        <v>19430</v>
      </c>
      <c r="D48" s="289"/>
      <c r="E48" s="289">
        <v>17830</v>
      </c>
      <c r="F48" s="299"/>
      <c r="H48" s="295"/>
      <c r="N48" s="283" t="s">
        <v>1920</v>
      </c>
      <c r="O48" s="283" t="s">
        <v>1969</v>
      </c>
    </row>
    <row r="49" spans="1:15" ht="14.25" customHeight="1">
      <c r="A49" s="278" t="s">
        <v>1810</v>
      </c>
      <c r="B49" s="279" t="s">
        <v>1811</v>
      </c>
      <c r="C49" s="279">
        <v>17090</v>
      </c>
      <c r="D49" s="279">
        <v>16950</v>
      </c>
      <c r="E49" s="279">
        <v>16310</v>
      </c>
      <c r="F49" s="280">
        <v>4540</v>
      </c>
      <c r="H49" s="298"/>
      <c r="N49" s="283" t="s">
        <v>1921</v>
      </c>
      <c r="O49" s="283" t="s">
        <v>1970</v>
      </c>
    </row>
    <row r="50" spans="1:15" ht="14.25" customHeight="1">
      <c r="A50" s="278" t="s">
        <v>1810</v>
      </c>
      <c r="B50" s="283" t="s">
        <v>1812</v>
      </c>
      <c r="C50" s="283">
        <v>19040</v>
      </c>
      <c r="D50" s="283">
        <v>16960</v>
      </c>
      <c r="E50" s="283">
        <v>14800</v>
      </c>
      <c r="F50" s="291">
        <v>3940</v>
      </c>
      <c r="H50" s="298"/>
    </row>
    <row r="51" spans="1:15" ht="14.25" customHeight="1">
      <c r="A51" s="278" t="s">
        <v>1810</v>
      </c>
      <c r="B51" s="283" t="s">
        <v>1813</v>
      </c>
      <c r="C51" s="283">
        <v>17040</v>
      </c>
      <c r="D51" s="283">
        <v>16930</v>
      </c>
      <c r="E51" s="283">
        <v>15030</v>
      </c>
      <c r="F51" s="291">
        <v>4120</v>
      </c>
      <c r="H51" s="298"/>
    </row>
    <row r="52" spans="1:15" ht="14.25" customHeight="1">
      <c r="A52" s="278" t="s">
        <v>1810</v>
      </c>
      <c r="B52" s="283" t="s">
        <v>1814</v>
      </c>
      <c r="C52" s="283">
        <v>17110</v>
      </c>
      <c r="D52" s="283">
        <v>17750</v>
      </c>
      <c r="E52" s="283">
        <v>17310</v>
      </c>
      <c r="F52" s="291">
        <v>3220</v>
      </c>
      <c r="H52" s="298"/>
    </row>
    <row r="53" spans="1:15" ht="14.25" customHeight="1">
      <c r="A53" s="278" t="s">
        <v>1810</v>
      </c>
      <c r="B53" s="283" t="s">
        <v>1815</v>
      </c>
      <c r="C53" s="283">
        <v>17810</v>
      </c>
      <c r="D53" s="283">
        <v>17260</v>
      </c>
      <c r="E53" s="283">
        <v>17090</v>
      </c>
      <c r="F53" s="291">
        <v>3520</v>
      </c>
      <c r="H53" s="298"/>
    </row>
    <row r="54" spans="1:15" ht="14.25" customHeight="1">
      <c r="A54" s="278" t="s">
        <v>1810</v>
      </c>
      <c r="B54" s="283" t="s">
        <v>1816</v>
      </c>
      <c r="C54" s="283">
        <v>17410</v>
      </c>
      <c r="D54" s="283">
        <v>16780</v>
      </c>
      <c r="E54" s="283">
        <v>16370</v>
      </c>
      <c r="F54" s="291">
        <v>3410</v>
      </c>
      <c r="H54" s="298"/>
    </row>
    <row r="55" spans="1:15" ht="14.25" customHeight="1">
      <c r="A55" s="278" t="s">
        <v>1810</v>
      </c>
      <c r="B55" s="283" t="s">
        <v>1817</v>
      </c>
      <c r="C55" s="283">
        <v>16930</v>
      </c>
      <c r="D55" s="283">
        <v>14720</v>
      </c>
      <c r="E55" s="283">
        <v>15000</v>
      </c>
      <c r="F55" s="291">
        <v>3710</v>
      </c>
      <c r="H55" s="298"/>
    </row>
    <row r="56" spans="1:15" ht="14.25" customHeight="1">
      <c r="A56" s="278" t="s">
        <v>1810</v>
      </c>
      <c r="B56" s="283" t="s">
        <v>1818</v>
      </c>
      <c r="C56" s="283">
        <v>14930</v>
      </c>
      <c r="D56" s="283">
        <v>15850</v>
      </c>
      <c r="E56" s="283">
        <v>14320</v>
      </c>
      <c r="F56" s="291">
        <v>3960</v>
      </c>
      <c r="H56" s="298"/>
    </row>
    <row r="57" spans="1:15" ht="14.25" customHeight="1">
      <c r="A57" s="278" t="s">
        <v>1810</v>
      </c>
      <c r="B57" s="283" t="s">
        <v>1819</v>
      </c>
      <c r="C57" s="283">
        <v>16160</v>
      </c>
      <c r="D57" s="283">
        <v>16190</v>
      </c>
      <c r="E57" s="283">
        <v>15650</v>
      </c>
      <c r="F57" s="291">
        <v>4200</v>
      </c>
      <c r="H57" s="298"/>
    </row>
    <row r="58" spans="1:15" ht="14.25" customHeight="1">
      <c r="A58" s="278" t="s">
        <v>1810</v>
      </c>
      <c r="B58" s="283" t="s">
        <v>1820</v>
      </c>
      <c r="C58" s="283">
        <v>16360</v>
      </c>
      <c r="D58" s="283">
        <v>14050</v>
      </c>
      <c r="E58" s="283">
        <v>16070</v>
      </c>
      <c r="F58" s="291">
        <v>3990</v>
      </c>
      <c r="H58" s="298"/>
    </row>
    <row r="59" spans="1:15" ht="14.25" customHeight="1">
      <c r="A59" s="278" t="s">
        <v>1810</v>
      </c>
      <c r="B59" s="283" t="s">
        <v>1821</v>
      </c>
      <c r="C59" s="283">
        <v>14160</v>
      </c>
      <c r="D59" s="283">
        <v>16620</v>
      </c>
      <c r="E59" s="283">
        <v>13940</v>
      </c>
      <c r="F59" s="291">
        <v>4260</v>
      </c>
      <c r="H59" s="298"/>
    </row>
    <row r="60" spans="1:15" ht="14.25" customHeight="1">
      <c r="A60" s="278" t="s">
        <v>1810</v>
      </c>
      <c r="B60" s="283" t="s">
        <v>1822</v>
      </c>
      <c r="C60" s="283">
        <v>16750</v>
      </c>
      <c r="D60" s="283">
        <v>13910</v>
      </c>
      <c r="E60" s="283">
        <v>16550</v>
      </c>
      <c r="F60" s="291">
        <v>4550</v>
      </c>
      <c r="H60" s="298"/>
    </row>
    <row r="61" spans="1:15" ht="14.25" customHeight="1">
      <c r="A61" s="278" t="s">
        <v>1810</v>
      </c>
      <c r="B61" s="283" t="s">
        <v>1823</v>
      </c>
      <c r="C61" s="283">
        <v>14000</v>
      </c>
      <c r="D61" s="283">
        <v>14550</v>
      </c>
      <c r="E61" s="283">
        <v>13860</v>
      </c>
      <c r="F61" s="300"/>
      <c r="H61" s="298"/>
    </row>
    <row r="62" spans="1:15" ht="14.25" customHeight="1">
      <c r="A62" s="278" t="s">
        <v>1810</v>
      </c>
      <c r="B62" s="283" t="s">
        <v>1824</v>
      </c>
      <c r="C62" s="283">
        <v>14660</v>
      </c>
      <c r="D62" s="283">
        <v>17450</v>
      </c>
      <c r="E62" s="283">
        <v>14470</v>
      </c>
      <c r="F62" s="300"/>
      <c r="H62" s="298"/>
    </row>
    <row r="63" spans="1:15" ht="14.25" customHeight="1">
      <c r="A63" s="278" t="s">
        <v>1810</v>
      </c>
      <c r="B63" s="283" t="s">
        <v>1825</v>
      </c>
      <c r="C63" s="283">
        <v>17610</v>
      </c>
      <c r="D63" s="283">
        <v>16500</v>
      </c>
      <c r="E63" s="283">
        <v>17330</v>
      </c>
      <c r="F63" s="300"/>
      <c r="H63" s="298"/>
    </row>
    <row r="64" spans="1:15" ht="14.25" customHeight="1">
      <c r="A64" s="278" t="s">
        <v>1810</v>
      </c>
      <c r="B64" s="283" t="s">
        <v>1826</v>
      </c>
      <c r="C64" s="283">
        <v>16590</v>
      </c>
      <c r="D64" s="283">
        <v>15130</v>
      </c>
      <c r="E64" s="283">
        <v>16420</v>
      </c>
      <c r="F64" s="300"/>
      <c r="H64" s="298"/>
    </row>
    <row r="65" spans="1:8" s="269" customFormat="1" ht="14.25" customHeight="1">
      <c r="A65" s="278" t="s">
        <v>1810</v>
      </c>
      <c r="B65" s="283" t="s">
        <v>1827</v>
      </c>
      <c r="C65" s="283">
        <v>15220</v>
      </c>
      <c r="D65" s="283">
        <v>14660</v>
      </c>
      <c r="E65" s="283">
        <v>15060</v>
      </c>
      <c r="F65" s="291"/>
      <c r="H65" s="298"/>
    </row>
    <row r="66" spans="1:8" s="269" customFormat="1" ht="14.25" customHeight="1">
      <c r="A66" s="278" t="s">
        <v>1810</v>
      </c>
      <c r="B66" s="283" t="s">
        <v>1828</v>
      </c>
      <c r="C66" s="283">
        <v>14720</v>
      </c>
      <c r="D66" s="283">
        <v>15970</v>
      </c>
      <c r="E66" s="283">
        <v>14610</v>
      </c>
      <c r="F66" s="291"/>
      <c r="H66" s="298"/>
    </row>
    <row r="67" spans="1:8" s="269" customFormat="1" ht="14.25" customHeight="1">
      <c r="A67" s="278" t="s">
        <v>1810</v>
      </c>
      <c r="B67" s="283" t="s">
        <v>1829</v>
      </c>
      <c r="C67" s="283">
        <v>16080</v>
      </c>
      <c r="D67" s="283">
        <v>14840</v>
      </c>
      <c r="E67" s="283">
        <v>15630</v>
      </c>
      <c r="F67" s="291"/>
      <c r="H67" s="298"/>
    </row>
    <row r="68" spans="1:8" s="269" customFormat="1" ht="14.25" customHeight="1">
      <c r="A68" s="278" t="s">
        <v>1810</v>
      </c>
      <c r="B68" s="283" t="s">
        <v>1830</v>
      </c>
      <c r="C68" s="283">
        <v>14940</v>
      </c>
      <c r="D68" s="283">
        <v>18000</v>
      </c>
      <c r="E68" s="283">
        <v>14040</v>
      </c>
      <c r="F68" s="291"/>
      <c r="H68" s="298"/>
    </row>
    <row r="69" spans="1:8" s="269" customFormat="1" ht="14.25" customHeight="1">
      <c r="A69" s="278" t="s">
        <v>1810</v>
      </c>
      <c r="B69" s="283" t="s">
        <v>1831</v>
      </c>
      <c r="C69" s="283">
        <v>18810</v>
      </c>
      <c r="D69" s="283">
        <v>15100</v>
      </c>
      <c r="E69" s="283">
        <v>14710</v>
      </c>
      <c r="F69" s="291"/>
      <c r="H69" s="298"/>
    </row>
    <row r="70" spans="1:8" s="269" customFormat="1" ht="14.25" customHeight="1">
      <c r="A70" s="278" t="s">
        <v>1810</v>
      </c>
      <c r="B70" s="283" t="s">
        <v>1832</v>
      </c>
      <c r="C70" s="283">
        <v>18270</v>
      </c>
      <c r="D70" s="283"/>
      <c r="E70" s="283"/>
      <c r="F70" s="291"/>
      <c r="H70" s="298"/>
    </row>
    <row r="71" spans="1:8" s="269" customFormat="1" ht="14.25" customHeight="1">
      <c r="A71" s="278" t="s">
        <v>1810</v>
      </c>
      <c r="B71" s="283" t="s">
        <v>1833</v>
      </c>
      <c r="C71" s="283">
        <v>15230</v>
      </c>
      <c r="D71" s="283"/>
      <c r="E71" s="283"/>
      <c r="F71" s="291"/>
      <c r="H71" s="298"/>
    </row>
    <row r="72" spans="1:8" s="269" customFormat="1" ht="14.25" customHeight="1">
      <c r="A72" s="278" t="s">
        <v>1810</v>
      </c>
      <c r="B72" s="283" t="s">
        <v>1834</v>
      </c>
      <c r="C72" s="283"/>
      <c r="D72" s="283"/>
      <c r="E72" s="283"/>
      <c r="F72" s="291">
        <v>4120</v>
      </c>
      <c r="H72" s="298"/>
    </row>
    <row r="73" spans="1:8" s="269" customFormat="1" ht="14.25" customHeight="1">
      <c r="A73" s="278" t="s">
        <v>1810</v>
      </c>
      <c r="B73" s="283" t="s">
        <v>1835</v>
      </c>
      <c r="C73" s="283"/>
      <c r="D73" s="283"/>
      <c r="E73" s="283"/>
      <c r="F73" s="291">
        <v>3930</v>
      </c>
      <c r="H73" s="298"/>
    </row>
    <row r="74" spans="1:8" s="269" customFormat="1" ht="14.25" customHeight="1">
      <c r="A74" s="278" t="s">
        <v>1810</v>
      </c>
      <c r="B74" s="283" t="s">
        <v>1836</v>
      </c>
      <c r="C74" s="283"/>
      <c r="D74" s="283"/>
      <c r="E74" s="283"/>
      <c r="F74" s="291">
        <v>4060</v>
      </c>
      <c r="H74" s="298"/>
    </row>
    <row r="75" spans="1:8" s="269" customFormat="1" ht="14.25" customHeight="1">
      <c r="A75" s="278" t="s">
        <v>1810</v>
      </c>
      <c r="B75" s="289" t="s">
        <v>1837</v>
      </c>
      <c r="C75" s="289"/>
      <c r="D75" s="289"/>
      <c r="E75" s="289"/>
      <c r="F75" s="299">
        <v>3750</v>
      </c>
      <c r="H75" s="298"/>
    </row>
    <row r="76" spans="1:8" s="269" customFormat="1" ht="14.25" customHeight="1">
      <c r="A76" s="278" t="s">
        <v>1838</v>
      </c>
      <c r="B76" s="279" t="s">
        <v>1839</v>
      </c>
      <c r="C76" s="279">
        <v>14690</v>
      </c>
      <c r="D76" s="279">
        <v>14640</v>
      </c>
      <c r="E76" s="279">
        <v>14590</v>
      </c>
      <c r="F76" s="280">
        <v>3060</v>
      </c>
      <c r="H76" s="298"/>
    </row>
    <row r="77" spans="1:8" s="269" customFormat="1" ht="14.25" customHeight="1">
      <c r="A77" s="278" t="s">
        <v>1838</v>
      </c>
      <c r="B77" s="283" t="s">
        <v>1840</v>
      </c>
      <c r="C77" s="283">
        <v>12550</v>
      </c>
      <c r="D77" s="283">
        <v>12480</v>
      </c>
      <c r="E77" s="283">
        <v>12450</v>
      </c>
      <c r="F77" s="291">
        <v>2590</v>
      </c>
      <c r="H77" s="298"/>
    </row>
    <row r="78" spans="1:8" s="269" customFormat="1" ht="14.25" customHeight="1">
      <c r="A78" s="278" t="s">
        <v>1838</v>
      </c>
      <c r="B78" s="283" t="s">
        <v>1841</v>
      </c>
      <c r="C78" s="283">
        <v>14360</v>
      </c>
      <c r="D78" s="283">
        <v>14320</v>
      </c>
      <c r="E78" s="283">
        <v>12510</v>
      </c>
      <c r="F78" s="291">
        <v>2700</v>
      </c>
      <c r="H78" s="298"/>
    </row>
    <row r="79" spans="1:8" s="269" customFormat="1" ht="14.25" customHeight="1">
      <c r="A79" s="278" t="s">
        <v>1838</v>
      </c>
      <c r="B79" s="283" t="s">
        <v>1842</v>
      </c>
      <c r="C79" s="283">
        <v>12590</v>
      </c>
      <c r="D79" s="283">
        <v>12540</v>
      </c>
      <c r="E79" s="283">
        <v>12350</v>
      </c>
      <c r="F79" s="291">
        <v>2740</v>
      </c>
      <c r="H79" s="298"/>
    </row>
    <row r="80" spans="1:8" s="269" customFormat="1" ht="14.25" customHeight="1">
      <c r="A80" s="278" t="s">
        <v>1838</v>
      </c>
      <c r="B80" s="283" t="s">
        <v>1843</v>
      </c>
      <c r="C80" s="283">
        <v>12450</v>
      </c>
      <c r="D80" s="283">
        <v>12370</v>
      </c>
      <c r="E80" s="283">
        <v>10790</v>
      </c>
      <c r="F80" s="291">
        <v>2290</v>
      </c>
      <c r="H80" s="298"/>
    </row>
    <row r="81" spans="1:8" s="269" customFormat="1" ht="14.25" customHeight="1">
      <c r="A81" s="278" t="s">
        <v>1838</v>
      </c>
      <c r="B81" s="283" t="s">
        <v>1844</v>
      </c>
      <c r="C81" s="283">
        <v>14210</v>
      </c>
      <c r="D81" s="283">
        <v>14150</v>
      </c>
      <c r="E81" s="283">
        <v>12730</v>
      </c>
      <c r="F81" s="291">
        <v>2240</v>
      </c>
      <c r="H81" s="298"/>
    </row>
    <row r="82" spans="1:8" s="269" customFormat="1" ht="14.25" customHeight="1">
      <c r="A82" s="278" t="s">
        <v>1838</v>
      </c>
      <c r="B82" s="283" t="s">
        <v>1845</v>
      </c>
      <c r="C82" s="283">
        <v>10860</v>
      </c>
      <c r="D82" s="283">
        <v>10820</v>
      </c>
      <c r="E82" s="283">
        <v>14720</v>
      </c>
      <c r="F82" s="291">
        <v>2490</v>
      </c>
      <c r="H82" s="298"/>
    </row>
    <row r="83" spans="1:8" s="269" customFormat="1" ht="14.25" customHeight="1">
      <c r="A83" s="278" t="s">
        <v>1838</v>
      </c>
      <c r="B83" s="283" t="s">
        <v>1846</v>
      </c>
      <c r="C83" s="283">
        <v>12810</v>
      </c>
      <c r="D83" s="283">
        <v>12760</v>
      </c>
      <c r="E83" s="283">
        <v>14830</v>
      </c>
      <c r="F83" s="291">
        <v>2450</v>
      </c>
      <c r="H83" s="298"/>
    </row>
    <row r="84" spans="1:8" s="269" customFormat="1" ht="14.25" customHeight="1">
      <c r="A84" s="278" t="s">
        <v>1838</v>
      </c>
      <c r="B84" s="283" t="s">
        <v>1847</v>
      </c>
      <c r="C84" s="283">
        <v>14950</v>
      </c>
      <c r="D84" s="283">
        <v>14810</v>
      </c>
      <c r="E84" s="283">
        <v>12590</v>
      </c>
      <c r="F84" s="291">
        <v>2540</v>
      </c>
      <c r="H84" s="298"/>
    </row>
    <row r="85" spans="1:8" s="269" customFormat="1" ht="14.25" customHeight="1">
      <c r="A85" s="278" t="s">
        <v>1838</v>
      </c>
      <c r="B85" s="283" t="s">
        <v>1848</v>
      </c>
      <c r="C85" s="283">
        <v>14960</v>
      </c>
      <c r="D85" s="283">
        <v>14890</v>
      </c>
      <c r="E85" s="283">
        <v>12840</v>
      </c>
      <c r="F85" s="291">
        <v>2840</v>
      </c>
      <c r="H85" s="298"/>
    </row>
    <row r="86" spans="1:8" s="269" customFormat="1" ht="14.25" customHeight="1">
      <c r="A86" s="278" t="s">
        <v>1838</v>
      </c>
      <c r="B86" s="283" t="s">
        <v>1849</v>
      </c>
      <c r="C86" s="283">
        <v>12730</v>
      </c>
      <c r="D86" s="283">
        <v>12660</v>
      </c>
      <c r="E86" s="283">
        <v>13310</v>
      </c>
      <c r="F86" s="291">
        <v>3140</v>
      </c>
      <c r="H86" s="298"/>
    </row>
    <row r="87" spans="1:8" s="269" customFormat="1" ht="14.25" customHeight="1">
      <c r="A87" s="278" t="s">
        <v>1838</v>
      </c>
      <c r="B87" s="283" t="s">
        <v>1850</v>
      </c>
      <c r="C87" s="283">
        <v>12940</v>
      </c>
      <c r="D87" s="283">
        <v>12890</v>
      </c>
      <c r="E87" s="283">
        <v>11580</v>
      </c>
      <c r="F87" s="300"/>
      <c r="H87" s="298"/>
    </row>
    <row r="88" spans="1:8" s="269" customFormat="1" ht="14.25" customHeight="1">
      <c r="A88" s="278" t="s">
        <v>1838</v>
      </c>
      <c r="B88" s="283" t="s">
        <v>1851</v>
      </c>
      <c r="C88" s="283">
        <v>13430</v>
      </c>
      <c r="D88" s="283">
        <v>13360</v>
      </c>
      <c r="E88" s="283">
        <v>12790</v>
      </c>
      <c r="F88" s="300"/>
      <c r="H88" s="298"/>
    </row>
    <row r="89" spans="1:8" s="269" customFormat="1" ht="14.25" customHeight="1">
      <c r="A89" s="278" t="s">
        <v>1838</v>
      </c>
      <c r="B89" s="283" t="s">
        <v>1852</v>
      </c>
      <c r="C89" s="283">
        <v>11680</v>
      </c>
      <c r="D89" s="283">
        <v>11630</v>
      </c>
      <c r="E89" s="283">
        <v>11320</v>
      </c>
      <c r="F89" s="300"/>
      <c r="H89" s="298"/>
    </row>
    <row r="90" spans="1:8" s="269" customFormat="1" ht="14.25" customHeight="1">
      <c r="A90" s="278" t="s">
        <v>1838</v>
      </c>
      <c r="B90" s="283" t="s">
        <v>1853</v>
      </c>
      <c r="C90" s="283">
        <v>12890</v>
      </c>
      <c r="D90" s="283">
        <v>12820</v>
      </c>
      <c r="E90" s="283">
        <v>12710</v>
      </c>
      <c r="F90" s="300"/>
      <c r="H90" s="298"/>
    </row>
    <row r="91" spans="1:8" s="269" customFormat="1" ht="14.25" customHeight="1">
      <c r="A91" s="278" t="s">
        <v>1838</v>
      </c>
      <c r="B91" s="283" t="s">
        <v>1854</v>
      </c>
      <c r="C91" s="283">
        <v>11410</v>
      </c>
      <c r="D91" s="283">
        <v>11360</v>
      </c>
      <c r="E91" s="283">
        <v>12670</v>
      </c>
      <c r="F91" s="300"/>
      <c r="H91" s="298"/>
    </row>
    <row r="92" spans="1:8" s="269" customFormat="1" ht="14.25" customHeight="1">
      <c r="A92" s="278" t="s">
        <v>1838</v>
      </c>
      <c r="B92" s="283" t="s">
        <v>1855</v>
      </c>
      <c r="C92" s="283">
        <v>12770</v>
      </c>
      <c r="D92" s="283">
        <v>12740</v>
      </c>
      <c r="E92" s="283">
        <v>11970</v>
      </c>
      <c r="F92" s="300"/>
      <c r="H92" s="298"/>
    </row>
    <row r="93" spans="1:8" s="269" customFormat="1" ht="14.25" customHeight="1">
      <c r="A93" s="278" t="s">
        <v>1838</v>
      </c>
      <c r="B93" s="283" t="s">
        <v>1856</v>
      </c>
      <c r="C93" s="283">
        <v>12740</v>
      </c>
      <c r="D93" s="283">
        <v>12700</v>
      </c>
      <c r="E93" s="283">
        <v>12540</v>
      </c>
      <c r="F93" s="300"/>
      <c r="H93" s="298"/>
    </row>
    <row r="94" spans="1:8" s="269" customFormat="1" ht="14.25" customHeight="1">
      <c r="A94" s="278" t="s">
        <v>1838</v>
      </c>
      <c r="B94" s="283" t="s">
        <v>1857</v>
      </c>
      <c r="C94" s="283">
        <v>12020</v>
      </c>
      <c r="D94" s="283">
        <v>11990</v>
      </c>
      <c r="E94" s="283">
        <v>13110</v>
      </c>
      <c r="F94" s="300"/>
      <c r="H94" s="298"/>
    </row>
    <row r="95" spans="1:8" s="269" customFormat="1" ht="14.25" customHeight="1">
      <c r="A95" s="278" t="s">
        <v>1838</v>
      </c>
      <c r="B95" s="283" t="s">
        <v>1858</v>
      </c>
      <c r="C95" s="283">
        <v>12620</v>
      </c>
      <c r="D95" s="283">
        <v>12580</v>
      </c>
      <c r="E95" s="283">
        <v>13160</v>
      </c>
      <c r="F95" s="291"/>
      <c r="H95" s="298"/>
    </row>
    <row r="96" spans="1:8" s="269" customFormat="1" ht="14.25" customHeight="1">
      <c r="A96" s="278" t="s">
        <v>1838</v>
      </c>
      <c r="B96" s="283" t="s">
        <v>1859</v>
      </c>
      <c r="C96" s="283">
        <v>13200</v>
      </c>
      <c r="D96" s="283">
        <v>13150</v>
      </c>
      <c r="E96" s="283">
        <v>12900</v>
      </c>
      <c r="F96" s="291"/>
      <c r="H96" s="298"/>
    </row>
    <row r="97" spans="1:8" s="269" customFormat="1" ht="14.25" customHeight="1">
      <c r="A97" s="278" t="s">
        <v>1838</v>
      </c>
      <c r="B97" s="283" t="s">
        <v>1860</v>
      </c>
      <c r="C97" s="283">
        <v>13270</v>
      </c>
      <c r="D97" s="283">
        <v>13210</v>
      </c>
      <c r="E97" s="283">
        <v>11080</v>
      </c>
      <c r="F97" s="291"/>
      <c r="H97" s="298"/>
    </row>
    <row r="98" spans="1:8" s="269" customFormat="1" ht="14.25" customHeight="1">
      <c r="A98" s="278" t="s">
        <v>1838</v>
      </c>
      <c r="B98" s="283" t="s">
        <v>1861</v>
      </c>
      <c r="C98" s="283">
        <v>13010</v>
      </c>
      <c r="D98" s="283">
        <v>12930</v>
      </c>
      <c r="E98" s="283">
        <v>12840</v>
      </c>
      <c r="F98" s="291"/>
      <c r="H98" s="298"/>
    </row>
    <row r="99" spans="1:8" s="269" customFormat="1" ht="14.25" customHeight="1">
      <c r="A99" s="278" t="s">
        <v>1838</v>
      </c>
      <c r="B99" s="283" t="s">
        <v>1862</v>
      </c>
      <c r="C99" s="283">
        <v>11190</v>
      </c>
      <c r="D99" s="283">
        <v>11130</v>
      </c>
      <c r="E99" s="283"/>
      <c r="F99" s="291"/>
      <c r="H99" s="298"/>
    </row>
    <row r="100" spans="1:8" s="269" customFormat="1" ht="14.25" customHeight="1">
      <c r="A100" s="278" t="s">
        <v>1838</v>
      </c>
      <c r="B100" s="283" t="s">
        <v>1863</v>
      </c>
      <c r="C100" s="283">
        <v>14280</v>
      </c>
      <c r="D100" s="283">
        <v>14180</v>
      </c>
      <c r="E100" s="283"/>
      <c r="F100" s="291"/>
      <c r="H100" s="298"/>
    </row>
    <row r="101" spans="1:8" s="269" customFormat="1" ht="14.25" customHeight="1">
      <c r="A101" s="278" t="s">
        <v>1838</v>
      </c>
      <c r="B101" s="283" t="s">
        <v>1864</v>
      </c>
      <c r="C101" s="283">
        <v>12960</v>
      </c>
      <c r="D101" s="283">
        <v>12890</v>
      </c>
      <c r="E101" s="283"/>
      <c r="F101" s="291"/>
      <c r="H101" s="298"/>
    </row>
    <row r="102" spans="1:8" s="269" customFormat="1" ht="14.25" customHeight="1">
      <c r="A102" s="278" t="s">
        <v>1838</v>
      </c>
      <c r="B102" s="283" t="s">
        <v>1865</v>
      </c>
      <c r="C102" s="283"/>
      <c r="D102" s="283"/>
      <c r="E102" s="283"/>
      <c r="F102" s="291">
        <v>3100</v>
      </c>
      <c r="H102" s="298"/>
    </row>
    <row r="103" spans="1:8" s="269" customFormat="1" ht="14.25" customHeight="1">
      <c r="A103" s="278" t="s">
        <v>1838</v>
      </c>
      <c r="B103" s="283" t="s">
        <v>1866</v>
      </c>
      <c r="C103" s="283"/>
      <c r="D103" s="283"/>
      <c r="E103" s="283"/>
      <c r="F103" s="291">
        <v>2320</v>
      </c>
      <c r="H103" s="298"/>
    </row>
    <row r="104" spans="1:8" s="269" customFormat="1" ht="14.25" customHeight="1">
      <c r="A104" s="278" t="s">
        <v>1838</v>
      </c>
      <c r="B104" s="283" t="s">
        <v>1867</v>
      </c>
      <c r="C104" s="283"/>
      <c r="D104" s="283"/>
      <c r="E104" s="283"/>
      <c r="F104" s="291">
        <v>2320</v>
      </c>
      <c r="H104" s="298"/>
    </row>
    <row r="105" spans="1:8" s="269" customFormat="1" ht="14.25" customHeight="1">
      <c r="A105" s="278" t="s">
        <v>1838</v>
      </c>
      <c r="B105" s="283" t="s">
        <v>1868</v>
      </c>
      <c r="C105" s="283"/>
      <c r="D105" s="283"/>
      <c r="E105" s="283"/>
      <c r="F105" s="291">
        <v>2320</v>
      </c>
      <c r="H105" s="298"/>
    </row>
    <row r="106" spans="1:8" s="269" customFormat="1" ht="14.25" customHeight="1">
      <c r="A106" s="278" t="s">
        <v>1838</v>
      </c>
      <c r="B106" s="283" t="s">
        <v>1869</v>
      </c>
      <c r="C106" s="283"/>
      <c r="D106" s="283"/>
      <c r="E106" s="283"/>
      <c r="F106" s="291">
        <v>2320</v>
      </c>
      <c r="H106" s="298"/>
    </row>
    <row r="107" spans="1:8" s="269" customFormat="1" ht="14.25" customHeight="1">
      <c r="A107" s="278" t="s">
        <v>1838</v>
      </c>
      <c r="B107" s="283" t="s">
        <v>1870</v>
      </c>
      <c r="C107" s="283"/>
      <c r="D107" s="283"/>
      <c r="E107" s="283"/>
      <c r="F107" s="291">
        <v>2280</v>
      </c>
      <c r="H107" s="298"/>
    </row>
    <row r="108" spans="1:8" s="269" customFormat="1" ht="14.25" customHeight="1">
      <c r="A108" s="278" t="s">
        <v>1838</v>
      </c>
      <c r="B108" s="283" t="s">
        <v>1871</v>
      </c>
      <c r="C108" s="283"/>
      <c r="D108" s="283"/>
      <c r="E108" s="283"/>
      <c r="F108" s="291">
        <v>2280</v>
      </c>
      <c r="H108" s="298"/>
    </row>
    <row r="109" spans="1:8" s="269" customFormat="1" ht="14.25" customHeight="1">
      <c r="A109" s="278" t="s">
        <v>1838</v>
      </c>
      <c r="B109" s="289" t="s">
        <v>1872</v>
      </c>
      <c r="C109" s="289"/>
      <c r="D109" s="289"/>
      <c r="E109" s="289"/>
      <c r="F109" s="299">
        <v>2280</v>
      </c>
      <c r="H109" s="298"/>
    </row>
    <row r="110" spans="1:8" s="269" customFormat="1" ht="14.25" customHeight="1">
      <c r="A110" s="278" t="s">
        <v>1873</v>
      </c>
      <c r="B110" s="279" t="s">
        <v>1874</v>
      </c>
      <c r="C110" s="279">
        <v>10520</v>
      </c>
      <c r="D110" s="279">
        <v>10490</v>
      </c>
      <c r="E110" s="279">
        <v>10760</v>
      </c>
      <c r="F110" s="280">
        <v>2160</v>
      </c>
      <c r="H110" s="298"/>
    </row>
    <row r="111" spans="1:8" s="269" customFormat="1" ht="14.25" customHeight="1">
      <c r="A111" s="278" t="s">
        <v>1873</v>
      </c>
      <c r="B111" s="283" t="s">
        <v>1875</v>
      </c>
      <c r="C111" s="283">
        <v>10090</v>
      </c>
      <c r="D111" s="283">
        <v>10060</v>
      </c>
      <c r="E111" s="283">
        <v>10300</v>
      </c>
      <c r="F111" s="291">
        <v>2010</v>
      </c>
      <c r="H111" s="298"/>
    </row>
    <row r="112" spans="1:8" s="269" customFormat="1" ht="14.25" customHeight="1">
      <c r="A112" s="278" t="s">
        <v>1873</v>
      </c>
      <c r="B112" s="283" t="s">
        <v>1876</v>
      </c>
      <c r="C112" s="283">
        <v>9910</v>
      </c>
      <c r="D112" s="283">
        <v>9850</v>
      </c>
      <c r="E112" s="283">
        <v>9960</v>
      </c>
      <c r="F112" s="291">
        <v>2090</v>
      </c>
      <c r="H112" s="298"/>
    </row>
    <row r="113" spans="1:8" s="269" customFormat="1" ht="14.25" customHeight="1">
      <c r="A113" s="278" t="s">
        <v>1873</v>
      </c>
      <c r="B113" s="283" t="s">
        <v>1877</v>
      </c>
      <c r="C113" s="283">
        <v>11430</v>
      </c>
      <c r="D113" s="283">
        <v>11400</v>
      </c>
      <c r="E113" s="283">
        <v>11710</v>
      </c>
      <c r="F113" s="291">
        <v>2050</v>
      </c>
      <c r="H113" s="298"/>
    </row>
    <row r="114" spans="1:8" s="269" customFormat="1" ht="14.25" customHeight="1">
      <c r="A114" s="278" t="s">
        <v>1873</v>
      </c>
      <c r="B114" s="283" t="s">
        <v>1878</v>
      </c>
      <c r="C114" s="283">
        <v>11390</v>
      </c>
      <c r="D114" s="283">
        <v>11350</v>
      </c>
      <c r="E114" s="283">
        <v>11640</v>
      </c>
      <c r="F114" s="291">
        <v>1620</v>
      </c>
      <c r="H114" s="298"/>
    </row>
    <row r="115" spans="1:8" s="269" customFormat="1" ht="14.25" customHeight="1">
      <c r="A115" s="278" t="s">
        <v>1873</v>
      </c>
      <c r="B115" s="283" t="s">
        <v>1879</v>
      </c>
      <c r="C115" s="283">
        <v>9930</v>
      </c>
      <c r="D115" s="283">
        <v>9900</v>
      </c>
      <c r="E115" s="283">
        <v>10160</v>
      </c>
      <c r="F115" s="291">
        <v>1580</v>
      </c>
      <c r="H115" s="298"/>
    </row>
    <row r="116" spans="1:8" s="269" customFormat="1" ht="14.25" customHeight="1">
      <c r="A116" s="278" t="s">
        <v>1873</v>
      </c>
      <c r="B116" s="283" t="s">
        <v>1880</v>
      </c>
      <c r="C116" s="283">
        <v>9150</v>
      </c>
      <c r="D116" s="283">
        <v>9120</v>
      </c>
      <c r="E116" s="283">
        <v>9380</v>
      </c>
      <c r="F116" s="291">
        <v>1750</v>
      </c>
      <c r="H116" s="298"/>
    </row>
    <row r="117" spans="1:8" s="269" customFormat="1" ht="14.25" customHeight="1">
      <c r="A117" s="278" t="s">
        <v>1873</v>
      </c>
      <c r="B117" s="283" t="s">
        <v>1881</v>
      </c>
      <c r="C117" s="283">
        <v>10680</v>
      </c>
      <c r="D117" s="283">
        <v>10650</v>
      </c>
      <c r="E117" s="283">
        <v>10970</v>
      </c>
      <c r="F117" s="291">
        <v>1730</v>
      </c>
      <c r="H117" s="298"/>
    </row>
    <row r="118" spans="1:8" s="269" customFormat="1" ht="14.25" customHeight="1">
      <c r="A118" s="278" t="s">
        <v>1873</v>
      </c>
      <c r="B118" s="283" t="s">
        <v>1882</v>
      </c>
      <c r="C118" s="283">
        <v>10080</v>
      </c>
      <c r="D118" s="283">
        <v>10050</v>
      </c>
      <c r="E118" s="283">
        <v>10350</v>
      </c>
      <c r="F118" s="291">
        <v>1920</v>
      </c>
      <c r="H118" s="298"/>
    </row>
    <row r="119" spans="1:8" s="269" customFormat="1" ht="14.25" customHeight="1">
      <c r="A119" s="278" t="s">
        <v>1873</v>
      </c>
      <c r="B119" s="283" t="s">
        <v>1883</v>
      </c>
      <c r="C119" s="283">
        <v>9450</v>
      </c>
      <c r="D119" s="283">
        <v>9410</v>
      </c>
      <c r="E119" s="283">
        <v>9680</v>
      </c>
      <c r="F119" s="291">
        <v>1880</v>
      </c>
      <c r="H119" s="298"/>
    </row>
    <row r="120" spans="1:8" s="269" customFormat="1" ht="14.25" customHeight="1">
      <c r="A120" s="278" t="s">
        <v>1873</v>
      </c>
      <c r="B120" s="283" t="s">
        <v>1884</v>
      </c>
      <c r="C120" s="283">
        <v>8730</v>
      </c>
      <c r="D120" s="283">
        <v>8700</v>
      </c>
      <c r="E120" s="283">
        <v>8950</v>
      </c>
      <c r="F120" s="291">
        <v>1830</v>
      </c>
      <c r="H120" s="298"/>
    </row>
    <row r="121" spans="1:8" s="269" customFormat="1" ht="14.25" customHeight="1">
      <c r="A121" s="278" t="s">
        <v>1873</v>
      </c>
      <c r="B121" s="283" t="s">
        <v>1885</v>
      </c>
      <c r="C121" s="283">
        <v>10070</v>
      </c>
      <c r="D121" s="283">
        <v>10040</v>
      </c>
      <c r="E121" s="283">
        <v>10270</v>
      </c>
      <c r="F121" s="291">
        <v>1960</v>
      </c>
      <c r="H121" s="298"/>
    </row>
    <row r="122" spans="1:8" s="269" customFormat="1" ht="14.25" customHeight="1">
      <c r="A122" s="278" t="s">
        <v>1873</v>
      </c>
      <c r="B122" s="283" t="s">
        <v>1886</v>
      </c>
      <c r="C122" s="283">
        <v>10500</v>
      </c>
      <c r="D122" s="283">
        <v>10470</v>
      </c>
      <c r="E122" s="283">
        <v>10780</v>
      </c>
      <c r="F122" s="291">
        <v>2180</v>
      </c>
      <c r="H122" s="298"/>
    </row>
    <row r="123" spans="1:8" s="269" customFormat="1" ht="14.25" customHeight="1">
      <c r="A123" s="278" t="s">
        <v>1873</v>
      </c>
      <c r="B123" s="283" t="s">
        <v>1887</v>
      </c>
      <c r="C123" s="283">
        <v>10390</v>
      </c>
      <c r="D123" s="283">
        <v>10360</v>
      </c>
      <c r="E123" s="283">
        <v>10660</v>
      </c>
      <c r="F123" s="291">
        <v>2040</v>
      </c>
      <c r="H123" s="298"/>
    </row>
    <row r="124" spans="1:8" s="269" customFormat="1" ht="14.25" customHeight="1">
      <c r="A124" s="278" t="s">
        <v>1873</v>
      </c>
      <c r="B124" s="283" t="s">
        <v>1888</v>
      </c>
      <c r="C124" s="283">
        <v>10390</v>
      </c>
      <c r="D124" s="283">
        <v>10360</v>
      </c>
      <c r="E124" s="283">
        <v>10680</v>
      </c>
      <c r="F124" s="300"/>
      <c r="H124" s="298"/>
    </row>
    <row r="125" spans="1:8" s="269" customFormat="1" ht="14.25" customHeight="1">
      <c r="A125" s="278" t="s">
        <v>1873</v>
      </c>
      <c r="B125" s="283" t="s">
        <v>1889</v>
      </c>
      <c r="C125" s="283">
        <v>10440</v>
      </c>
      <c r="D125" s="283">
        <v>10410</v>
      </c>
      <c r="E125" s="283">
        <v>10710</v>
      </c>
      <c r="F125" s="300"/>
      <c r="H125" s="298"/>
    </row>
    <row r="126" spans="1:8" s="269" customFormat="1" ht="14.25" customHeight="1">
      <c r="A126" s="278" t="s">
        <v>1873</v>
      </c>
      <c r="B126" s="283" t="s">
        <v>1890</v>
      </c>
      <c r="C126" s="283">
        <v>10780</v>
      </c>
      <c r="D126" s="283">
        <v>10750</v>
      </c>
      <c r="E126" s="283">
        <v>11080</v>
      </c>
      <c r="F126" s="300"/>
      <c r="H126" s="298"/>
    </row>
    <row r="127" spans="1:8" s="269" customFormat="1" ht="14.25" customHeight="1">
      <c r="A127" s="278" t="s">
        <v>1873</v>
      </c>
      <c r="B127" s="283" t="s">
        <v>1891</v>
      </c>
      <c r="C127" s="283">
        <v>10100</v>
      </c>
      <c r="D127" s="283">
        <v>10070</v>
      </c>
      <c r="E127" s="283">
        <v>10350</v>
      </c>
      <c r="F127" s="300"/>
      <c r="H127" s="298"/>
    </row>
    <row r="128" spans="1:8" s="269" customFormat="1" ht="14.25" customHeight="1">
      <c r="A128" s="278" t="s">
        <v>1873</v>
      </c>
      <c r="B128" s="283" t="s">
        <v>1892</v>
      </c>
      <c r="C128" s="283">
        <v>9200</v>
      </c>
      <c r="D128" s="283">
        <v>9160</v>
      </c>
      <c r="E128" s="283">
        <v>9660</v>
      </c>
      <c r="F128" s="300"/>
      <c r="H128" s="298"/>
    </row>
    <row r="129" spans="1:8" s="269" customFormat="1" ht="14.25" customHeight="1">
      <c r="A129" s="278" t="s">
        <v>1873</v>
      </c>
      <c r="B129" s="283" t="s">
        <v>1893</v>
      </c>
      <c r="C129" s="283">
        <v>10340</v>
      </c>
      <c r="D129" s="283">
        <v>10310</v>
      </c>
      <c r="E129" s="283">
        <v>10580</v>
      </c>
      <c r="F129" s="300"/>
      <c r="H129" s="298"/>
    </row>
    <row r="130" spans="1:8" s="269" customFormat="1" ht="14.25" customHeight="1">
      <c r="A130" s="278" t="s">
        <v>1873</v>
      </c>
      <c r="B130" s="283" t="s">
        <v>1894</v>
      </c>
      <c r="C130" s="283">
        <v>9680</v>
      </c>
      <c r="D130" s="283">
        <v>9660</v>
      </c>
      <c r="E130" s="283">
        <v>9950</v>
      </c>
      <c r="F130" s="300"/>
      <c r="H130" s="298"/>
    </row>
    <row r="131" spans="1:8" s="269" customFormat="1" ht="14.25" customHeight="1">
      <c r="A131" s="278" t="s">
        <v>1873</v>
      </c>
      <c r="B131" s="283" t="s">
        <v>1895</v>
      </c>
      <c r="C131" s="283">
        <v>9540</v>
      </c>
      <c r="D131" s="283">
        <v>9510</v>
      </c>
      <c r="E131" s="283">
        <v>9790</v>
      </c>
      <c r="F131" s="300"/>
      <c r="H131" s="298"/>
    </row>
    <row r="132" spans="1:8" s="269" customFormat="1" ht="14.25" customHeight="1">
      <c r="A132" s="278" t="s">
        <v>1873</v>
      </c>
      <c r="B132" s="283" t="s">
        <v>1896</v>
      </c>
      <c r="C132" s="283">
        <v>9320</v>
      </c>
      <c r="D132" s="283">
        <v>9290</v>
      </c>
      <c r="E132" s="283">
        <v>9570</v>
      </c>
      <c r="F132" s="300"/>
      <c r="H132" s="298"/>
    </row>
    <row r="133" spans="1:8" s="269" customFormat="1" ht="14.25" customHeight="1">
      <c r="A133" s="278" t="s">
        <v>1873</v>
      </c>
      <c r="B133" s="283" t="s">
        <v>1897</v>
      </c>
      <c r="C133" s="283">
        <v>10310</v>
      </c>
      <c r="D133" s="283">
        <v>10280</v>
      </c>
      <c r="E133" s="283">
        <v>10530</v>
      </c>
      <c r="F133" s="300"/>
      <c r="H133" s="298"/>
    </row>
    <row r="134" spans="1:8" s="269" customFormat="1" ht="14.25" customHeight="1">
      <c r="A134" s="278" t="s">
        <v>1873</v>
      </c>
      <c r="B134" s="283" t="s">
        <v>1898</v>
      </c>
      <c r="C134" s="283">
        <v>10370</v>
      </c>
      <c r="D134" s="283">
        <v>10310</v>
      </c>
      <c r="E134" s="283">
        <v>10240</v>
      </c>
      <c r="F134" s="291">
        <v>2060</v>
      </c>
      <c r="H134" s="298"/>
    </row>
    <row r="135" spans="1:8" s="269" customFormat="1" ht="14.25" customHeight="1">
      <c r="A135" s="278" t="s">
        <v>1873</v>
      </c>
      <c r="B135" s="283" t="s">
        <v>1899</v>
      </c>
      <c r="C135" s="283">
        <v>9300</v>
      </c>
      <c r="D135" s="283">
        <v>9270</v>
      </c>
      <c r="E135" s="283">
        <v>9350</v>
      </c>
      <c r="F135" s="300"/>
      <c r="H135" s="298"/>
    </row>
    <row r="136" spans="1:8" s="269" customFormat="1" ht="14.25" customHeight="1">
      <c r="A136" s="278" t="s">
        <v>1873</v>
      </c>
      <c r="B136" s="283" t="s">
        <v>1900</v>
      </c>
      <c r="C136" s="283">
        <v>10160</v>
      </c>
      <c r="D136" s="283">
        <v>10110</v>
      </c>
      <c r="E136" s="283">
        <v>10080</v>
      </c>
      <c r="F136" s="300"/>
      <c r="H136" s="298"/>
    </row>
    <row r="137" spans="1:8" s="269" customFormat="1" ht="14.25" customHeight="1">
      <c r="A137" s="278" t="s">
        <v>1873</v>
      </c>
      <c r="B137" s="283" t="s">
        <v>1901</v>
      </c>
      <c r="C137" s="283">
        <v>9200</v>
      </c>
      <c r="D137" s="283">
        <v>9170</v>
      </c>
      <c r="E137" s="283">
        <v>9450</v>
      </c>
      <c r="F137" s="300"/>
      <c r="H137" s="298"/>
    </row>
    <row r="138" spans="1:8" s="269" customFormat="1" ht="14.25" customHeight="1">
      <c r="A138" s="278" t="s">
        <v>1873</v>
      </c>
      <c r="B138" s="283" t="s">
        <v>1902</v>
      </c>
      <c r="C138" s="283">
        <v>9690</v>
      </c>
      <c r="D138" s="283">
        <v>9660</v>
      </c>
      <c r="E138" s="283">
        <v>9840</v>
      </c>
      <c r="F138" s="300"/>
      <c r="H138" s="298"/>
    </row>
    <row r="139" spans="1:8" s="269" customFormat="1" ht="14.25" customHeight="1">
      <c r="A139" s="278" t="s">
        <v>1873</v>
      </c>
      <c r="B139" s="283" t="s">
        <v>1903</v>
      </c>
      <c r="C139" s="283">
        <v>10290</v>
      </c>
      <c r="D139" s="283">
        <v>10260</v>
      </c>
      <c r="E139" s="283">
        <v>10550</v>
      </c>
      <c r="F139" s="291">
        <v>1700</v>
      </c>
      <c r="H139" s="298"/>
    </row>
    <row r="140" spans="1:8" s="269" customFormat="1" ht="14.25" customHeight="1">
      <c r="A140" s="278" t="s">
        <v>1873</v>
      </c>
      <c r="B140" s="283" t="s">
        <v>1904</v>
      </c>
      <c r="C140" s="283">
        <v>9740</v>
      </c>
      <c r="D140" s="283">
        <v>9710</v>
      </c>
      <c r="E140" s="283">
        <v>10000</v>
      </c>
      <c r="F140" s="291">
        <v>2000</v>
      </c>
      <c r="H140" s="298"/>
    </row>
    <row r="141" spans="1:8" s="269" customFormat="1" ht="14.25" customHeight="1">
      <c r="A141" s="278" t="s">
        <v>1873</v>
      </c>
      <c r="B141" s="283" t="s">
        <v>1905</v>
      </c>
      <c r="C141" s="283">
        <v>9810</v>
      </c>
      <c r="D141" s="283">
        <v>9770</v>
      </c>
      <c r="E141" s="283">
        <v>10060</v>
      </c>
      <c r="F141" s="300"/>
      <c r="H141" s="298"/>
    </row>
    <row r="142" spans="1:8" s="269" customFormat="1" ht="14.25" customHeight="1">
      <c r="A142" s="278" t="s">
        <v>1873</v>
      </c>
      <c r="B142" s="283" t="s">
        <v>1906</v>
      </c>
      <c r="C142" s="283">
        <v>9300</v>
      </c>
      <c r="D142" s="283">
        <v>9270</v>
      </c>
      <c r="E142" s="283">
        <v>9530</v>
      </c>
      <c r="F142" s="300"/>
      <c r="H142" s="298"/>
    </row>
    <row r="143" spans="1:8" s="269" customFormat="1" ht="14.25" customHeight="1">
      <c r="A143" s="278" t="s">
        <v>1873</v>
      </c>
      <c r="B143" s="283" t="s">
        <v>1907</v>
      </c>
      <c r="C143" s="283">
        <v>10080</v>
      </c>
      <c r="D143" s="283">
        <v>10050</v>
      </c>
      <c r="E143" s="283">
        <v>10340</v>
      </c>
      <c r="F143" s="300"/>
      <c r="H143" s="298"/>
    </row>
    <row r="144" spans="1:8" s="269" customFormat="1" ht="14.25" customHeight="1">
      <c r="A144" s="278" t="s">
        <v>1873</v>
      </c>
      <c r="B144" s="283" t="s">
        <v>1908</v>
      </c>
      <c r="C144" s="283">
        <v>9820</v>
      </c>
      <c r="D144" s="283">
        <v>9750</v>
      </c>
      <c r="E144" s="283">
        <v>9900</v>
      </c>
      <c r="F144" s="300"/>
      <c r="H144" s="298"/>
    </row>
    <row r="145" spans="1:8" s="269" customFormat="1" ht="14.25" customHeight="1">
      <c r="A145" s="278" t="s">
        <v>1873</v>
      </c>
      <c r="B145" s="283" t="s">
        <v>1909</v>
      </c>
      <c r="C145" s="283"/>
      <c r="D145" s="283"/>
      <c r="E145" s="283"/>
      <c r="F145" s="291">
        <v>1740</v>
      </c>
      <c r="H145" s="298"/>
    </row>
    <row r="146" spans="1:8" s="269" customFormat="1" ht="14.25" customHeight="1">
      <c r="A146" s="278" t="s">
        <v>1873</v>
      </c>
      <c r="B146" s="283" t="s">
        <v>1910</v>
      </c>
      <c r="C146" s="283"/>
      <c r="D146" s="283"/>
      <c r="E146" s="283"/>
      <c r="F146" s="291">
        <v>1740</v>
      </c>
      <c r="H146" s="298"/>
    </row>
    <row r="147" spans="1:8" s="269" customFormat="1" ht="14.25" customHeight="1">
      <c r="A147" s="278" t="s">
        <v>1873</v>
      </c>
      <c r="B147" s="283" t="s">
        <v>1911</v>
      </c>
      <c r="C147" s="283"/>
      <c r="D147" s="283"/>
      <c r="E147" s="283"/>
      <c r="F147" s="291">
        <v>1740</v>
      </c>
      <c r="H147" s="298"/>
    </row>
    <row r="148" spans="1:8" s="269" customFormat="1" ht="14.25" customHeight="1">
      <c r="A148" s="278" t="s">
        <v>1873</v>
      </c>
      <c r="B148" s="283" t="s">
        <v>1912</v>
      </c>
      <c r="C148" s="283"/>
      <c r="D148" s="283"/>
      <c r="E148" s="283"/>
      <c r="F148" s="291">
        <v>1740</v>
      </c>
      <c r="H148" s="298"/>
    </row>
    <row r="149" spans="1:8" s="269" customFormat="1" ht="14.25" customHeight="1">
      <c r="A149" s="278" t="s">
        <v>1873</v>
      </c>
      <c r="B149" s="283" t="s">
        <v>1913</v>
      </c>
      <c r="C149" s="283"/>
      <c r="D149" s="283"/>
      <c r="E149" s="283"/>
      <c r="F149" s="291">
        <v>1740</v>
      </c>
      <c r="H149" s="298"/>
    </row>
    <row r="150" spans="1:8" s="269" customFormat="1" ht="14.25" customHeight="1">
      <c r="A150" s="278" t="s">
        <v>1873</v>
      </c>
      <c r="B150" s="283" t="s">
        <v>1914</v>
      </c>
      <c r="C150" s="283"/>
      <c r="D150" s="283"/>
      <c r="E150" s="283"/>
      <c r="F150" s="291">
        <v>1610</v>
      </c>
      <c r="H150" s="298"/>
    </row>
    <row r="151" spans="1:8" s="269" customFormat="1" ht="14.25" customHeight="1">
      <c r="A151" s="278" t="s">
        <v>1873</v>
      </c>
      <c r="B151" s="283" t="s">
        <v>1915</v>
      </c>
      <c r="C151" s="283"/>
      <c r="D151" s="283"/>
      <c r="E151" s="283"/>
      <c r="F151" s="291">
        <v>1610</v>
      </c>
      <c r="H151" s="298"/>
    </row>
    <row r="152" spans="1:8" s="269" customFormat="1" ht="14.25" customHeight="1">
      <c r="A152" s="278" t="s">
        <v>1873</v>
      </c>
      <c r="B152" s="283" t="s">
        <v>1916</v>
      </c>
      <c r="C152" s="283"/>
      <c r="D152" s="283"/>
      <c r="E152" s="283"/>
      <c r="F152" s="291">
        <v>1610</v>
      </c>
      <c r="H152" s="298"/>
    </row>
    <row r="153" spans="1:8" s="269" customFormat="1" ht="14.25" customHeight="1">
      <c r="A153" s="278" t="s">
        <v>1873</v>
      </c>
      <c r="B153" s="283" t="s">
        <v>1917</v>
      </c>
      <c r="C153" s="283"/>
      <c r="D153" s="283"/>
      <c r="E153" s="283"/>
      <c r="F153" s="291">
        <v>1610</v>
      </c>
      <c r="H153" s="298"/>
    </row>
    <row r="154" spans="1:8" s="269" customFormat="1" ht="14.25" customHeight="1">
      <c r="A154" s="278" t="s">
        <v>1873</v>
      </c>
      <c r="B154" s="283" t="s">
        <v>1918</v>
      </c>
      <c r="C154" s="283"/>
      <c r="D154" s="283"/>
      <c r="E154" s="283"/>
      <c r="F154" s="291">
        <v>1610</v>
      </c>
      <c r="H154" s="298"/>
    </row>
    <row r="155" spans="1:8" s="269" customFormat="1" ht="14.25" customHeight="1">
      <c r="A155" s="278" t="s">
        <v>1873</v>
      </c>
      <c r="B155" s="283" t="s">
        <v>1919</v>
      </c>
      <c r="C155" s="283"/>
      <c r="D155" s="283"/>
      <c r="E155" s="283"/>
      <c r="F155" s="291">
        <v>1800</v>
      </c>
      <c r="H155" s="298"/>
    </row>
    <row r="156" spans="1:8" s="269" customFormat="1" ht="14.25" customHeight="1">
      <c r="A156" s="278" t="s">
        <v>1873</v>
      </c>
      <c r="B156" s="283" t="s">
        <v>1920</v>
      </c>
      <c r="C156" s="283"/>
      <c r="D156" s="283"/>
      <c r="E156" s="283"/>
      <c r="F156" s="291">
        <v>1910</v>
      </c>
      <c r="H156" s="298"/>
    </row>
    <row r="157" spans="1:8" s="269" customFormat="1" ht="14.25" customHeight="1">
      <c r="A157" s="278" t="s">
        <v>1873</v>
      </c>
      <c r="B157" s="289" t="s">
        <v>1921</v>
      </c>
      <c r="C157" s="289"/>
      <c r="D157" s="289"/>
      <c r="E157" s="289"/>
      <c r="F157" s="299">
        <v>1500</v>
      </c>
      <c r="H157" s="298"/>
    </row>
    <row r="158" spans="1:8" s="269" customFormat="1" ht="14.25" customHeight="1">
      <c r="A158" s="278" t="s">
        <v>1922</v>
      </c>
      <c r="B158" s="279" t="s">
        <v>1923</v>
      </c>
      <c r="C158" s="279">
        <v>8170</v>
      </c>
      <c r="D158" s="279">
        <v>8140</v>
      </c>
      <c r="E158" s="279">
        <v>8590</v>
      </c>
      <c r="F158" s="280">
        <v>1450</v>
      </c>
      <c r="H158" s="298"/>
    </row>
    <row r="159" spans="1:8" s="269" customFormat="1" ht="14.25" customHeight="1">
      <c r="A159" s="278" t="s">
        <v>1922</v>
      </c>
      <c r="B159" s="283" t="s">
        <v>1924</v>
      </c>
      <c r="C159" s="283">
        <v>7410</v>
      </c>
      <c r="D159" s="283">
        <v>7370</v>
      </c>
      <c r="E159" s="283">
        <v>8030</v>
      </c>
      <c r="F159" s="291">
        <v>1510</v>
      </c>
      <c r="H159" s="298"/>
    </row>
    <row r="160" spans="1:8" s="269" customFormat="1" ht="14.25" customHeight="1">
      <c r="A160" s="278" t="s">
        <v>1922</v>
      </c>
      <c r="B160" s="283" t="s">
        <v>1925</v>
      </c>
      <c r="C160" s="283">
        <v>7240</v>
      </c>
      <c r="D160" s="283">
        <v>7210</v>
      </c>
      <c r="E160" s="283">
        <v>7860</v>
      </c>
      <c r="F160" s="291">
        <v>1370</v>
      </c>
      <c r="H160" s="298"/>
    </row>
    <row r="161" spans="1:8" s="269" customFormat="1" ht="14.25" customHeight="1">
      <c r="A161" s="278" t="s">
        <v>1922</v>
      </c>
      <c r="B161" s="283" t="s">
        <v>1926</v>
      </c>
      <c r="C161" s="283">
        <v>7720</v>
      </c>
      <c r="D161" s="283">
        <v>7690</v>
      </c>
      <c r="E161" s="283">
        <v>8200</v>
      </c>
      <c r="F161" s="291">
        <v>1190</v>
      </c>
      <c r="H161" s="298"/>
    </row>
    <row r="162" spans="1:8" s="269" customFormat="1" ht="14.25" customHeight="1">
      <c r="A162" s="278" t="s">
        <v>1922</v>
      </c>
      <c r="B162" s="283" t="s">
        <v>1927</v>
      </c>
      <c r="C162" s="283">
        <v>6900</v>
      </c>
      <c r="D162" s="283">
        <v>6870</v>
      </c>
      <c r="E162" s="283">
        <v>7500</v>
      </c>
      <c r="F162" s="291">
        <v>1390</v>
      </c>
      <c r="H162" s="298"/>
    </row>
    <row r="163" spans="1:8" s="269" customFormat="1" ht="14.25" customHeight="1">
      <c r="A163" s="278" t="s">
        <v>1922</v>
      </c>
      <c r="B163" s="283" t="s">
        <v>1928</v>
      </c>
      <c r="C163" s="283">
        <v>7120</v>
      </c>
      <c r="D163" s="283">
        <v>7090</v>
      </c>
      <c r="E163" s="283">
        <v>7690</v>
      </c>
      <c r="F163" s="291">
        <v>1230</v>
      </c>
      <c r="H163" s="298"/>
    </row>
    <row r="164" spans="1:8" s="269" customFormat="1" ht="14.25" customHeight="1">
      <c r="A164" s="278" t="s">
        <v>1922</v>
      </c>
      <c r="B164" s="283" t="s">
        <v>1929</v>
      </c>
      <c r="C164" s="283">
        <v>6560</v>
      </c>
      <c r="D164" s="283">
        <v>6530</v>
      </c>
      <c r="E164" s="283">
        <v>7110</v>
      </c>
      <c r="F164" s="291">
        <v>1340</v>
      </c>
      <c r="H164" s="298"/>
    </row>
    <row r="165" spans="1:8" s="269" customFormat="1" ht="14.25" customHeight="1">
      <c r="A165" s="278" t="s">
        <v>1922</v>
      </c>
      <c r="B165" s="283" t="s">
        <v>1930</v>
      </c>
      <c r="C165" s="283">
        <v>7450</v>
      </c>
      <c r="D165" s="283">
        <v>7430</v>
      </c>
      <c r="E165" s="283">
        <v>8110</v>
      </c>
      <c r="F165" s="291">
        <v>1290</v>
      </c>
      <c r="H165" s="298"/>
    </row>
    <row r="166" spans="1:8" s="269" customFormat="1" ht="14.25" customHeight="1">
      <c r="A166" s="278" t="s">
        <v>1922</v>
      </c>
      <c r="B166" s="283" t="s">
        <v>1931</v>
      </c>
      <c r="C166" s="283">
        <v>7490</v>
      </c>
      <c r="D166" s="283">
        <v>7460</v>
      </c>
      <c r="E166" s="283">
        <v>8150</v>
      </c>
      <c r="F166" s="291">
        <v>1350</v>
      </c>
      <c r="H166" s="298"/>
    </row>
    <row r="167" spans="1:8" s="269" customFormat="1" ht="14.25" customHeight="1">
      <c r="A167" s="278" t="s">
        <v>1922</v>
      </c>
      <c r="B167" s="283" t="s">
        <v>1932</v>
      </c>
      <c r="C167" s="283">
        <v>7540</v>
      </c>
      <c r="D167" s="283">
        <v>7510</v>
      </c>
      <c r="E167" s="283">
        <v>8030</v>
      </c>
      <c r="F167" s="300"/>
      <c r="H167" s="298"/>
    </row>
    <row r="168" spans="1:8" s="269" customFormat="1" ht="14.25" customHeight="1">
      <c r="A168" s="278" t="s">
        <v>1922</v>
      </c>
      <c r="B168" s="283" t="s">
        <v>1933</v>
      </c>
      <c r="C168" s="283">
        <v>7210</v>
      </c>
      <c r="D168" s="283">
        <v>7180</v>
      </c>
      <c r="E168" s="283">
        <v>7830</v>
      </c>
      <c r="F168" s="300"/>
      <c r="H168" s="298"/>
    </row>
    <row r="169" spans="1:8" s="269" customFormat="1" ht="14.25" customHeight="1">
      <c r="A169" s="278" t="s">
        <v>1922</v>
      </c>
      <c r="B169" s="283" t="s">
        <v>1934</v>
      </c>
      <c r="C169" s="283">
        <v>7040</v>
      </c>
      <c r="D169" s="283">
        <v>7020</v>
      </c>
      <c r="E169" s="283">
        <v>7670</v>
      </c>
      <c r="F169" s="300"/>
      <c r="H169" s="298"/>
    </row>
    <row r="170" spans="1:8" s="269" customFormat="1" ht="14.25" customHeight="1">
      <c r="A170" s="278" t="s">
        <v>1922</v>
      </c>
      <c r="B170" s="283" t="s">
        <v>1935</v>
      </c>
      <c r="C170" s="283">
        <v>8040</v>
      </c>
      <c r="D170" s="283">
        <v>7190</v>
      </c>
      <c r="E170" s="283">
        <v>7850</v>
      </c>
      <c r="F170" s="300"/>
      <c r="H170" s="298"/>
    </row>
    <row r="171" spans="1:8" s="269" customFormat="1" ht="14.25" customHeight="1">
      <c r="A171" s="278" t="s">
        <v>1922</v>
      </c>
      <c r="B171" s="283" t="s">
        <v>1936</v>
      </c>
      <c r="C171" s="283">
        <v>7860</v>
      </c>
      <c r="D171" s="283">
        <v>7720</v>
      </c>
      <c r="E171" s="283">
        <v>8150</v>
      </c>
      <c r="F171" s="291">
        <v>1110</v>
      </c>
      <c r="H171" s="298"/>
    </row>
    <row r="172" spans="1:8" s="269" customFormat="1" ht="14.25" customHeight="1">
      <c r="A172" s="278" t="s">
        <v>1922</v>
      </c>
      <c r="B172" s="283" t="s">
        <v>1937</v>
      </c>
      <c r="C172" s="283">
        <v>7210</v>
      </c>
      <c r="D172" s="283">
        <v>7170</v>
      </c>
      <c r="E172" s="283">
        <v>7320</v>
      </c>
      <c r="F172" s="300"/>
      <c r="H172" s="298"/>
    </row>
    <row r="173" spans="1:8" s="269" customFormat="1" ht="14.25" customHeight="1">
      <c r="A173" s="278" t="s">
        <v>1922</v>
      </c>
      <c r="B173" s="283" t="s">
        <v>1938</v>
      </c>
      <c r="C173" s="283">
        <v>6860</v>
      </c>
      <c r="D173" s="283">
        <v>6810</v>
      </c>
      <c r="E173" s="283">
        <v>7440</v>
      </c>
      <c r="F173" s="300"/>
      <c r="H173" s="298"/>
    </row>
    <row r="174" spans="1:8" s="269" customFormat="1" ht="14.25" customHeight="1">
      <c r="A174" s="278" t="s">
        <v>1922</v>
      </c>
      <c r="B174" s="283" t="s">
        <v>1939</v>
      </c>
      <c r="C174" s="283">
        <v>7120</v>
      </c>
      <c r="D174" s="283">
        <v>7090</v>
      </c>
      <c r="E174" s="283">
        <v>7500</v>
      </c>
      <c r="F174" s="291">
        <v>1490</v>
      </c>
      <c r="H174" s="298"/>
    </row>
    <row r="175" spans="1:8" s="269" customFormat="1" ht="14.25" customHeight="1">
      <c r="A175" s="278" t="s">
        <v>1922</v>
      </c>
      <c r="B175" s="283" t="s">
        <v>1940</v>
      </c>
      <c r="C175" s="283">
        <v>7850</v>
      </c>
      <c r="D175" s="283">
        <v>7820</v>
      </c>
      <c r="E175" s="283">
        <v>8120</v>
      </c>
      <c r="F175" s="291">
        <v>1530</v>
      </c>
      <c r="H175" s="298"/>
    </row>
    <row r="176" spans="1:8" s="269" customFormat="1" ht="14.25" customHeight="1">
      <c r="A176" s="278" t="s">
        <v>1922</v>
      </c>
      <c r="B176" s="283" t="s">
        <v>1941</v>
      </c>
      <c r="C176" s="283">
        <v>7620</v>
      </c>
      <c r="D176" s="283">
        <v>7570</v>
      </c>
      <c r="E176" s="283">
        <v>7990</v>
      </c>
      <c r="F176" s="291">
        <v>1480</v>
      </c>
      <c r="H176" s="298"/>
    </row>
    <row r="177" spans="1:8" s="269" customFormat="1" ht="14.25" customHeight="1">
      <c r="A177" s="278" t="s">
        <v>1922</v>
      </c>
      <c r="B177" s="283" t="s">
        <v>1942</v>
      </c>
      <c r="C177" s="283">
        <v>8590</v>
      </c>
      <c r="D177" s="283">
        <v>8570</v>
      </c>
      <c r="E177" s="283">
        <v>8740</v>
      </c>
      <c r="F177" s="291">
        <v>1540</v>
      </c>
      <c r="H177" s="298"/>
    </row>
    <row r="178" spans="1:8" s="269" customFormat="1" ht="14.25" customHeight="1">
      <c r="A178" s="278" t="s">
        <v>1922</v>
      </c>
      <c r="B178" s="283" t="s">
        <v>1943</v>
      </c>
      <c r="C178" s="283">
        <v>7510</v>
      </c>
      <c r="D178" s="283">
        <v>7470</v>
      </c>
      <c r="E178" s="283">
        <v>8090</v>
      </c>
      <c r="F178" s="291">
        <v>1320</v>
      </c>
      <c r="H178" s="298"/>
    </row>
    <row r="179" spans="1:8" s="269" customFormat="1" ht="14.25" customHeight="1">
      <c r="A179" s="278" t="s">
        <v>1922</v>
      </c>
      <c r="B179" s="283" t="s">
        <v>1944</v>
      </c>
      <c r="C179" s="283">
        <v>6380</v>
      </c>
      <c r="D179" s="283">
        <v>6340</v>
      </c>
      <c r="E179" s="283">
        <v>6810</v>
      </c>
      <c r="F179" s="300"/>
      <c r="H179" s="298"/>
    </row>
    <row r="180" spans="1:8" s="269" customFormat="1" ht="14.25" customHeight="1">
      <c r="A180" s="278" t="s">
        <v>1922</v>
      </c>
      <c r="B180" s="283" t="s">
        <v>1945</v>
      </c>
      <c r="C180" s="283">
        <v>7830</v>
      </c>
      <c r="D180" s="283">
        <v>7800</v>
      </c>
      <c r="E180" s="283">
        <v>7780</v>
      </c>
      <c r="F180" s="291">
        <v>1440</v>
      </c>
      <c r="H180" s="298"/>
    </row>
    <row r="181" spans="1:8" s="269" customFormat="1" ht="14.25" customHeight="1">
      <c r="A181" s="278" t="s">
        <v>1922</v>
      </c>
      <c r="B181" s="283" t="s">
        <v>1946</v>
      </c>
      <c r="C181" s="283">
        <v>7110</v>
      </c>
      <c r="D181" s="283">
        <v>7080</v>
      </c>
      <c r="E181" s="283">
        <v>7730</v>
      </c>
      <c r="F181" s="291">
        <v>1350</v>
      </c>
      <c r="H181" s="298"/>
    </row>
    <row r="182" spans="1:8" s="269" customFormat="1" ht="14.25" customHeight="1">
      <c r="A182" s="278" t="s">
        <v>1922</v>
      </c>
      <c r="B182" s="283" t="s">
        <v>1947</v>
      </c>
      <c r="C182" s="283">
        <v>7310</v>
      </c>
      <c r="D182" s="283">
        <v>7280</v>
      </c>
      <c r="E182" s="283">
        <v>7950</v>
      </c>
      <c r="F182" s="291">
        <v>1220</v>
      </c>
      <c r="H182" s="298"/>
    </row>
    <row r="183" spans="1:8" s="269" customFormat="1" ht="14.25" customHeight="1">
      <c r="A183" s="278" t="s">
        <v>1922</v>
      </c>
      <c r="B183" s="283" t="s">
        <v>1948</v>
      </c>
      <c r="C183" s="283">
        <v>7470</v>
      </c>
      <c r="D183" s="283">
        <v>7440</v>
      </c>
      <c r="E183" s="283">
        <v>7880</v>
      </c>
      <c r="F183" s="300"/>
      <c r="H183" s="298"/>
    </row>
    <row r="184" spans="1:8" s="269" customFormat="1" ht="14.25" customHeight="1">
      <c r="A184" s="278" t="s">
        <v>1922</v>
      </c>
      <c r="B184" s="283" t="s">
        <v>1949</v>
      </c>
      <c r="C184" s="283">
        <v>6960</v>
      </c>
      <c r="D184" s="283">
        <v>6930</v>
      </c>
      <c r="E184" s="283">
        <v>7570</v>
      </c>
      <c r="F184" s="300"/>
      <c r="H184" s="298"/>
    </row>
    <row r="185" spans="1:8" s="269" customFormat="1" ht="14.25" customHeight="1">
      <c r="A185" s="278" t="s">
        <v>1922</v>
      </c>
      <c r="B185" s="283" t="s">
        <v>1950</v>
      </c>
      <c r="C185" s="283">
        <v>7260</v>
      </c>
      <c r="D185" s="283">
        <v>7230</v>
      </c>
      <c r="E185" s="283">
        <v>7710</v>
      </c>
      <c r="F185" s="291">
        <v>1360</v>
      </c>
      <c r="H185" s="298"/>
    </row>
    <row r="186" spans="1:8" s="269" customFormat="1" ht="14.25" customHeight="1">
      <c r="A186" s="278" t="s">
        <v>1922</v>
      </c>
      <c r="B186" s="283" t="s">
        <v>1951</v>
      </c>
      <c r="C186" s="283"/>
      <c r="D186" s="283"/>
      <c r="E186" s="283"/>
      <c r="F186" s="291">
        <v>1560</v>
      </c>
      <c r="H186" s="298"/>
    </row>
    <row r="187" spans="1:8" s="269" customFormat="1" ht="14.25" customHeight="1">
      <c r="A187" s="278" t="s">
        <v>1922</v>
      </c>
      <c r="B187" s="283" t="s">
        <v>1952</v>
      </c>
      <c r="C187" s="283"/>
      <c r="D187" s="283"/>
      <c r="E187" s="283"/>
      <c r="F187" s="291">
        <v>1560</v>
      </c>
      <c r="H187" s="298"/>
    </row>
    <row r="188" spans="1:8" s="269" customFormat="1" ht="14.25" customHeight="1">
      <c r="A188" s="278" t="s">
        <v>1922</v>
      </c>
      <c r="B188" s="283" t="s">
        <v>1953</v>
      </c>
      <c r="C188" s="283"/>
      <c r="D188" s="283"/>
      <c r="E188" s="283"/>
      <c r="F188" s="291">
        <v>1560</v>
      </c>
      <c r="H188" s="298"/>
    </row>
    <row r="189" spans="1:8" s="269" customFormat="1" ht="14.25" customHeight="1">
      <c r="A189" s="278" t="s">
        <v>1922</v>
      </c>
      <c r="B189" s="283" t="s">
        <v>1954</v>
      </c>
      <c r="C189" s="283"/>
      <c r="D189" s="283"/>
      <c r="E189" s="283"/>
      <c r="F189" s="291">
        <v>1320</v>
      </c>
      <c r="H189" s="298"/>
    </row>
    <row r="190" spans="1:8" s="269" customFormat="1" ht="14.25" customHeight="1">
      <c r="A190" s="278" t="s">
        <v>1922</v>
      </c>
      <c r="B190" s="283" t="s">
        <v>1955</v>
      </c>
      <c r="C190" s="283"/>
      <c r="D190" s="283"/>
      <c r="E190" s="283"/>
      <c r="F190" s="291">
        <v>1320</v>
      </c>
      <c r="H190" s="298"/>
    </row>
    <row r="191" spans="1:8" s="269" customFormat="1" ht="14.25" customHeight="1">
      <c r="A191" s="278" t="s">
        <v>1922</v>
      </c>
      <c r="B191" s="283" t="s">
        <v>1956</v>
      </c>
      <c r="C191" s="283"/>
      <c r="D191" s="283"/>
      <c r="E191" s="283"/>
      <c r="F191" s="291">
        <v>1320</v>
      </c>
      <c r="H191" s="298"/>
    </row>
    <row r="192" spans="1:8" s="269" customFormat="1" ht="14.25" customHeight="1">
      <c r="A192" s="278" t="s">
        <v>1922</v>
      </c>
      <c r="B192" s="283" t="s">
        <v>1957</v>
      </c>
      <c r="C192" s="283"/>
      <c r="D192" s="283"/>
      <c r="E192" s="283"/>
      <c r="F192" s="291">
        <v>1100</v>
      </c>
      <c r="H192" s="298"/>
    </row>
    <row r="193" spans="1:8" s="269" customFormat="1" ht="14.25" customHeight="1">
      <c r="A193" s="278" t="s">
        <v>1922</v>
      </c>
      <c r="B193" s="283" t="s">
        <v>1958</v>
      </c>
      <c r="C193" s="283"/>
      <c r="D193" s="283"/>
      <c r="E193" s="283"/>
      <c r="F193" s="291">
        <v>1100</v>
      </c>
      <c r="H193" s="298"/>
    </row>
    <row r="194" spans="1:8" s="269" customFormat="1" ht="14.25" customHeight="1">
      <c r="A194" s="278" t="s">
        <v>1922</v>
      </c>
      <c r="B194" s="283" t="s">
        <v>1959</v>
      </c>
      <c r="C194" s="283"/>
      <c r="D194" s="283"/>
      <c r="E194" s="283"/>
      <c r="F194" s="291">
        <v>1080</v>
      </c>
      <c r="H194" s="298"/>
    </row>
    <row r="195" spans="1:8" s="269" customFormat="1" ht="14.25" customHeight="1">
      <c r="A195" s="278" t="s">
        <v>1922</v>
      </c>
      <c r="B195" s="283" t="s">
        <v>1960</v>
      </c>
      <c r="C195" s="283"/>
      <c r="D195" s="283"/>
      <c r="E195" s="283"/>
      <c r="F195" s="291">
        <v>1270</v>
      </c>
      <c r="H195" s="298"/>
    </row>
    <row r="196" spans="1:8" s="269" customFormat="1" ht="14.25" customHeight="1">
      <c r="A196" s="278" t="s">
        <v>1922</v>
      </c>
      <c r="B196" s="283" t="s">
        <v>1961</v>
      </c>
      <c r="C196" s="283"/>
      <c r="D196" s="283"/>
      <c r="E196" s="283"/>
      <c r="F196" s="291">
        <v>1150</v>
      </c>
      <c r="H196" s="298"/>
    </row>
    <row r="197" spans="1:8" s="269" customFormat="1" ht="14.25" customHeight="1">
      <c r="A197" s="278" t="s">
        <v>1922</v>
      </c>
      <c r="B197" s="283" t="s">
        <v>1962</v>
      </c>
      <c r="C197" s="283"/>
      <c r="D197" s="283"/>
      <c r="E197" s="283"/>
      <c r="F197" s="291">
        <v>1330</v>
      </c>
      <c r="H197" s="298"/>
    </row>
    <row r="198" spans="1:8" s="269" customFormat="1" ht="14.25" customHeight="1">
      <c r="A198" s="278" t="s">
        <v>1922</v>
      </c>
      <c r="B198" s="283" t="s">
        <v>1963</v>
      </c>
      <c r="C198" s="283"/>
      <c r="D198" s="283"/>
      <c r="E198" s="283"/>
      <c r="F198" s="291">
        <v>1170</v>
      </c>
      <c r="H198" s="298"/>
    </row>
    <row r="199" spans="1:8" s="269" customFormat="1" ht="14.25" customHeight="1">
      <c r="A199" s="278" t="s">
        <v>1922</v>
      </c>
      <c r="B199" s="283" t="s">
        <v>1964</v>
      </c>
      <c r="C199" s="283"/>
      <c r="D199" s="283"/>
      <c r="E199" s="283"/>
      <c r="F199" s="291">
        <v>1120</v>
      </c>
      <c r="H199" s="298"/>
    </row>
    <row r="200" spans="1:8" s="269" customFormat="1" ht="14.25" customHeight="1">
      <c r="A200" s="278" t="s">
        <v>1922</v>
      </c>
      <c r="B200" s="283" t="s">
        <v>1965</v>
      </c>
      <c r="C200" s="283"/>
      <c r="D200" s="283"/>
      <c r="E200" s="283"/>
      <c r="F200" s="291">
        <v>1120</v>
      </c>
      <c r="H200" s="298"/>
    </row>
    <row r="201" spans="1:8" s="269" customFormat="1" ht="14.25" customHeight="1">
      <c r="A201" s="278" t="s">
        <v>1922</v>
      </c>
      <c r="B201" s="283" t="s">
        <v>1966</v>
      </c>
      <c r="C201" s="283"/>
      <c r="D201" s="283"/>
      <c r="E201" s="283"/>
      <c r="F201" s="291">
        <v>1540</v>
      </c>
      <c r="H201" s="298"/>
    </row>
    <row r="202" spans="1:8" s="269" customFormat="1" ht="14.25" customHeight="1">
      <c r="A202" s="278" t="s">
        <v>1922</v>
      </c>
      <c r="B202" s="283" t="s">
        <v>1967</v>
      </c>
      <c r="C202" s="283"/>
      <c r="D202" s="283"/>
      <c r="E202" s="283"/>
      <c r="F202" s="291">
        <v>1310</v>
      </c>
      <c r="H202" s="298"/>
    </row>
    <row r="203" spans="1:8" s="269" customFormat="1" ht="14.25" customHeight="1">
      <c r="A203" s="278" t="s">
        <v>1922</v>
      </c>
      <c r="B203" s="283" t="s">
        <v>1968</v>
      </c>
      <c r="C203" s="283"/>
      <c r="D203" s="283"/>
      <c r="E203" s="283"/>
      <c r="F203" s="291">
        <v>1310</v>
      </c>
      <c r="H203" s="298"/>
    </row>
    <row r="204" spans="1:8" s="269" customFormat="1" ht="14.25" customHeight="1">
      <c r="A204" s="278" t="s">
        <v>1922</v>
      </c>
      <c r="B204" s="283" t="s">
        <v>1969</v>
      </c>
      <c r="C204" s="283"/>
      <c r="D204" s="283"/>
      <c r="E204" s="283"/>
      <c r="F204" s="291">
        <v>1080</v>
      </c>
      <c r="H204" s="298"/>
    </row>
    <row r="205" spans="1:8" s="269" customFormat="1" ht="14.25" customHeight="1">
      <c r="A205" s="278" t="s">
        <v>1922</v>
      </c>
      <c r="B205" s="283" t="s">
        <v>1970</v>
      </c>
      <c r="C205" s="283"/>
      <c r="D205" s="283"/>
      <c r="E205" s="283"/>
      <c r="F205" s="291">
        <v>1080</v>
      </c>
      <c r="H205" s="298"/>
    </row>
    <row r="206" spans="1:8" s="269" customFormat="1" ht="14.25" customHeight="1">
      <c r="A206" s="278" t="s">
        <v>1971</v>
      </c>
      <c r="B206" s="279" t="s">
        <v>1972</v>
      </c>
      <c r="C206" s="279">
        <v>5450</v>
      </c>
      <c r="D206" s="279">
        <v>5430</v>
      </c>
      <c r="E206" s="279">
        <v>5700</v>
      </c>
      <c r="F206" s="280">
        <v>1020</v>
      </c>
      <c r="H206" s="298"/>
    </row>
    <row r="207" spans="1:8" s="269" customFormat="1" ht="14.25" customHeight="1">
      <c r="A207" s="278" t="s">
        <v>1971</v>
      </c>
      <c r="B207" s="283" t="s">
        <v>1973</v>
      </c>
      <c r="C207" s="283">
        <v>5860</v>
      </c>
      <c r="D207" s="283">
        <v>5820</v>
      </c>
      <c r="E207" s="283">
        <v>6050</v>
      </c>
      <c r="F207" s="291">
        <v>1080</v>
      </c>
      <c r="H207" s="298"/>
    </row>
    <row r="208" spans="1:8" s="269" customFormat="1" ht="14.25" customHeight="1">
      <c r="A208" s="278" t="s">
        <v>1971</v>
      </c>
      <c r="B208" s="283" t="s">
        <v>1974</v>
      </c>
      <c r="C208" s="283">
        <v>4630</v>
      </c>
      <c r="D208" s="283">
        <v>4600</v>
      </c>
      <c r="E208" s="283">
        <v>4840</v>
      </c>
      <c r="F208" s="291">
        <v>900</v>
      </c>
      <c r="H208" s="298"/>
    </row>
    <row r="209" spans="1:8" s="269" customFormat="1" ht="14.25" customHeight="1">
      <c r="A209" s="278" t="s">
        <v>1971</v>
      </c>
      <c r="B209" s="283" t="s">
        <v>1975</v>
      </c>
      <c r="C209" s="283">
        <v>5320</v>
      </c>
      <c r="D209" s="283">
        <v>5270</v>
      </c>
      <c r="E209" s="283">
        <v>5540</v>
      </c>
      <c r="F209" s="291">
        <v>980</v>
      </c>
      <c r="H209" s="298"/>
    </row>
    <row r="210" spans="1:8" s="269" customFormat="1" ht="14.25" customHeight="1">
      <c r="A210" s="278" t="s">
        <v>1971</v>
      </c>
      <c r="B210" s="283" t="s">
        <v>1976</v>
      </c>
      <c r="C210" s="283">
        <v>5760</v>
      </c>
      <c r="D210" s="283">
        <v>5710</v>
      </c>
      <c r="E210" s="283">
        <v>6010</v>
      </c>
      <c r="F210" s="291">
        <v>870</v>
      </c>
      <c r="H210" s="298"/>
    </row>
    <row r="211" spans="1:8" s="269" customFormat="1" ht="14.25" customHeight="1">
      <c r="A211" s="278" t="s">
        <v>1971</v>
      </c>
      <c r="B211" s="283" t="s">
        <v>1977</v>
      </c>
      <c r="C211" s="283">
        <v>4160</v>
      </c>
      <c r="D211" s="283">
        <v>4100</v>
      </c>
      <c r="E211" s="283">
        <v>4270</v>
      </c>
      <c r="F211" s="291">
        <v>790</v>
      </c>
      <c r="H211" s="298"/>
    </row>
    <row r="212" spans="1:8" s="269" customFormat="1" ht="14.25" customHeight="1">
      <c r="A212" s="278" t="s">
        <v>1971</v>
      </c>
      <c r="B212" s="283" t="s">
        <v>1978</v>
      </c>
      <c r="C212" s="283">
        <v>4880</v>
      </c>
      <c r="D212" s="283">
        <v>4850</v>
      </c>
      <c r="E212" s="283">
        <v>5110</v>
      </c>
      <c r="F212" s="291">
        <v>940</v>
      </c>
      <c r="H212" s="298"/>
    </row>
    <row r="213" spans="1:8" s="269" customFormat="1" ht="14.25" customHeight="1">
      <c r="A213" s="278" t="s">
        <v>1971</v>
      </c>
      <c r="B213" s="283" t="s">
        <v>1979</v>
      </c>
      <c r="C213" s="283">
        <v>4640</v>
      </c>
      <c r="D213" s="283">
        <v>4590</v>
      </c>
      <c r="E213" s="283">
        <v>4700</v>
      </c>
      <c r="F213" s="291">
        <v>1030</v>
      </c>
      <c r="H213" s="298"/>
    </row>
    <row r="214" spans="1:8" s="269" customFormat="1" ht="14.25" customHeight="1">
      <c r="A214" s="278" t="s">
        <v>1971</v>
      </c>
      <c r="B214" s="283" t="s">
        <v>1980</v>
      </c>
      <c r="C214" s="283">
        <v>4540</v>
      </c>
      <c r="D214" s="283">
        <v>4490</v>
      </c>
      <c r="E214" s="283">
        <v>4610</v>
      </c>
      <c r="F214" s="300"/>
      <c r="H214" s="298"/>
    </row>
    <row r="215" spans="1:8" s="269" customFormat="1" ht="14.25" customHeight="1">
      <c r="A215" s="278" t="s">
        <v>1971</v>
      </c>
      <c r="B215" s="283" t="s">
        <v>1981</v>
      </c>
      <c r="C215" s="283">
        <v>5280</v>
      </c>
      <c r="D215" s="283">
        <v>5250</v>
      </c>
      <c r="E215" s="283">
        <v>5520</v>
      </c>
      <c r="F215" s="291">
        <v>1000</v>
      </c>
      <c r="H215" s="298"/>
    </row>
    <row r="216" spans="1:8" s="269" customFormat="1" ht="14.25" customHeight="1">
      <c r="A216" s="278" t="s">
        <v>1971</v>
      </c>
      <c r="B216" s="283" t="s">
        <v>1982</v>
      </c>
      <c r="C216" s="283">
        <v>5100</v>
      </c>
      <c r="D216" s="283">
        <v>5050</v>
      </c>
      <c r="E216" s="283">
        <v>5300</v>
      </c>
      <c r="F216" s="291">
        <v>950</v>
      </c>
      <c r="H216" s="298"/>
    </row>
    <row r="217" spans="1:8" s="269" customFormat="1" ht="14.25" customHeight="1">
      <c r="A217" s="278" t="s">
        <v>1971</v>
      </c>
      <c r="B217" s="283" t="s">
        <v>1983</v>
      </c>
      <c r="C217" s="283">
        <v>5370</v>
      </c>
      <c r="D217" s="283">
        <v>5320</v>
      </c>
      <c r="E217" s="283">
        <v>5410</v>
      </c>
      <c r="F217" s="291">
        <v>950</v>
      </c>
      <c r="H217" s="298"/>
    </row>
    <row r="218" spans="1:8" s="269" customFormat="1" ht="14.25" customHeight="1">
      <c r="A218" s="278" t="s">
        <v>1971</v>
      </c>
      <c r="B218" s="283" t="s">
        <v>1984</v>
      </c>
      <c r="C218" s="283">
        <v>5540</v>
      </c>
      <c r="D218" s="283">
        <v>5480</v>
      </c>
      <c r="E218" s="283">
        <v>5740</v>
      </c>
      <c r="F218" s="291">
        <v>1020</v>
      </c>
      <c r="H218" s="298"/>
    </row>
    <row r="219" spans="1:8" s="269" customFormat="1" ht="14.25" customHeight="1">
      <c r="A219" s="278" t="s">
        <v>1971</v>
      </c>
      <c r="B219" s="283" t="s">
        <v>1985</v>
      </c>
      <c r="C219" s="283">
        <v>5140</v>
      </c>
      <c r="D219" s="283">
        <v>5100</v>
      </c>
      <c r="E219" s="283">
        <v>5350</v>
      </c>
      <c r="F219" s="291">
        <v>1120</v>
      </c>
      <c r="H219" s="298"/>
    </row>
    <row r="220" spans="1:8" s="269" customFormat="1" ht="14.25" customHeight="1">
      <c r="A220" s="278" t="s">
        <v>1971</v>
      </c>
      <c r="B220" s="283" t="s">
        <v>1986</v>
      </c>
      <c r="C220" s="283">
        <v>5040</v>
      </c>
      <c r="D220" s="283">
        <v>5000</v>
      </c>
      <c r="E220" s="283">
        <v>5240</v>
      </c>
      <c r="F220" s="291">
        <v>980</v>
      </c>
      <c r="H220" s="298"/>
    </row>
    <row r="221" spans="1:8" s="269" customFormat="1" ht="14.25" customHeight="1">
      <c r="A221" s="278" t="s">
        <v>1971</v>
      </c>
      <c r="B221" s="283" t="s">
        <v>1987</v>
      </c>
      <c r="C221" s="303"/>
      <c r="D221" s="303"/>
      <c r="E221" s="303"/>
      <c r="F221" s="291">
        <v>1070</v>
      </c>
      <c r="H221" s="298"/>
    </row>
    <row r="222" spans="1:8" s="269" customFormat="1" ht="14.25" customHeight="1">
      <c r="A222" s="278" t="s">
        <v>1971</v>
      </c>
      <c r="B222" s="283" t="s">
        <v>1988</v>
      </c>
      <c r="C222" s="303"/>
      <c r="D222" s="303"/>
      <c r="E222" s="303"/>
      <c r="F222" s="291">
        <v>870</v>
      </c>
      <c r="H222" s="298"/>
    </row>
    <row r="223" spans="1:8" s="269" customFormat="1" ht="14.25" customHeight="1">
      <c r="A223" s="278" t="s">
        <v>1971</v>
      </c>
      <c r="B223" s="283" t="s">
        <v>1989</v>
      </c>
      <c r="C223" s="303"/>
      <c r="D223" s="303"/>
      <c r="E223" s="303"/>
      <c r="F223" s="291">
        <v>940</v>
      </c>
      <c r="H223" s="298"/>
    </row>
    <row r="224" spans="1:8" s="269" customFormat="1" ht="14.25" customHeight="1">
      <c r="A224" s="278" t="s">
        <v>1971</v>
      </c>
      <c r="B224" s="283" t="s">
        <v>1990</v>
      </c>
      <c r="C224" s="303"/>
      <c r="D224" s="303"/>
      <c r="E224" s="303"/>
      <c r="F224" s="291">
        <v>990</v>
      </c>
      <c r="H224" s="298"/>
    </row>
    <row r="225" spans="1:8" s="269" customFormat="1" ht="14.25" customHeight="1">
      <c r="A225" s="278" t="s">
        <v>1971</v>
      </c>
      <c r="B225" s="283" t="s">
        <v>1991</v>
      </c>
      <c r="C225" s="283">
        <v>5730</v>
      </c>
      <c r="D225" s="283">
        <v>5680</v>
      </c>
      <c r="E225" s="283">
        <v>6020</v>
      </c>
      <c r="F225" s="291">
        <v>1000</v>
      </c>
      <c r="H225" s="298"/>
    </row>
    <row r="226" spans="1:8" s="269" customFormat="1" ht="14.25" customHeight="1">
      <c r="A226" s="278" t="s">
        <v>1971</v>
      </c>
      <c r="B226" s="283" t="s">
        <v>1992</v>
      </c>
      <c r="C226" s="283">
        <v>4970</v>
      </c>
      <c r="D226" s="283">
        <v>4940</v>
      </c>
      <c r="E226" s="283">
        <v>5180</v>
      </c>
      <c r="F226" s="291">
        <v>960</v>
      </c>
      <c r="H226" s="298"/>
    </row>
    <row r="227" spans="1:8" s="269" customFormat="1" ht="14.25" customHeight="1">
      <c r="A227" s="278" t="s">
        <v>1971</v>
      </c>
      <c r="B227" s="283" t="s">
        <v>1993</v>
      </c>
      <c r="C227" s="283">
        <v>5550</v>
      </c>
      <c r="D227" s="283">
        <v>5500</v>
      </c>
      <c r="E227" s="283">
        <v>5780</v>
      </c>
      <c r="F227" s="291">
        <v>940</v>
      </c>
      <c r="H227" s="298"/>
    </row>
    <row r="228" spans="1:8" s="269" customFormat="1" ht="14.25" customHeight="1">
      <c r="A228" s="278" t="s">
        <v>1971</v>
      </c>
      <c r="B228" s="283" t="s">
        <v>1994</v>
      </c>
      <c r="C228" s="283">
        <v>5460</v>
      </c>
      <c r="D228" s="283">
        <v>5420</v>
      </c>
      <c r="E228" s="283">
        <v>5690</v>
      </c>
      <c r="F228" s="291">
        <v>910</v>
      </c>
      <c r="H228" s="298"/>
    </row>
    <row r="229" spans="1:8" s="269" customFormat="1" ht="14.25" customHeight="1">
      <c r="A229" s="278" t="s">
        <v>1971</v>
      </c>
      <c r="B229" s="283" t="s">
        <v>1995</v>
      </c>
      <c r="C229" s="283">
        <v>5310</v>
      </c>
      <c r="D229" s="283">
        <v>5270</v>
      </c>
      <c r="E229" s="283">
        <v>5510</v>
      </c>
      <c r="F229" s="300"/>
      <c r="H229" s="298"/>
    </row>
    <row r="230" spans="1:8" s="269" customFormat="1" ht="14.25" customHeight="1">
      <c r="A230" s="278" t="s">
        <v>1971</v>
      </c>
      <c r="B230" s="283" t="s">
        <v>1996</v>
      </c>
      <c r="C230" s="283">
        <v>4540</v>
      </c>
      <c r="D230" s="283">
        <v>4500</v>
      </c>
      <c r="E230" s="283">
        <v>4730</v>
      </c>
      <c r="F230" s="300"/>
      <c r="H230" s="298"/>
    </row>
    <row r="231" spans="1:8" s="269" customFormat="1" ht="14.25" customHeight="1">
      <c r="A231" s="278" t="s">
        <v>1971</v>
      </c>
      <c r="B231" s="283" t="s">
        <v>1997</v>
      </c>
      <c r="C231" s="283">
        <v>4480</v>
      </c>
      <c r="D231" s="283">
        <v>4410</v>
      </c>
      <c r="E231" s="283">
        <v>4640</v>
      </c>
      <c r="F231" s="300"/>
      <c r="H231" s="298"/>
    </row>
    <row r="232" spans="1:8" s="269" customFormat="1" ht="14.25" customHeight="1">
      <c r="A232" s="278" t="s">
        <v>1971</v>
      </c>
      <c r="B232" s="283" t="s">
        <v>1998</v>
      </c>
      <c r="C232" s="283">
        <v>5670</v>
      </c>
      <c r="D232" s="283">
        <v>5600</v>
      </c>
      <c r="E232" s="283">
        <v>5890</v>
      </c>
      <c r="F232" s="291">
        <v>1150</v>
      </c>
      <c r="H232" s="298"/>
    </row>
    <row r="233" spans="1:8" s="269" customFormat="1" ht="14.25" customHeight="1">
      <c r="A233" s="278" t="s">
        <v>1971</v>
      </c>
      <c r="B233" s="283" t="s">
        <v>1999</v>
      </c>
      <c r="C233" s="283">
        <v>4590</v>
      </c>
      <c r="D233" s="283">
        <v>4500</v>
      </c>
      <c r="E233" s="283">
        <v>4600</v>
      </c>
      <c r="F233" s="300"/>
      <c r="H233" s="298"/>
    </row>
    <row r="234" spans="1:8" s="269" customFormat="1" ht="14.25" customHeight="1">
      <c r="A234" s="278" t="s">
        <v>1971</v>
      </c>
      <c r="B234" s="283" t="s">
        <v>2150</v>
      </c>
      <c r="C234" s="283">
        <v>3990</v>
      </c>
      <c r="D234" s="283">
        <v>3950</v>
      </c>
      <c r="E234" s="283">
        <v>4180</v>
      </c>
      <c r="F234" s="300"/>
      <c r="H234" s="298"/>
    </row>
    <row r="235" spans="1:8" s="269" customFormat="1" ht="14.25" customHeight="1">
      <c r="A235" s="278" t="s">
        <v>1971</v>
      </c>
      <c r="B235" s="283" t="s">
        <v>2001</v>
      </c>
      <c r="C235" s="283">
        <v>5590</v>
      </c>
      <c r="D235" s="283">
        <v>5540</v>
      </c>
      <c r="E235" s="283">
        <v>5810</v>
      </c>
      <c r="F235" s="291">
        <v>970</v>
      </c>
      <c r="H235" s="298"/>
    </row>
    <row r="236" spans="1:8" s="269" customFormat="1" ht="14.25" customHeight="1">
      <c r="A236" s="278" t="s">
        <v>1971</v>
      </c>
      <c r="B236" s="283" t="s">
        <v>2002</v>
      </c>
      <c r="C236" s="283"/>
      <c r="D236" s="283"/>
      <c r="E236" s="283"/>
      <c r="F236" s="291">
        <v>1020</v>
      </c>
      <c r="H236" s="298"/>
    </row>
    <row r="237" spans="1:8" s="269" customFormat="1" ht="14.25" customHeight="1">
      <c r="A237" s="278" t="s">
        <v>1971</v>
      </c>
      <c r="B237" s="283" t="s">
        <v>2003</v>
      </c>
      <c r="C237" s="283"/>
      <c r="D237" s="283"/>
      <c r="E237" s="283"/>
      <c r="F237" s="291">
        <v>960</v>
      </c>
      <c r="H237" s="298"/>
    </row>
    <row r="238" spans="1:8" s="269" customFormat="1" ht="14.25" customHeight="1">
      <c r="A238" s="278" t="s">
        <v>1971</v>
      </c>
      <c r="B238" s="283" t="s">
        <v>2004</v>
      </c>
      <c r="C238" s="283"/>
      <c r="D238" s="283"/>
      <c r="E238" s="283"/>
      <c r="F238" s="291">
        <v>960</v>
      </c>
      <c r="H238" s="298"/>
    </row>
    <row r="239" spans="1:8" s="269" customFormat="1" ht="14.25" customHeight="1">
      <c r="A239" s="278" t="s">
        <v>1971</v>
      </c>
      <c r="B239" s="283" t="s">
        <v>2005</v>
      </c>
      <c r="C239" s="283"/>
      <c r="D239" s="283"/>
      <c r="E239" s="283"/>
      <c r="F239" s="291">
        <v>960</v>
      </c>
      <c r="H239" s="298"/>
    </row>
    <row r="240" spans="1:8" s="269" customFormat="1" ht="14.25" customHeight="1">
      <c r="A240" s="278" t="s">
        <v>1971</v>
      </c>
      <c r="B240" s="283" t="s">
        <v>2006</v>
      </c>
      <c r="C240" s="283"/>
      <c r="D240" s="283"/>
      <c r="E240" s="283"/>
      <c r="F240" s="291">
        <v>990</v>
      </c>
      <c r="H240" s="298"/>
    </row>
    <row r="241" spans="1:8" s="269" customFormat="1" ht="14.25" customHeight="1">
      <c r="A241" s="278" t="s">
        <v>1971</v>
      </c>
      <c r="B241" s="283" t="s">
        <v>2007</v>
      </c>
      <c r="C241" s="283"/>
      <c r="D241" s="283"/>
      <c r="E241" s="283"/>
      <c r="F241" s="291">
        <v>1000</v>
      </c>
      <c r="H241" s="298"/>
    </row>
    <row r="242" spans="1:8" s="269" customFormat="1" ht="14.25" customHeight="1">
      <c r="A242" s="278" t="s">
        <v>1971</v>
      </c>
      <c r="B242" s="283" t="s">
        <v>2008</v>
      </c>
      <c r="C242" s="283"/>
      <c r="D242" s="283"/>
      <c r="E242" s="283"/>
      <c r="F242" s="291">
        <v>980</v>
      </c>
      <c r="H242" s="298"/>
    </row>
    <row r="243" spans="1:8" s="269" customFormat="1" ht="14.25" customHeight="1">
      <c r="A243" s="278" t="s">
        <v>1971</v>
      </c>
      <c r="B243" s="283" t="s">
        <v>2009</v>
      </c>
      <c r="C243" s="283"/>
      <c r="D243" s="283"/>
      <c r="E243" s="283"/>
      <c r="F243" s="291">
        <v>970</v>
      </c>
      <c r="H243" s="298"/>
    </row>
    <row r="244" spans="1:8" s="269" customFormat="1" ht="14.25" customHeight="1">
      <c r="A244" s="278" t="s">
        <v>1971</v>
      </c>
      <c r="B244" s="289" t="s">
        <v>2010</v>
      </c>
      <c r="C244" s="289"/>
      <c r="D244" s="289"/>
      <c r="E244" s="289"/>
      <c r="F244" s="299">
        <v>970</v>
      </c>
      <c r="H244" s="298"/>
    </row>
    <row r="245" spans="1:8" s="269" customFormat="1" ht="14.25" customHeight="1">
      <c r="A245" s="278" t="s">
        <v>2011</v>
      </c>
      <c r="B245" s="279" t="s">
        <v>2012</v>
      </c>
      <c r="C245" s="279">
        <v>4050</v>
      </c>
      <c r="D245" s="279">
        <v>4020</v>
      </c>
      <c r="E245" s="279">
        <v>4160</v>
      </c>
      <c r="F245" s="280">
        <v>840</v>
      </c>
      <c r="H245" s="298"/>
    </row>
    <row r="246" spans="1:8" s="269" customFormat="1" ht="14.25" customHeight="1">
      <c r="A246" s="278" t="s">
        <v>2011</v>
      </c>
      <c r="B246" s="283" t="s">
        <v>2013</v>
      </c>
      <c r="C246" s="283">
        <v>4010</v>
      </c>
      <c r="D246" s="283">
        <v>3960</v>
      </c>
      <c r="E246" s="283">
        <v>4130</v>
      </c>
      <c r="F246" s="291">
        <v>840</v>
      </c>
      <c r="H246" s="298"/>
    </row>
    <row r="247" spans="1:8" s="269" customFormat="1" ht="14.25" customHeight="1">
      <c r="A247" s="278" t="s">
        <v>2011</v>
      </c>
      <c r="B247" s="283" t="s">
        <v>2014</v>
      </c>
      <c r="C247" s="283">
        <v>3170</v>
      </c>
      <c r="D247" s="283">
        <v>3140</v>
      </c>
      <c r="E247" s="283">
        <v>3270</v>
      </c>
      <c r="F247" s="291">
        <v>640</v>
      </c>
      <c r="H247" s="298"/>
    </row>
    <row r="248" spans="1:8" s="269" customFormat="1" ht="14.25" customHeight="1">
      <c r="A248" s="278" t="s">
        <v>2011</v>
      </c>
      <c r="B248" s="283" t="s">
        <v>2015</v>
      </c>
      <c r="C248" s="283">
        <v>3140</v>
      </c>
      <c r="D248" s="283">
        <v>3120</v>
      </c>
      <c r="E248" s="283">
        <v>3240</v>
      </c>
      <c r="F248" s="291">
        <v>620</v>
      </c>
      <c r="H248" s="298"/>
    </row>
    <row r="249" spans="1:8" s="269" customFormat="1" ht="14.25" customHeight="1">
      <c r="A249" s="278" t="s">
        <v>2011</v>
      </c>
      <c r="B249" s="283" t="s">
        <v>2016</v>
      </c>
      <c r="C249" s="283">
        <v>3200</v>
      </c>
      <c r="D249" s="283">
        <v>3100</v>
      </c>
      <c r="E249" s="283">
        <v>3230</v>
      </c>
      <c r="F249" s="291">
        <v>750</v>
      </c>
      <c r="H249" s="298"/>
    </row>
    <row r="250" spans="1:8" s="269" customFormat="1" ht="14.25" customHeight="1">
      <c r="A250" s="278" t="s">
        <v>2011</v>
      </c>
      <c r="B250" s="283" t="s">
        <v>2017</v>
      </c>
      <c r="C250" s="283">
        <v>4060</v>
      </c>
      <c r="D250" s="283">
        <v>4000</v>
      </c>
      <c r="E250" s="283">
        <v>4140</v>
      </c>
      <c r="F250" s="291">
        <v>790</v>
      </c>
      <c r="H250" s="298"/>
    </row>
    <row r="251" spans="1:8" s="269" customFormat="1" ht="14.25" customHeight="1">
      <c r="A251" s="278" t="s">
        <v>2011</v>
      </c>
      <c r="B251" s="283" t="s">
        <v>2018</v>
      </c>
      <c r="C251" s="283">
        <v>3990</v>
      </c>
      <c r="D251" s="283">
        <v>3970</v>
      </c>
      <c r="E251" s="283">
        <v>4110</v>
      </c>
      <c r="F251" s="291">
        <v>730</v>
      </c>
      <c r="H251" s="298"/>
    </row>
    <row r="252" spans="1:8" s="269" customFormat="1" ht="14.25" customHeight="1">
      <c r="A252" s="278" t="s">
        <v>2011</v>
      </c>
      <c r="B252" s="283" t="s">
        <v>2019</v>
      </c>
      <c r="C252" s="283">
        <v>3560</v>
      </c>
      <c r="D252" s="283">
        <v>3530</v>
      </c>
      <c r="E252" s="283">
        <v>3650</v>
      </c>
      <c r="F252" s="291">
        <v>750</v>
      </c>
      <c r="H252" s="298"/>
    </row>
    <row r="253" spans="1:8" s="269" customFormat="1" ht="14.25" customHeight="1">
      <c r="A253" s="278" t="s">
        <v>2011</v>
      </c>
      <c r="B253" s="283" t="s">
        <v>2020</v>
      </c>
      <c r="C253" s="283">
        <v>3780</v>
      </c>
      <c r="D253" s="283">
        <v>3750</v>
      </c>
      <c r="E253" s="283">
        <v>3870</v>
      </c>
      <c r="F253" s="291">
        <v>770</v>
      </c>
      <c r="H253" s="298"/>
    </row>
    <row r="254" spans="1:8" s="269" customFormat="1" ht="14.25" customHeight="1">
      <c r="A254" s="278" t="s">
        <v>2011</v>
      </c>
      <c r="B254" s="283" t="s">
        <v>2021</v>
      </c>
      <c r="C254" s="303"/>
      <c r="D254" s="303"/>
      <c r="E254" s="303"/>
      <c r="F254" s="291">
        <v>740</v>
      </c>
      <c r="H254" s="298"/>
    </row>
    <row r="255" spans="1:8" s="269" customFormat="1" ht="14.25" customHeight="1">
      <c r="A255" s="278" t="s">
        <v>2011</v>
      </c>
      <c r="B255" s="283" t="s">
        <v>2022</v>
      </c>
      <c r="C255" s="303"/>
      <c r="D255" s="303"/>
      <c r="E255" s="303"/>
      <c r="F255" s="291">
        <v>760</v>
      </c>
      <c r="H255" s="298"/>
    </row>
    <row r="256" spans="1:8" s="269" customFormat="1" ht="14.25" customHeight="1">
      <c r="A256" s="278" t="s">
        <v>2011</v>
      </c>
      <c r="B256" s="283" t="s">
        <v>2023</v>
      </c>
      <c r="C256" s="283">
        <v>3760</v>
      </c>
      <c r="D256" s="283">
        <v>3730</v>
      </c>
      <c r="E256" s="283">
        <v>3870</v>
      </c>
      <c r="F256" s="291">
        <v>830</v>
      </c>
      <c r="H256" s="298"/>
    </row>
    <row r="257" spans="1:8" s="269" customFormat="1" ht="14.25" customHeight="1">
      <c r="A257" s="278" t="s">
        <v>2011</v>
      </c>
      <c r="B257" s="283" t="s">
        <v>2024</v>
      </c>
      <c r="C257" s="283">
        <v>3570</v>
      </c>
      <c r="D257" s="283">
        <v>3540</v>
      </c>
      <c r="E257" s="283">
        <v>3650</v>
      </c>
      <c r="F257" s="291">
        <v>790</v>
      </c>
      <c r="H257" s="298"/>
    </row>
    <row r="258" spans="1:8" s="269" customFormat="1" ht="14.25" customHeight="1">
      <c r="A258" s="278" t="s">
        <v>2011</v>
      </c>
      <c r="B258" s="283" t="s">
        <v>2025</v>
      </c>
      <c r="C258" s="283">
        <v>3410</v>
      </c>
      <c r="D258" s="283">
        <v>3380</v>
      </c>
      <c r="E258" s="283">
        <v>3500</v>
      </c>
      <c r="F258" s="291">
        <v>830</v>
      </c>
      <c r="H258" s="298"/>
    </row>
    <row r="259" spans="1:8" s="269" customFormat="1" ht="14.25" customHeight="1">
      <c r="A259" s="278" t="s">
        <v>2011</v>
      </c>
      <c r="B259" s="283" t="s">
        <v>2026</v>
      </c>
      <c r="C259" s="283">
        <v>3870</v>
      </c>
      <c r="D259" s="283">
        <v>3840</v>
      </c>
      <c r="E259" s="283">
        <v>3970</v>
      </c>
      <c r="F259" s="291">
        <v>830</v>
      </c>
      <c r="H259" s="298"/>
    </row>
    <row r="260" spans="1:8" s="269" customFormat="1" ht="14.25" customHeight="1">
      <c r="A260" s="278" t="s">
        <v>2011</v>
      </c>
      <c r="B260" s="283" t="s">
        <v>2027</v>
      </c>
      <c r="C260" s="283">
        <v>3700</v>
      </c>
      <c r="D260" s="283">
        <v>3660</v>
      </c>
      <c r="E260" s="283">
        <v>3810</v>
      </c>
      <c r="F260" s="291">
        <v>790</v>
      </c>
      <c r="H260" s="298"/>
    </row>
    <row r="261" spans="1:8" s="269" customFormat="1" ht="14.25" customHeight="1">
      <c r="A261" s="278" t="s">
        <v>2011</v>
      </c>
      <c r="B261" s="283" t="s">
        <v>2028</v>
      </c>
      <c r="C261" s="283">
        <v>3470</v>
      </c>
      <c r="D261" s="283">
        <v>3430</v>
      </c>
      <c r="E261" s="283">
        <v>3640</v>
      </c>
      <c r="F261" s="291">
        <v>760</v>
      </c>
      <c r="H261" s="298"/>
    </row>
    <row r="262" spans="1:8" s="269" customFormat="1" ht="14.25" customHeight="1">
      <c r="A262" s="278" t="s">
        <v>2011</v>
      </c>
      <c r="B262" s="283" t="s">
        <v>2029</v>
      </c>
      <c r="C262" s="283">
        <v>3510</v>
      </c>
      <c r="D262" s="283">
        <v>3470</v>
      </c>
      <c r="E262" s="283">
        <v>3680</v>
      </c>
      <c r="F262" s="300"/>
      <c r="H262" s="298"/>
    </row>
    <row r="263" spans="1:8" s="269" customFormat="1" ht="14.25" customHeight="1">
      <c r="A263" s="278" t="s">
        <v>2011</v>
      </c>
      <c r="B263" s="283" t="s">
        <v>2030</v>
      </c>
      <c r="C263" s="283">
        <v>3960</v>
      </c>
      <c r="D263" s="283">
        <v>3930</v>
      </c>
      <c r="E263" s="283">
        <v>4070</v>
      </c>
      <c r="F263" s="291">
        <v>830</v>
      </c>
      <c r="H263" s="298"/>
    </row>
    <row r="264" spans="1:8" s="269" customFormat="1" ht="14.25" customHeight="1">
      <c r="A264" s="278" t="s">
        <v>2011</v>
      </c>
      <c r="B264" s="283" t="s">
        <v>2031</v>
      </c>
      <c r="C264" s="283">
        <v>4010</v>
      </c>
      <c r="D264" s="283">
        <v>3980</v>
      </c>
      <c r="E264" s="283">
        <v>4150</v>
      </c>
      <c r="F264" s="291">
        <v>760</v>
      </c>
      <c r="H264" s="298"/>
    </row>
    <row r="265" spans="1:8" s="269" customFormat="1" ht="14.25" customHeight="1">
      <c r="A265" s="278" t="s">
        <v>2011</v>
      </c>
      <c r="B265" s="283" t="s">
        <v>2032</v>
      </c>
      <c r="C265" s="283">
        <v>3910</v>
      </c>
      <c r="D265" s="283">
        <v>3890</v>
      </c>
      <c r="E265" s="283">
        <v>4040</v>
      </c>
      <c r="F265" s="291">
        <v>780</v>
      </c>
      <c r="H265" s="298"/>
    </row>
    <row r="266" spans="1:8" s="269" customFormat="1" ht="14.25" customHeight="1">
      <c r="A266" s="278" t="s">
        <v>2011</v>
      </c>
      <c r="B266" s="283" t="s">
        <v>2033</v>
      </c>
      <c r="C266" s="283">
        <v>3930</v>
      </c>
      <c r="D266" s="283">
        <v>3900</v>
      </c>
      <c r="E266" s="283">
        <v>4080</v>
      </c>
      <c r="F266" s="291">
        <v>770</v>
      </c>
      <c r="H266" s="298"/>
    </row>
    <row r="267" spans="1:8" s="269" customFormat="1" ht="14.25" customHeight="1">
      <c r="A267" s="278" t="s">
        <v>2011</v>
      </c>
      <c r="B267" s="283" t="s">
        <v>2034</v>
      </c>
      <c r="C267" s="283">
        <v>3800</v>
      </c>
      <c r="D267" s="283">
        <v>3780</v>
      </c>
      <c r="E267" s="283">
        <v>3930</v>
      </c>
      <c r="F267" s="300"/>
      <c r="H267" s="298"/>
    </row>
    <row r="268" spans="1:8" s="269" customFormat="1" ht="14.25" customHeight="1">
      <c r="A268" s="278" t="s">
        <v>2011</v>
      </c>
      <c r="B268" s="283" t="s">
        <v>2035</v>
      </c>
      <c r="C268" s="283">
        <v>3460</v>
      </c>
      <c r="D268" s="283">
        <v>3430</v>
      </c>
      <c r="E268" s="283">
        <v>3560</v>
      </c>
      <c r="F268" s="291">
        <v>840</v>
      </c>
      <c r="H268" s="298"/>
    </row>
    <row r="269" spans="1:8" s="269" customFormat="1" ht="14.25" customHeight="1">
      <c r="A269" s="278" t="s">
        <v>2011</v>
      </c>
      <c r="B269" s="283" t="s">
        <v>2036</v>
      </c>
      <c r="C269" s="283">
        <v>3210</v>
      </c>
      <c r="D269" s="283">
        <v>3190</v>
      </c>
      <c r="E269" s="283">
        <v>3310</v>
      </c>
      <c r="F269" s="291">
        <v>730</v>
      </c>
      <c r="H269" s="298"/>
    </row>
    <row r="270" spans="1:8" s="269" customFormat="1" ht="14.25" customHeight="1">
      <c r="A270" s="278" t="s">
        <v>2011</v>
      </c>
      <c r="B270" s="283" t="s">
        <v>2037</v>
      </c>
      <c r="C270" s="283">
        <v>3240</v>
      </c>
      <c r="D270" s="283">
        <v>3210</v>
      </c>
      <c r="E270" s="283">
        <v>3390</v>
      </c>
      <c r="F270" s="291">
        <v>820</v>
      </c>
      <c r="H270" s="298"/>
    </row>
    <row r="271" spans="1:8" s="269" customFormat="1" ht="14.25" customHeight="1">
      <c r="A271" s="278" t="s">
        <v>2011</v>
      </c>
      <c r="B271" s="283" t="s">
        <v>2038</v>
      </c>
      <c r="C271" s="283">
        <v>3300</v>
      </c>
      <c r="D271" s="283">
        <v>3270</v>
      </c>
      <c r="E271" s="283">
        <v>3380</v>
      </c>
      <c r="F271" s="291">
        <v>750</v>
      </c>
      <c r="H271" s="298"/>
    </row>
    <row r="272" spans="1:8" s="269" customFormat="1" ht="14.25" customHeight="1">
      <c r="A272" s="278" t="s">
        <v>2011</v>
      </c>
      <c r="B272" s="283" t="s">
        <v>2039</v>
      </c>
      <c r="C272" s="303"/>
      <c r="D272" s="303"/>
      <c r="E272" s="303"/>
      <c r="F272" s="291">
        <v>740</v>
      </c>
      <c r="H272" s="298"/>
    </row>
    <row r="273" spans="1:8" s="269" customFormat="1" ht="14.25" customHeight="1">
      <c r="A273" s="278" t="s">
        <v>2011</v>
      </c>
      <c r="B273" s="283" t="s">
        <v>2040</v>
      </c>
      <c r="C273" s="283">
        <v>3130</v>
      </c>
      <c r="D273" s="283">
        <v>3100</v>
      </c>
      <c r="E273" s="283">
        <v>3230</v>
      </c>
      <c r="F273" s="291">
        <v>700</v>
      </c>
      <c r="H273" s="298"/>
    </row>
    <row r="274" spans="1:8" s="269" customFormat="1" ht="14.25" customHeight="1">
      <c r="A274" s="278" t="s">
        <v>2011</v>
      </c>
      <c r="B274" s="283" t="s">
        <v>2041</v>
      </c>
      <c r="C274" s="283">
        <v>3460</v>
      </c>
      <c r="D274" s="283">
        <v>3430</v>
      </c>
      <c r="E274" s="283">
        <v>3560</v>
      </c>
      <c r="F274" s="291">
        <v>690</v>
      </c>
      <c r="H274" s="298"/>
    </row>
    <row r="275" spans="1:8" s="269" customFormat="1" ht="14.25" customHeight="1">
      <c r="A275" s="278" t="s">
        <v>2011</v>
      </c>
      <c r="B275" s="283" t="s">
        <v>2042</v>
      </c>
      <c r="C275" s="283">
        <v>4040</v>
      </c>
      <c r="D275" s="283">
        <v>4020</v>
      </c>
      <c r="E275" s="283">
        <v>4160</v>
      </c>
      <c r="F275" s="291">
        <v>820</v>
      </c>
      <c r="H275" s="298"/>
    </row>
    <row r="276" spans="1:8" s="269" customFormat="1" ht="14.25" customHeight="1">
      <c r="A276" s="278" t="s">
        <v>2011</v>
      </c>
      <c r="B276" s="283" t="s">
        <v>2043</v>
      </c>
      <c r="C276" s="283">
        <v>3270</v>
      </c>
      <c r="D276" s="283">
        <v>3240</v>
      </c>
      <c r="E276" s="283">
        <v>3350</v>
      </c>
      <c r="F276" s="291">
        <v>680</v>
      </c>
      <c r="H276" s="298"/>
    </row>
    <row r="277" spans="1:8" s="269" customFormat="1" ht="14.25" customHeight="1">
      <c r="A277" s="278" t="s">
        <v>2011</v>
      </c>
      <c r="B277" s="283" t="s">
        <v>2044</v>
      </c>
      <c r="C277" s="283">
        <v>2930</v>
      </c>
      <c r="D277" s="283">
        <v>2900</v>
      </c>
      <c r="E277" s="283">
        <v>3000</v>
      </c>
      <c r="F277" s="291">
        <v>640</v>
      </c>
      <c r="H277" s="298"/>
    </row>
    <row r="278" spans="1:8" s="269" customFormat="1" ht="14.25" customHeight="1">
      <c r="A278" s="278" t="s">
        <v>2011</v>
      </c>
      <c r="B278" s="283" t="s">
        <v>2045</v>
      </c>
      <c r="C278" s="283">
        <v>4080</v>
      </c>
      <c r="D278" s="283">
        <v>4030</v>
      </c>
      <c r="E278" s="283">
        <v>4140</v>
      </c>
      <c r="F278" s="291">
        <v>850</v>
      </c>
      <c r="H278" s="298"/>
    </row>
    <row r="279" spans="1:8" s="269" customFormat="1" ht="14.25" customHeight="1">
      <c r="A279" s="278" t="s">
        <v>2011</v>
      </c>
      <c r="B279" s="283" t="s">
        <v>2046</v>
      </c>
      <c r="C279" s="283"/>
      <c r="D279" s="283"/>
      <c r="E279" s="283"/>
      <c r="F279" s="291">
        <v>760</v>
      </c>
      <c r="H279" s="298"/>
    </row>
    <row r="280" spans="1:8" s="269" customFormat="1" ht="14.25" customHeight="1">
      <c r="A280" s="278" t="s">
        <v>2011</v>
      </c>
      <c r="B280" s="283" t="s">
        <v>2047</v>
      </c>
      <c r="C280" s="283"/>
      <c r="D280" s="283"/>
      <c r="E280" s="283"/>
      <c r="F280" s="291">
        <v>760</v>
      </c>
      <c r="H280" s="298"/>
    </row>
    <row r="281" spans="1:8" s="269" customFormat="1" ht="14.25" customHeight="1">
      <c r="A281" s="278" t="s">
        <v>2011</v>
      </c>
      <c r="B281" s="283" t="s">
        <v>2048</v>
      </c>
      <c r="C281" s="283"/>
      <c r="D281" s="283"/>
      <c r="E281" s="283"/>
      <c r="F281" s="291">
        <v>780</v>
      </c>
      <c r="H281" s="298"/>
    </row>
    <row r="282" spans="1:8" s="269" customFormat="1" ht="14.25" customHeight="1">
      <c r="A282" s="278" t="s">
        <v>2011</v>
      </c>
      <c r="B282" s="283" t="s">
        <v>2049</v>
      </c>
      <c r="C282" s="283"/>
      <c r="D282" s="283"/>
      <c r="E282" s="283"/>
      <c r="F282" s="291">
        <v>730</v>
      </c>
      <c r="H282" s="298"/>
    </row>
    <row r="283" spans="1:8" s="269" customFormat="1" ht="14.25" customHeight="1">
      <c r="A283" s="278" t="s">
        <v>2011</v>
      </c>
      <c r="B283" s="283" t="s">
        <v>2050</v>
      </c>
      <c r="C283" s="283"/>
      <c r="D283" s="283"/>
      <c r="E283" s="283"/>
      <c r="F283" s="291">
        <v>770</v>
      </c>
      <c r="H283" s="298"/>
    </row>
    <row r="284" spans="1:8" s="269" customFormat="1" ht="14.25" customHeight="1">
      <c r="A284" s="278" t="s">
        <v>2011</v>
      </c>
      <c r="B284" s="283" t="s">
        <v>2051</v>
      </c>
      <c r="C284" s="283"/>
      <c r="D284" s="283"/>
      <c r="E284" s="283"/>
      <c r="F284" s="291">
        <v>640</v>
      </c>
      <c r="H284" s="298"/>
    </row>
    <row r="285" spans="1:8" s="269" customFormat="1" ht="14.25" customHeight="1">
      <c r="A285" s="278" t="s">
        <v>2011</v>
      </c>
      <c r="B285" s="283" t="s">
        <v>2052</v>
      </c>
      <c r="C285" s="283"/>
      <c r="D285" s="283"/>
      <c r="E285" s="283"/>
      <c r="F285" s="291">
        <v>640</v>
      </c>
      <c r="H285" s="298"/>
    </row>
    <row r="286" spans="1:8" s="269" customFormat="1" ht="14.25" customHeight="1">
      <c r="A286" s="278" t="s">
        <v>2011</v>
      </c>
      <c r="B286" s="283" t="s">
        <v>2053</v>
      </c>
      <c r="C286" s="283"/>
      <c r="D286" s="283"/>
      <c r="E286" s="283"/>
      <c r="F286" s="291">
        <v>850</v>
      </c>
      <c r="H286" s="298"/>
    </row>
    <row r="287" spans="1:8" s="269" customFormat="1" ht="14.25" customHeight="1">
      <c r="A287" s="278" t="s">
        <v>2011</v>
      </c>
      <c r="B287" s="283" t="s">
        <v>2054</v>
      </c>
      <c r="C287" s="283"/>
      <c r="D287" s="283"/>
      <c r="E287" s="283"/>
      <c r="F287" s="291">
        <v>760</v>
      </c>
      <c r="H287" s="298"/>
    </row>
    <row r="288" spans="1:8" s="269" customFormat="1" ht="14.25" customHeight="1">
      <c r="A288" s="278" t="s">
        <v>2011</v>
      </c>
      <c r="B288" s="283" t="s">
        <v>2055</v>
      </c>
      <c r="C288" s="283"/>
      <c r="D288" s="283"/>
      <c r="E288" s="283"/>
      <c r="F288" s="291">
        <v>830</v>
      </c>
      <c r="H288" s="298"/>
    </row>
    <row r="289" spans="1:8" s="269" customFormat="1" ht="14.25" customHeight="1">
      <c r="A289" s="278" t="s">
        <v>2011</v>
      </c>
      <c r="B289" s="289" t="s">
        <v>2056</v>
      </c>
      <c r="C289" s="289"/>
      <c r="D289" s="289"/>
      <c r="E289" s="289"/>
      <c r="F289" s="299">
        <v>680</v>
      </c>
      <c r="H289" s="298"/>
    </row>
    <row r="290" spans="1:8" s="269" customFormat="1" ht="14.25" customHeight="1">
      <c r="A290" s="278" t="s">
        <v>2057</v>
      </c>
      <c r="B290" s="279" t="s">
        <v>2058</v>
      </c>
      <c r="C290" s="279">
        <v>2770</v>
      </c>
      <c r="D290" s="279">
        <v>2740</v>
      </c>
      <c r="E290" s="279">
        <v>2720</v>
      </c>
      <c r="F290" s="304"/>
      <c r="H290" s="298"/>
    </row>
    <row r="291" spans="1:8" s="269" customFormat="1" ht="14.25" customHeight="1">
      <c r="A291" s="278" t="s">
        <v>2057</v>
      </c>
      <c r="B291" s="283" t="s">
        <v>2059</v>
      </c>
      <c r="C291" s="283">
        <v>2670</v>
      </c>
      <c r="D291" s="283">
        <v>2640</v>
      </c>
      <c r="E291" s="283">
        <v>2620</v>
      </c>
      <c r="F291" s="300"/>
      <c r="H291" s="298"/>
    </row>
    <row r="292" spans="1:8" s="269" customFormat="1" ht="14.25" customHeight="1">
      <c r="A292" s="278" t="s">
        <v>2057</v>
      </c>
      <c r="B292" s="283" t="s">
        <v>2060</v>
      </c>
      <c r="C292" s="283">
        <v>2180</v>
      </c>
      <c r="D292" s="283">
        <v>2140</v>
      </c>
      <c r="E292" s="283">
        <v>2120</v>
      </c>
      <c r="F292" s="291">
        <v>490</v>
      </c>
      <c r="H292" s="298"/>
    </row>
    <row r="293" spans="1:8" s="269" customFormat="1" ht="14.25" customHeight="1">
      <c r="A293" s="278" t="s">
        <v>2057</v>
      </c>
      <c r="B293" s="283" t="s">
        <v>2061</v>
      </c>
      <c r="C293" s="283"/>
      <c r="D293" s="283"/>
      <c r="E293" s="283"/>
      <c r="F293" s="291">
        <v>470</v>
      </c>
      <c r="H293" s="298"/>
    </row>
    <row r="294" spans="1:8" s="269" customFormat="1" ht="14.25" customHeight="1">
      <c r="A294" s="278" t="s">
        <v>2057</v>
      </c>
      <c r="B294" s="283" t="s">
        <v>2062</v>
      </c>
      <c r="C294" s="283">
        <v>2730</v>
      </c>
      <c r="D294" s="283">
        <v>2700</v>
      </c>
      <c r="E294" s="283">
        <v>2680</v>
      </c>
      <c r="F294" s="291">
        <v>490</v>
      </c>
      <c r="H294" s="298"/>
    </row>
    <row r="295" spans="1:8" s="269" customFormat="1" ht="14.25" customHeight="1">
      <c r="A295" s="278" t="s">
        <v>2057</v>
      </c>
      <c r="B295" s="283" t="s">
        <v>2063</v>
      </c>
      <c r="C295" s="283">
        <v>2380</v>
      </c>
      <c r="D295" s="283">
        <v>2350</v>
      </c>
      <c r="E295" s="283">
        <v>2330</v>
      </c>
      <c r="F295" s="291">
        <v>530</v>
      </c>
      <c r="H295" s="298"/>
    </row>
    <row r="296" spans="1:8" s="269" customFormat="1" ht="14.25" customHeight="1">
      <c r="A296" s="278" t="s">
        <v>2057</v>
      </c>
      <c r="B296" s="283" t="s">
        <v>2064</v>
      </c>
      <c r="C296" s="283">
        <v>2650</v>
      </c>
      <c r="D296" s="283">
        <v>2620</v>
      </c>
      <c r="E296" s="283">
        <v>2590</v>
      </c>
      <c r="F296" s="291">
        <v>590</v>
      </c>
      <c r="H296" s="298"/>
    </row>
    <row r="297" spans="1:8" s="269" customFormat="1" ht="14.25" customHeight="1">
      <c r="A297" s="278" t="s">
        <v>2057</v>
      </c>
      <c r="B297" s="283" t="s">
        <v>2065</v>
      </c>
      <c r="C297" s="283">
        <v>2700</v>
      </c>
      <c r="D297" s="283">
        <v>2670</v>
      </c>
      <c r="E297" s="283">
        <v>2650</v>
      </c>
      <c r="F297" s="291">
        <v>630</v>
      </c>
      <c r="H297" s="298"/>
    </row>
    <row r="298" spans="1:8" s="269" customFormat="1" ht="14.25" customHeight="1">
      <c r="A298" s="278" t="s">
        <v>2057</v>
      </c>
      <c r="B298" s="283" t="s">
        <v>2066</v>
      </c>
      <c r="C298" s="283">
        <v>2650</v>
      </c>
      <c r="D298" s="283">
        <v>2620</v>
      </c>
      <c r="E298" s="283">
        <v>2590</v>
      </c>
      <c r="F298" s="291">
        <v>640</v>
      </c>
      <c r="H298" s="298"/>
    </row>
    <row r="299" spans="1:8" s="269" customFormat="1" ht="14.25" customHeight="1">
      <c r="A299" s="278" t="s">
        <v>2057</v>
      </c>
      <c r="B299" s="283" t="s">
        <v>2067</v>
      </c>
      <c r="C299" s="283">
        <v>2500</v>
      </c>
      <c r="D299" s="283">
        <v>2480</v>
      </c>
      <c r="E299" s="283">
        <v>2460</v>
      </c>
      <c r="F299" s="300"/>
      <c r="H299" s="298"/>
    </row>
    <row r="300" spans="1:8" s="269" customFormat="1" ht="14.25" customHeight="1">
      <c r="A300" s="278" t="s">
        <v>2057</v>
      </c>
      <c r="B300" s="283" t="s">
        <v>2068</v>
      </c>
      <c r="C300" s="283">
        <v>2760</v>
      </c>
      <c r="D300" s="283">
        <v>2730</v>
      </c>
      <c r="E300" s="283">
        <v>2700</v>
      </c>
      <c r="F300" s="291">
        <v>630</v>
      </c>
      <c r="H300" s="298"/>
    </row>
    <row r="301" spans="1:8" s="269" customFormat="1" ht="14.25" customHeight="1">
      <c r="A301" s="278" t="s">
        <v>2057</v>
      </c>
      <c r="B301" s="283" t="s">
        <v>2069</v>
      </c>
      <c r="C301" s="283">
        <v>2510</v>
      </c>
      <c r="D301" s="283">
        <v>2480</v>
      </c>
      <c r="E301" s="283">
        <v>2460</v>
      </c>
      <c r="F301" s="300"/>
      <c r="H301" s="298"/>
    </row>
    <row r="302" spans="1:8" s="269" customFormat="1" ht="14.25" customHeight="1">
      <c r="A302" s="278" t="s">
        <v>2057</v>
      </c>
      <c r="B302" s="283" t="s">
        <v>2070</v>
      </c>
      <c r="C302" s="283">
        <v>2480</v>
      </c>
      <c r="D302" s="283">
        <v>2450</v>
      </c>
      <c r="E302" s="283">
        <v>2420</v>
      </c>
      <c r="F302" s="291">
        <v>600</v>
      </c>
      <c r="H302" s="298"/>
    </row>
    <row r="303" spans="1:8" s="269" customFormat="1" ht="14.25" customHeight="1">
      <c r="A303" s="278" t="s">
        <v>2057</v>
      </c>
      <c r="B303" s="283" t="s">
        <v>2071</v>
      </c>
      <c r="C303" s="283">
        <v>2270</v>
      </c>
      <c r="D303" s="283">
        <v>2240</v>
      </c>
      <c r="E303" s="283">
        <v>2210</v>
      </c>
      <c r="F303" s="291">
        <v>540</v>
      </c>
      <c r="H303" s="298"/>
    </row>
    <row r="304" spans="1:8" s="269" customFormat="1" ht="14.25" customHeight="1">
      <c r="A304" s="278" t="s">
        <v>2057</v>
      </c>
      <c r="B304" s="283" t="s">
        <v>2072</v>
      </c>
      <c r="C304" s="283">
        <v>2310</v>
      </c>
      <c r="D304" s="283">
        <v>2290</v>
      </c>
      <c r="E304" s="283">
        <v>2270</v>
      </c>
      <c r="F304" s="300"/>
      <c r="H304" s="298"/>
    </row>
    <row r="305" spans="1:8" s="269" customFormat="1" ht="14.25" customHeight="1">
      <c r="A305" s="278" t="s">
        <v>2057</v>
      </c>
      <c r="B305" s="283" t="s">
        <v>2073</v>
      </c>
      <c r="C305" s="283">
        <v>2490</v>
      </c>
      <c r="D305" s="283">
        <v>2470</v>
      </c>
      <c r="E305" s="283">
        <v>2440</v>
      </c>
      <c r="F305" s="291">
        <v>560</v>
      </c>
      <c r="H305" s="298"/>
    </row>
    <row r="306" spans="1:8" s="269" customFormat="1" ht="14.25" customHeight="1">
      <c r="A306" s="278" t="s">
        <v>2057</v>
      </c>
      <c r="B306" s="283" t="s">
        <v>2074</v>
      </c>
      <c r="C306" s="283">
        <v>2420</v>
      </c>
      <c r="D306" s="283">
        <v>2400</v>
      </c>
      <c r="E306" s="283">
        <v>2380</v>
      </c>
      <c r="F306" s="300"/>
      <c r="H306" s="298"/>
    </row>
    <row r="307" spans="1:8" s="269" customFormat="1" ht="14.25" customHeight="1">
      <c r="A307" s="278" t="s">
        <v>2057</v>
      </c>
      <c r="B307" s="283" t="s">
        <v>2075</v>
      </c>
      <c r="C307" s="283">
        <v>2770</v>
      </c>
      <c r="D307" s="283">
        <v>2740</v>
      </c>
      <c r="E307" s="283">
        <v>2710</v>
      </c>
      <c r="F307" s="291">
        <v>650</v>
      </c>
      <c r="H307" s="298"/>
    </row>
    <row r="308" spans="1:8" s="269" customFormat="1" ht="14.25" customHeight="1">
      <c r="A308" s="278" t="s">
        <v>2057</v>
      </c>
      <c r="B308" s="283" t="s">
        <v>2076</v>
      </c>
      <c r="C308" s="283">
        <v>2610</v>
      </c>
      <c r="D308" s="283">
        <v>2580</v>
      </c>
      <c r="E308" s="283">
        <v>2550</v>
      </c>
      <c r="F308" s="291">
        <v>580</v>
      </c>
      <c r="H308" s="298"/>
    </row>
    <row r="309" spans="1:8" s="269" customFormat="1" ht="14.25" customHeight="1">
      <c r="A309" s="278" t="s">
        <v>2057</v>
      </c>
      <c r="B309" s="283" t="s">
        <v>2077</v>
      </c>
      <c r="C309" s="283">
        <v>2690</v>
      </c>
      <c r="D309" s="283">
        <v>2670</v>
      </c>
      <c r="E309" s="283">
        <v>2650</v>
      </c>
      <c r="F309" s="300"/>
      <c r="H309" s="298"/>
    </row>
    <row r="310" spans="1:8" s="269" customFormat="1" ht="14.25" customHeight="1">
      <c r="A310" s="278" t="s">
        <v>2057</v>
      </c>
      <c r="B310" s="283" t="s">
        <v>2078</v>
      </c>
      <c r="C310" s="283">
        <v>2360</v>
      </c>
      <c r="D310" s="283">
        <v>2330</v>
      </c>
      <c r="E310" s="283">
        <v>2310</v>
      </c>
      <c r="F310" s="291">
        <v>560</v>
      </c>
      <c r="H310" s="298"/>
    </row>
    <row r="311" spans="1:8" s="269" customFormat="1" ht="14.25" customHeight="1">
      <c r="A311" s="278" t="s">
        <v>2057</v>
      </c>
      <c r="B311" s="283" t="s">
        <v>2079</v>
      </c>
      <c r="C311" s="283">
        <v>1970</v>
      </c>
      <c r="D311" s="283">
        <v>1950</v>
      </c>
      <c r="E311" s="283">
        <v>1920</v>
      </c>
      <c r="F311" s="291">
        <v>470</v>
      </c>
      <c r="H311" s="298"/>
    </row>
    <row r="312" spans="1:8" s="269" customFormat="1" ht="14.25" customHeight="1">
      <c r="A312" s="278" t="s">
        <v>2057</v>
      </c>
      <c r="B312" s="283" t="s">
        <v>2080</v>
      </c>
      <c r="C312" s="283">
        <v>2230</v>
      </c>
      <c r="D312" s="283">
        <v>2200</v>
      </c>
      <c r="E312" s="283">
        <v>2170</v>
      </c>
      <c r="F312" s="291">
        <v>460</v>
      </c>
      <c r="H312" s="298"/>
    </row>
    <row r="313" spans="1:8" s="269" customFormat="1" ht="14.25" customHeight="1">
      <c r="A313" s="278" t="s">
        <v>2057</v>
      </c>
      <c r="B313" s="283" t="s">
        <v>2081</v>
      </c>
      <c r="C313" s="283">
        <v>2770</v>
      </c>
      <c r="D313" s="283">
        <v>2740</v>
      </c>
      <c r="E313" s="283">
        <v>2710</v>
      </c>
      <c r="F313" s="291">
        <v>610</v>
      </c>
      <c r="H313" s="298"/>
    </row>
    <row r="314" spans="1:8" s="269" customFormat="1" ht="14.25" customHeight="1">
      <c r="A314" s="278" t="s">
        <v>2057</v>
      </c>
      <c r="B314" s="283" t="s">
        <v>2082</v>
      </c>
      <c r="C314" s="283"/>
      <c r="D314" s="283"/>
      <c r="E314" s="283"/>
      <c r="F314" s="291">
        <v>490</v>
      </c>
      <c r="H314" s="298"/>
    </row>
    <row r="315" spans="1:8" s="269" customFormat="1" ht="14.25" customHeight="1">
      <c r="A315" s="278" t="s">
        <v>2057</v>
      </c>
      <c r="B315" s="283" t="s">
        <v>2083</v>
      </c>
      <c r="C315" s="283"/>
      <c r="D315" s="283"/>
      <c r="E315" s="283"/>
      <c r="F315" s="291">
        <v>520</v>
      </c>
      <c r="H315" s="298"/>
    </row>
    <row r="316" spans="1:8" s="269" customFormat="1" ht="14.25" customHeight="1">
      <c r="A316" s="278" t="s">
        <v>2057</v>
      </c>
      <c r="B316" s="289" t="s">
        <v>2084</v>
      </c>
      <c r="C316" s="289"/>
      <c r="D316" s="289"/>
      <c r="E316" s="289"/>
      <c r="F316" s="299">
        <v>460</v>
      </c>
      <c r="H316" s="298"/>
    </row>
    <row r="317" spans="1:8" s="269" customFormat="1" ht="14.25" customHeight="1">
      <c r="A317" s="278" t="s">
        <v>2085</v>
      </c>
      <c r="B317" s="279" t="s">
        <v>2086</v>
      </c>
      <c r="C317" s="279">
        <v>1200</v>
      </c>
      <c r="D317" s="279">
        <v>1180</v>
      </c>
      <c r="E317" s="279">
        <v>1160</v>
      </c>
      <c r="F317" s="280">
        <v>370</v>
      </c>
      <c r="H317" s="271"/>
    </row>
    <row r="318" spans="1:8" s="269" customFormat="1" ht="14.25" customHeight="1">
      <c r="A318" s="278" t="s">
        <v>2085</v>
      </c>
      <c r="B318" s="283" t="s">
        <v>2087</v>
      </c>
      <c r="C318" s="283">
        <v>1090</v>
      </c>
      <c r="D318" s="283">
        <v>1060</v>
      </c>
      <c r="E318" s="283">
        <v>1040</v>
      </c>
      <c r="F318" s="300"/>
      <c r="H318" s="271"/>
    </row>
    <row r="319" spans="1:8" s="269" customFormat="1" ht="14.25" customHeight="1">
      <c r="A319" s="278" t="s">
        <v>2085</v>
      </c>
      <c r="B319" s="283" t="s">
        <v>2088</v>
      </c>
      <c r="C319" s="283">
        <v>1520</v>
      </c>
      <c r="D319" s="283">
        <v>1470</v>
      </c>
      <c r="E319" s="283">
        <v>1440</v>
      </c>
      <c r="F319" s="291">
        <v>370</v>
      </c>
      <c r="H319" s="271"/>
    </row>
    <row r="320" spans="1:8" s="269" customFormat="1" ht="14.25" customHeight="1">
      <c r="A320" s="278" t="s">
        <v>2085</v>
      </c>
      <c r="B320" s="283" t="s">
        <v>2089</v>
      </c>
      <c r="C320" s="283">
        <v>1360</v>
      </c>
      <c r="D320" s="283">
        <v>1300</v>
      </c>
      <c r="E320" s="283">
        <v>1270</v>
      </c>
      <c r="F320" s="300"/>
      <c r="H320" s="271"/>
    </row>
    <row r="321" spans="1:8" s="269" customFormat="1" ht="14.25" customHeight="1">
      <c r="A321" s="278" t="s">
        <v>2085</v>
      </c>
      <c r="B321" s="283" t="s">
        <v>2090</v>
      </c>
      <c r="C321" s="283">
        <v>1750</v>
      </c>
      <c r="D321" s="283">
        <v>1690</v>
      </c>
      <c r="E321" s="283">
        <v>1660</v>
      </c>
      <c r="F321" s="300"/>
      <c r="H321" s="271"/>
    </row>
    <row r="322" spans="1:8" s="269" customFormat="1" ht="14.25" customHeight="1">
      <c r="A322" s="278" t="s">
        <v>2085</v>
      </c>
      <c r="B322" s="283" t="s">
        <v>2091</v>
      </c>
      <c r="C322" s="283">
        <v>1650</v>
      </c>
      <c r="D322" s="283">
        <v>1610</v>
      </c>
      <c r="E322" s="283">
        <v>1580</v>
      </c>
      <c r="F322" s="291">
        <v>500</v>
      </c>
      <c r="H322" s="271"/>
    </row>
    <row r="323" spans="1:8" s="269" customFormat="1" ht="14.25" customHeight="1">
      <c r="A323" s="278" t="s">
        <v>2085</v>
      </c>
      <c r="B323" s="283" t="s">
        <v>2092</v>
      </c>
      <c r="C323" s="283">
        <v>1780</v>
      </c>
      <c r="D323" s="283">
        <v>1740</v>
      </c>
      <c r="E323" s="283">
        <v>1720</v>
      </c>
      <c r="F323" s="300"/>
      <c r="H323" s="271"/>
    </row>
    <row r="324" spans="1:8" s="269" customFormat="1" ht="14.25" customHeight="1">
      <c r="A324" s="278" t="s">
        <v>2085</v>
      </c>
      <c r="B324" s="283" t="s">
        <v>2093</v>
      </c>
      <c r="C324" s="283">
        <v>1650</v>
      </c>
      <c r="D324" s="283">
        <v>1610</v>
      </c>
      <c r="E324" s="283">
        <v>1580</v>
      </c>
      <c r="F324" s="300"/>
      <c r="H324" s="271"/>
    </row>
    <row r="325" spans="1:8" s="269" customFormat="1" ht="14.25" customHeight="1">
      <c r="A325" s="278" t="s">
        <v>2085</v>
      </c>
      <c r="B325" s="283" t="s">
        <v>2094</v>
      </c>
      <c r="C325" s="283">
        <v>1330</v>
      </c>
      <c r="D325" s="283">
        <v>1270</v>
      </c>
      <c r="E325" s="283">
        <v>1240</v>
      </c>
      <c r="F325" s="291">
        <v>430</v>
      </c>
      <c r="H325" s="271"/>
    </row>
    <row r="326" spans="1:8" s="269" customFormat="1" ht="14.25" customHeight="1">
      <c r="A326" s="278" t="s">
        <v>2085</v>
      </c>
      <c r="B326" s="283" t="s">
        <v>2095</v>
      </c>
      <c r="C326" s="283">
        <v>1470</v>
      </c>
      <c r="D326" s="283">
        <v>1430</v>
      </c>
      <c r="E326" s="283">
        <v>1400</v>
      </c>
      <c r="F326" s="300"/>
      <c r="H326" s="271"/>
    </row>
    <row r="327" spans="1:8" s="269" customFormat="1" ht="14.25" customHeight="1">
      <c r="A327" s="278" t="s">
        <v>2085</v>
      </c>
      <c r="B327" s="283" t="s">
        <v>2096</v>
      </c>
      <c r="C327" s="283">
        <v>1420</v>
      </c>
      <c r="D327" s="283">
        <v>1380</v>
      </c>
      <c r="E327" s="283">
        <v>1360</v>
      </c>
      <c r="F327" s="291">
        <v>420</v>
      </c>
      <c r="H327" s="271"/>
    </row>
    <row r="328" spans="1:8" s="269" customFormat="1" ht="14.25" customHeight="1">
      <c r="A328" s="278" t="s">
        <v>2085</v>
      </c>
      <c r="B328" s="283" t="s">
        <v>2097</v>
      </c>
      <c r="C328" s="283">
        <v>1400</v>
      </c>
      <c r="D328" s="283">
        <v>1360</v>
      </c>
      <c r="E328" s="283">
        <v>1330</v>
      </c>
      <c r="F328" s="291">
        <v>460</v>
      </c>
      <c r="H328" s="271"/>
    </row>
    <row r="329" spans="1:8" s="269" customFormat="1" ht="14.25" customHeight="1">
      <c r="A329" s="278" t="s">
        <v>2085</v>
      </c>
      <c r="B329" s="283" t="s">
        <v>2098</v>
      </c>
      <c r="C329" s="283">
        <v>1640</v>
      </c>
      <c r="D329" s="283">
        <v>1610</v>
      </c>
      <c r="E329" s="283">
        <v>1580</v>
      </c>
      <c r="F329" s="291">
        <v>410</v>
      </c>
      <c r="H329" s="271"/>
    </row>
    <row r="330" spans="1:8" s="269" customFormat="1" ht="14.25" customHeight="1">
      <c r="A330" s="278" t="s">
        <v>2085</v>
      </c>
      <c r="B330" s="283" t="s">
        <v>2099</v>
      </c>
      <c r="C330" s="283">
        <v>1260</v>
      </c>
      <c r="D330" s="283">
        <v>1220</v>
      </c>
      <c r="E330" s="283">
        <v>1200</v>
      </c>
      <c r="F330" s="300"/>
      <c r="H330" s="271"/>
    </row>
    <row r="331" spans="1:8" s="269" customFormat="1" ht="14.25" customHeight="1">
      <c r="A331" s="278" t="s">
        <v>2085</v>
      </c>
      <c r="B331" s="283" t="s">
        <v>2100</v>
      </c>
      <c r="C331" s="283">
        <v>1620</v>
      </c>
      <c r="D331" s="283">
        <v>1560</v>
      </c>
      <c r="E331" s="283">
        <v>1530</v>
      </c>
      <c r="F331" s="291">
        <v>490</v>
      </c>
      <c r="H331" s="271"/>
    </row>
    <row r="332" spans="1:8" s="269" customFormat="1" ht="14.25" customHeight="1">
      <c r="A332" s="278" t="s">
        <v>2085</v>
      </c>
      <c r="B332" s="283" t="s">
        <v>2101</v>
      </c>
      <c r="C332" s="283">
        <v>1520</v>
      </c>
      <c r="D332" s="283">
        <v>1470</v>
      </c>
      <c r="E332" s="283">
        <v>1440</v>
      </c>
      <c r="F332" s="291">
        <v>440</v>
      </c>
      <c r="H332" s="271"/>
    </row>
    <row r="333" spans="1:8" s="269" customFormat="1" ht="14.25" customHeight="1">
      <c r="A333" s="278" t="s">
        <v>2085</v>
      </c>
      <c r="B333" s="283" t="s">
        <v>2102</v>
      </c>
      <c r="C333" s="283">
        <v>1370</v>
      </c>
      <c r="D333" s="283">
        <v>1320</v>
      </c>
      <c r="E333" s="283">
        <v>1300</v>
      </c>
      <c r="F333" s="291">
        <v>460</v>
      </c>
      <c r="H333" s="271"/>
    </row>
    <row r="334" spans="1:8" s="269" customFormat="1" ht="14.25" customHeight="1">
      <c r="A334" s="278" t="s">
        <v>2085</v>
      </c>
      <c r="B334" s="283" t="s">
        <v>2103</v>
      </c>
      <c r="C334" s="283">
        <v>1410</v>
      </c>
      <c r="D334" s="283">
        <v>1340</v>
      </c>
      <c r="E334" s="283">
        <v>1310</v>
      </c>
      <c r="F334" s="291">
        <v>410</v>
      </c>
      <c r="H334" s="271"/>
    </row>
    <row r="335" spans="1:8" s="269" customFormat="1" ht="14.25" customHeight="1">
      <c r="A335" s="278" t="s">
        <v>2085</v>
      </c>
      <c r="B335" s="283" t="s">
        <v>2104</v>
      </c>
      <c r="C335" s="283">
        <v>1260</v>
      </c>
      <c r="D335" s="283">
        <v>1220</v>
      </c>
      <c r="E335" s="283">
        <v>1200</v>
      </c>
      <c r="F335" s="300"/>
      <c r="H335" s="271"/>
    </row>
    <row r="336" spans="1:8" s="269" customFormat="1" ht="14.25" customHeight="1">
      <c r="A336" s="278" t="s">
        <v>2085</v>
      </c>
      <c r="B336" s="283" t="s">
        <v>2105</v>
      </c>
      <c r="C336" s="283">
        <v>1160</v>
      </c>
      <c r="D336" s="283">
        <v>1140</v>
      </c>
      <c r="E336" s="283">
        <v>1120</v>
      </c>
      <c r="F336" s="291">
        <v>430</v>
      </c>
      <c r="H336" s="271"/>
    </row>
    <row r="337" spans="1:8" s="269" customFormat="1" ht="14.25" customHeight="1">
      <c r="A337" s="278" t="s">
        <v>2085</v>
      </c>
      <c r="B337" s="289" t="s">
        <v>2106</v>
      </c>
      <c r="C337" s="289"/>
      <c r="D337" s="289"/>
      <c r="E337" s="289"/>
      <c r="F337" s="299">
        <v>380</v>
      </c>
      <c r="H337" s="271"/>
    </row>
    <row r="338" spans="1:8" s="269" customFormat="1" ht="14.25" customHeight="1">
      <c r="A338" s="278" t="s">
        <v>2107</v>
      </c>
      <c r="B338" s="279" t="s">
        <v>2108</v>
      </c>
      <c r="C338" s="279">
        <v>880</v>
      </c>
      <c r="D338" s="279">
        <v>850</v>
      </c>
      <c r="E338" s="279">
        <v>830</v>
      </c>
      <c r="F338" s="304"/>
      <c r="H338" s="271"/>
    </row>
    <row r="339" spans="1:8" s="269" customFormat="1" ht="14.25" customHeight="1">
      <c r="A339" s="278" t="s">
        <v>2107</v>
      </c>
      <c r="B339" s="283" t="s">
        <v>2109</v>
      </c>
      <c r="C339" s="283">
        <v>830</v>
      </c>
      <c r="D339" s="283">
        <v>800</v>
      </c>
      <c r="E339" s="283">
        <v>780</v>
      </c>
      <c r="F339" s="300"/>
      <c r="H339" s="271"/>
    </row>
    <row r="340" spans="1:8" s="269" customFormat="1" ht="14.25" customHeight="1">
      <c r="A340" s="278" t="s">
        <v>2107</v>
      </c>
      <c r="B340" s="283" t="s">
        <v>2110</v>
      </c>
      <c r="C340" s="283">
        <v>980</v>
      </c>
      <c r="D340" s="283">
        <v>950</v>
      </c>
      <c r="E340" s="283">
        <v>920</v>
      </c>
      <c r="F340" s="300"/>
      <c r="H340" s="271"/>
    </row>
    <row r="341" spans="1:8" s="269" customFormat="1" ht="14.25" customHeight="1">
      <c r="A341" s="278" t="s">
        <v>2107</v>
      </c>
      <c r="B341" s="283" t="s">
        <v>2111</v>
      </c>
      <c r="C341" s="283">
        <v>760</v>
      </c>
      <c r="D341" s="283">
        <v>720</v>
      </c>
      <c r="E341" s="283">
        <v>690</v>
      </c>
      <c r="F341" s="291">
        <v>350</v>
      </c>
      <c r="H341" s="271"/>
    </row>
    <row r="342" spans="1:8" s="269" customFormat="1" ht="14.25" customHeight="1">
      <c r="A342" s="278" t="s">
        <v>2107</v>
      </c>
      <c r="B342" s="283" t="s">
        <v>2112</v>
      </c>
      <c r="C342" s="283">
        <v>910</v>
      </c>
      <c r="D342" s="283">
        <v>870</v>
      </c>
      <c r="E342" s="283">
        <v>850</v>
      </c>
      <c r="F342" s="291">
        <v>370</v>
      </c>
      <c r="H342" s="271"/>
    </row>
    <row r="343" spans="1:8" s="269" customFormat="1" ht="14.25" customHeight="1">
      <c r="A343" s="278" t="s">
        <v>2107</v>
      </c>
      <c r="B343" s="283" t="s">
        <v>2113</v>
      </c>
      <c r="C343" s="283">
        <v>800</v>
      </c>
      <c r="D343" s="283">
        <v>760</v>
      </c>
      <c r="E343" s="283">
        <v>730</v>
      </c>
      <c r="F343" s="291">
        <v>340</v>
      </c>
      <c r="H343" s="271"/>
    </row>
    <row r="344" spans="1:8" s="269" customFormat="1" ht="14.25" customHeight="1">
      <c r="A344" s="278" t="s">
        <v>2107</v>
      </c>
      <c r="B344" s="289" t="s">
        <v>2114</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sheetPr codeName="Sheet36"/>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2151</v>
      </c>
      <c r="B1" s="226" t="s">
        <v>1763</v>
      </c>
      <c r="C1" s="226" t="s">
        <v>1769</v>
      </c>
      <c r="D1" s="226" t="s">
        <v>1789</v>
      </c>
      <c r="E1" s="226" t="s">
        <v>1810</v>
      </c>
      <c r="F1" s="226" t="s">
        <v>1838</v>
      </c>
      <c r="G1" s="226" t="s">
        <v>1873</v>
      </c>
      <c r="H1" s="226" t="s">
        <v>1922</v>
      </c>
      <c r="I1" s="226" t="s">
        <v>1971</v>
      </c>
      <c r="J1" s="226" t="s">
        <v>2011</v>
      </c>
      <c r="K1" s="226" t="s">
        <v>2057</v>
      </c>
      <c r="L1" s="226" t="s">
        <v>2085</v>
      </c>
      <c r="M1" s="261" t="s">
        <v>2107</v>
      </c>
    </row>
    <row r="2" spans="1:13" ht="19.5" customHeight="1">
      <c r="A2" s="227" t="s">
        <v>1758</v>
      </c>
      <c r="B2" s="228">
        <v>3.5</v>
      </c>
      <c r="C2" s="228">
        <v>3.5</v>
      </c>
      <c r="D2" s="229">
        <v>2.5</v>
      </c>
      <c r="E2" s="229">
        <v>2.5</v>
      </c>
      <c r="F2" s="229">
        <v>2.5</v>
      </c>
      <c r="G2" s="229">
        <v>2.5</v>
      </c>
      <c r="H2" s="229">
        <v>2.5</v>
      </c>
      <c r="I2" s="228">
        <v>2</v>
      </c>
      <c r="J2" s="228">
        <v>2</v>
      </c>
      <c r="K2" s="228">
        <v>2</v>
      </c>
      <c r="L2" s="228">
        <v>2</v>
      </c>
      <c r="M2" s="262">
        <v>2</v>
      </c>
    </row>
    <row r="3" spans="1:13" ht="19.5" customHeight="1">
      <c r="A3" s="230" t="s">
        <v>1759</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1760</v>
      </c>
      <c r="B5" s="234">
        <v>1.5</v>
      </c>
      <c r="C5" s="234">
        <v>1.5</v>
      </c>
      <c r="D5" s="234">
        <v>1.5</v>
      </c>
      <c r="E5" s="234">
        <v>1.5</v>
      </c>
      <c r="F5" s="234">
        <v>1.5</v>
      </c>
      <c r="G5" s="235">
        <v>1.2</v>
      </c>
      <c r="H5" s="235">
        <v>1.2</v>
      </c>
      <c r="I5" s="235">
        <v>1</v>
      </c>
      <c r="J5" s="235">
        <v>1</v>
      </c>
      <c r="K5" s="235">
        <v>1</v>
      </c>
      <c r="L5" s="235">
        <v>1</v>
      </c>
      <c r="M5" s="264">
        <v>1</v>
      </c>
    </row>
    <row r="6" spans="1:13" ht="19.5" customHeight="1">
      <c r="A6" s="236" t="s">
        <v>2152</v>
      </c>
      <c r="B6" s="237">
        <v>80</v>
      </c>
      <c r="C6" s="237">
        <v>80</v>
      </c>
      <c r="D6" s="237">
        <v>65</v>
      </c>
      <c r="E6" s="237">
        <v>65</v>
      </c>
      <c r="F6" s="237">
        <v>65</v>
      </c>
      <c r="G6" s="237">
        <v>65</v>
      </c>
      <c r="H6" s="237">
        <v>65</v>
      </c>
      <c r="I6" s="237">
        <v>50</v>
      </c>
      <c r="J6" s="237">
        <v>50</v>
      </c>
      <c r="K6" s="237">
        <v>50</v>
      </c>
      <c r="L6" s="237">
        <v>50</v>
      </c>
      <c r="M6" s="265">
        <v>50</v>
      </c>
    </row>
    <row r="7" spans="1:13" ht="19.5" customHeight="1">
      <c r="A7" s="238" t="s">
        <v>1638</v>
      </c>
      <c r="B7" s="239">
        <v>70</v>
      </c>
      <c r="C7" s="239">
        <v>70</v>
      </c>
      <c r="D7" s="239">
        <v>55</v>
      </c>
      <c r="E7" s="239">
        <v>55</v>
      </c>
      <c r="F7" s="239">
        <v>55</v>
      </c>
      <c r="G7" s="239">
        <v>55</v>
      </c>
      <c r="H7" s="239">
        <v>55</v>
      </c>
      <c r="I7" s="239">
        <v>40</v>
      </c>
      <c r="J7" s="239">
        <v>40</v>
      </c>
      <c r="K7" s="239">
        <v>40</v>
      </c>
      <c r="L7" s="239">
        <v>40</v>
      </c>
      <c r="M7" s="266">
        <v>40</v>
      </c>
    </row>
    <row r="8" spans="1:13" ht="19.5" customHeight="1">
      <c r="A8" s="238" t="s">
        <v>2153</v>
      </c>
      <c r="B8" s="239">
        <v>20</v>
      </c>
      <c r="C8" s="239">
        <v>20</v>
      </c>
      <c r="D8" s="239">
        <v>15</v>
      </c>
      <c r="E8" s="239">
        <v>15</v>
      </c>
      <c r="F8" s="239">
        <v>15</v>
      </c>
      <c r="G8" s="239">
        <v>15</v>
      </c>
      <c r="H8" s="239">
        <v>15</v>
      </c>
      <c r="I8" s="239">
        <v>10</v>
      </c>
      <c r="J8" s="239">
        <v>10</v>
      </c>
      <c r="K8" s="239">
        <v>10</v>
      </c>
      <c r="L8" s="239">
        <v>10</v>
      </c>
      <c r="M8" s="266">
        <v>10</v>
      </c>
    </row>
    <row r="9" spans="1:13" ht="19.5" customHeight="1">
      <c r="A9" s="238" t="s">
        <v>2154</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2155</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2156</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2157</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2158</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2159</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2160</v>
      </c>
      <c r="B16" s="243"/>
      <c r="C16" s="244"/>
      <c r="D16" s="244"/>
      <c r="E16" s="243"/>
      <c r="F16" s="244"/>
      <c r="G16" s="244"/>
    </row>
    <row r="17" spans="1:9" ht="19.5" customHeight="1">
      <c r="A17" s="239" t="s">
        <v>2161</v>
      </c>
      <c r="B17" s="245" t="s">
        <v>2162</v>
      </c>
      <c r="C17" s="245" t="s">
        <v>2163</v>
      </c>
      <c r="D17" s="246"/>
      <c r="E17" s="239" t="s">
        <v>2164</v>
      </c>
      <c r="F17" s="247"/>
      <c r="G17" s="247"/>
    </row>
    <row r="18" spans="1:9" s="222" customFormat="1" ht="19.5" customHeight="1">
      <c r="A18" s="3699" t="s">
        <v>1758</v>
      </c>
      <c r="B18" s="248" t="s">
        <v>2165</v>
      </c>
      <c r="C18" s="249" t="s">
        <v>2166</v>
      </c>
      <c r="D18" s="250"/>
      <c r="E18" s="248">
        <v>1</v>
      </c>
      <c r="F18" s="251" t="s">
        <v>2167</v>
      </c>
      <c r="G18" s="252"/>
      <c r="H18" s="223"/>
      <c r="I18" s="223"/>
    </row>
    <row r="19" spans="1:9" s="222" customFormat="1" ht="19.5" customHeight="1">
      <c r="A19" s="3699"/>
      <c r="B19" s="3699" t="s">
        <v>2168</v>
      </c>
      <c r="C19" s="249" t="s">
        <v>2169</v>
      </c>
      <c r="D19" s="250"/>
      <c r="E19" s="248">
        <v>0.9</v>
      </c>
      <c r="F19" s="251" t="s">
        <v>2170</v>
      </c>
      <c r="G19" s="252"/>
      <c r="H19" s="223"/>
      <c r="I19" s="223"/>
    </row>
    <row r="20" spans="1:9" s="222" customFormat="1" ht="19.5" customHeight="1">
      <c r="A20" s="3699"/>
      <c r="B20" s="3699"/>
      <c r="C20" s="249" t="s">
        <v>2171</v>
      </c>
      <c r="D20" s="250"/>
      <c r="E20" s="248">
        <v>1.1000000000000001</v>
      </c>
      <c r="F20" s="251" t="s">
        <v>2172</v>
      </c>
      <c r="G20" s="252"/>
      <c r="H20" s="223"/>
      <c r="I20" s="223"/>
    </row>
    <row r="21" spans="1:9" s="222" customFormat="1" ht="19.5" customHeight="1">
      <c r="A21" s="3699"/>
      <c r="B21" s="3699"/>
      <c r="C21" s="249" t="s">
        <v>2173</v>
      </c>
      <c r="D21" s="250"/>
      <c r="E21" s="248">
        <v>0.8</v>
      </c>
      <c r="F21" s="251" t="s">
        <v>2174</v>
      </c>
      <c r="G21" s="252"/>
      <c r="H21" s="223"/>
      <c r="I21" s="223"/>
    </row>
    <row r="22" spans="1:9" s="222" customFormat="1" ht="19.5" customHeight="1">
      <c r="A22" s="3699"/>
      <c r="B22" s="3699"/>
      <c r="C22" s="249" t="s">
        <v>2175</v>
      </c>
      <c r="D22" s="250"/>
      <c r="E22" s="248">
        <v>0.5</v>
      </c>
      <c r="F22" s="251"/>
      <c r="G22" s="252"/>
      <c r="H22" s="223"/>
      <c r="I22" s="223"/>
    </row>
    <row r="23" spans="1:9" s="222" customFormat="1" ht="19.5" customHeight="1">
      <c r="A23" s="3699" t="s">
        <v>1759</v>
      </c>
      <c r="B23" s="248" t="s">
        <v>2165</v>
      </c>
      <c r="C23" s="249" t="s">
        <v>2176</v>
      </c>
      <c r="D23" s="250"/>
      <c r="E23" s="248">
        <v>1</v>
      </c>
      <c r="F23" s="251" t="s">
        <v>2177</v>
      </c>
      <c r="G23" s="252"/>
      <c r="H23" s="223"/>
      <c r="I23" s="223"/>
    </row>
    <row r="24" spans="1:9" s="222" customFormat="1" ht="19.5" customHeight="1">
      <c r="A24" s="3699"/>
      <c r="B24" s="3699" t="s">
        <v>2168</v>
      </c>
      <c r="C24" s="249" t="s">
        <v>2178</v>
      </c>
      <c r="D24" s="250"/>
      <c r="E24" s="248">
        <v>0.5</v>
      </c>
      <c r="F24" s="251"/>
      <c r="G24" s="252"/>
      <c r="H24" s="223"/>
      <c r="I24" s="223"/>
    </row>
    <row r="25" spans="1:9" s="222" customFormat="1" ht="19.5" customHeight="1">
      <c r="A25" s="3699"/>
      <c r="B25" s="3699"/>
      <c r="C25" s="249" t="s">
        <v>2179</v>
      </c>
      <c r="D25" s="250"/>
      <c r="E25" s="248">
        <v>1.1000000000000001</v>
      </c>
      <c r="F25" s="251"/>
      <c r="G25" s="252"/>
      <c r="H25" s="223"/>
      <c r="I25" s="223"/>
    </row>
    <row r="26" spans="1:9" s="222" customFormat="1" ht="19.5" customHeight="1">
      <c r="A26" s="3699"/>
      <c r="B26" s="3699"/>
      <c r="C26" s="249" t="s">
        <v>2180</v>
      </c>
      <c r="D26" s="250"/>
      <c r="E26" s="248">
        <v>1.1000000000000001</v>
      </c>
      <c r="F26" s="251"/>
      <c r="G26" s="252"/>
      <c r="H26" s="223"/>
      <c r="I26" s="223"/>
    </row>
    <row r="27" spans="1:9" s="222" customFormat="1" ht="19.5" customHeight="1">
      <c r="A27" s="3699"/>
      <c r="B27" s="3699"/>
      <c r="C27" s="249" t="s">
        <v>2181</v>
      </c>
      <c r="D27" s="250"/>
      <c r="E27" s="248">
        <v>0.9</v>
      </c>
      <c r="F27" s="251" t="s">
        <v>2182</v>
      </c>
      <c r="G27" s="252"/>
      <c r="H27" s="223"/>
      <c r="I27" s="223"/>
    </row>
    <row r="28" spans="1:9" s="222" customFormat="1" ht="19.5" customHeight="1">
      <c r="A28" s="3699"/>
      <c r="B28" s="3699"/>
      <c r="C28" s="249" t="s">
        <v>2183</v>
      </c>
      <c r="D28" s="250"/>
      <c r="E28" s="248">
        <v>0.9</v>
      </c>
      <c r="F28" s="251" t="s">
        <v>2184</v>
      </c>
      <c r="G28" s="252"/>
      <c r="H28" s="223"/>
      <c r="I28" s="223"/>
    </row>
    <row r="29" spans="1:9" s="222" customFormat="1" ht="19.5" customHeight="1">
      <c r="A29" s="3699"/>
      <c r="B29" s="3699"/>
      <c r="C29" s="249" t="s">
        <v>2185</v>
      </c>
      <c r="D29" s="250"/>
      <c r="E29" s="248">
        <v>0.9</v>
      </c>
      <c r="F29" s="251" t="s">
        <v>2186</v>
      </c>
      <c r="G29" s="252"/>
      <c r="H29" s="223"/>
      <c r="I29" s="223"/>
    </row>
    <row r="30" spans="1:9" s="222" customFormat="1" ht="19.5" customHeight="1">
      <c r="A30" s="3699"/>
      <c r="B30" s="3699"/>
      <c r="C30" s="249" t="s">
        <v>2187</v>
      </c>
      <c r="D30" s="250"/>
      <c r="E30" s="248">
        <v>0.9</v>
      </c>
      <c r="F30" s="251" t="s">
        <v>2188</v>
      </c>
      <c r="G30" s="252"/>
      <c r="H30" s="223"/>
      <c r="I30" s="223"/>
    </row>
    <row r="31" spans="1:9" s="222" customFormat="1" ht="19.5" customHeight="1">
      <c r="A31" s="3699"/>
      <c r="B31" s="3699"/>
      <c r="C31" s="249" t="s">
        <v>2189</v>
      </c>
      <c r="D31" s="250"/>
      <c r="E31" s="248">
        <v>0.8</v>
      </c>
      <c r="F31" s="251" t="s">
        <v>2190</v>
      </c>
      <c r="G31" s="252"/>
      <c r="H31" s="223"/>
      <c r="I31" s="223"/>
    </row>
    <row r="32" spans="1:9" s="222" customFormat="1" ht="19.5" customHeight="1">
      <c r="A32" s="3699"/>
      <c r="B32" s="3699"/>
      <c r="C32" s="249" t="s">
        <v>2191</v>
      </c>
      <c r="D32" s="250"/>
      <c r="E32" s="248">
        <v>0.8</v>
      </c>
      <c r="F32" s="251" t="s">
        <v>2192</v>
      </c>
      <c r="G32" s="252"/>
      <c r="H32" s="223"/>
      <c r="I32" s="223"/>
    </row>
    <row r="33" spans="1:9" s="222" customFormat="1" ht="19.5" customHeight="1">
      <c r="A33" s="3699" t="s">
        <v>2193</v>
      </c>
      <c r="B33" s="248" t="s">
        <v>2165</v>
      </c>
      <c r="C33" s="249" t="s">
        <v>1582</v>
      </c>
      <c r="D33" s="250"/>
      <c r="E33" s="248">
        <v>1</v>
      </c>
      <c r="F33" s="251" t="s">
        <v>2194</v>
      </c>
      <c r="G33" s="252"/>
      <c r="H33" s="223"/>
      <c r="I33" s="223"/>
    </row>
    <row r="34" spans="1:9" s="222" customFormat="1" ht="19.5" customHeight="1">
      <c r="A34" s="3699"/>
      <c r="B34" s="248" t="s">
        <v>2168</v>
      </c>
      <c r="C34" s="249" t="s">
        <v>2195</v>
      </c>
      <c r="D34" s="250"/>
      <c r="E34" s="248">
        <v>1.5</v>
      </c>
      <c r="F34" s="251" t="s">
        <v>2196</v>
      </c>
      <c r="G34" s="252"/>
      <c r="H34" s="223"/>
      <c r="I34" s="223"/>
    </row>
    <row r="35" spans="1:9" s="222" customFormat="1" ht="19.5" customHeight="1">
      <c r="A35" s="3699" t="s">
        <v>1760</v>
      </c>
      <c r="B35" s="248" t="s">
        <v>2165</v>
      </c>
      <c r="C35" s="249" t="s">
        <v>2197</v>
      </c>
      <c r="D35" s="250"/>
      <c r="E35" s="248">
        <v>1</v>
      </c>
      <c r="F35" s="251" t="s">
        <v>2198</v>
      </c>
      <c r="G35" s="252"/>
      <c r="H35" s="223"/>
      <c r="I35" s="223"/>
    </row>
    <row r="36" spans="1:9" s="222" customFormat="1" ht="19.5" customHeight="1">
      <c r="A36" s="3699"/>
      <c r="B36" s="3699" t="s">
        <v>2168</v>
      </c>
      <c r="C36" s="249" t="s">
        <v>2199</v>
      </c>
      <c r="D36" s="250"/>
      <c r="E36" s="248">
        <v>1</v>
      </c>
      <c r="F36" s="251" t="s">
        <v>2200</v>
      </c>
      <c r="G36" s="252"/>
      <c r="H36" s="223"/>
      <c r="I36" s="223"/>
    </row>
    <row r="37" spans="1:9" s="222" customFormat="1" ht="19.5" customHeight="1">
      <c r="A37" s="3699"/>
      <c r="B37" s="3699"/>
      <c r="C37" s="249" t="s">
        <v>2201</v>
      </c>
      <c r="D37" s="250"/>
      <c r="E37" s="248">
        <v>1.5</v>
      </c>
      <c r="F37" s="251" t="s">
        <v>2202</v>
      </c>
      <c r="G37" s="252"/>
      <c r="H37" s="223"/>
      <c r="I37" s="223"/>
    </row>
    <row r="38" spans="1:9" s="222" customFormat="1" ht="19.5" customHeight="1">
      <c r="A38" s="3699"/>
      <c r="B38" s="3699"/>
      <c r="C38" s="249" t="s">
        <v>2203</v>
      </c>
      <c r="D38" s="250"/>
      <c r="E38" s="248">
        <v>1</v>
      </c>
      <c r="F38" s="251" t="s">
        <v>2204</v>
      </c>
      <c r="G38" s="252"/>
      <c r="H38" s="223"/>
      <c r="I38" s="223"/>
    </row>
    <row r="39" spans="1:9" s="222" customFormat="1" ht="19.5" customHeight="1">
      <c r="A39" s="3699"/>
      <c r="B39" s="3699"/>
      <c r="C39" s="249" t="s">
        <v>2205</v>
      </c>
      <c r="D39" s="250"/>
      <c r="E39" s="248">
        <v>1</v>
      </c>
      <c r="F39" s="251" t="s">
        <v>2206</v>
      </c>
      <c r="G39" s="252"/>
      <c r="H39" s="223"/>
      <c r="I39" s="223"/>
    </row>
    <row r="40" spans="1:9" s="222" customFormat="1" ht="19.5" customHeight="1">
      <c r="A40" s="253" t="s">
        <v>2207</v>
      </c>
      <c r="B40" s="253"/>
      <c r="C40" s="253"/>
      <c r="D40" s="253"/>
      <c r="E40" s="253"/>
      <c r="F40" s="254"/>
      <c r="G40" s="254"/>
      <c r="H40" s="223"/>
      <c r="I40" s="223"/>
    </row>
    <row r="42" spans="1:9" ht="19.5" customHeight="1">
      <c r="A42" s="255"/>
      <c r="B42" s="239" t="s">
        <v>2208</v>
      </c>
      <c r="C42" s="239" t="s">
        <v>2208</v>
      </c>
      <c r="D42" s="239" t="s">
        <v>2208</v>
      </c>
      <c r="E42" s="241" t="s">
        <v>2208</v>
      </c>
      <c r="F42" s="241" t="s">
        <v>2208</v>
      </c>
      <c r="G42" s="241" t="s">
        <v>2209</v>
      </c>
      <c r="H42" s="241" t="s">
        <v>2208</v>
      </c>
    </row>
    <row r="43" spans="1:9" ht="19.5" customHeight="1">
      <c r="A43" s="256"/>
      <c r="B43" s="241" t="s">
        <v>1758</v>
      </c>
      <c r="C43" s="241" t="s">
        <v>1758</v>
      </c>
      <c r="D43" s="241" t="s">
        <v>1758</v>
      </c>
      <c r="E43" s="241" t="s">
        <v>1758</v>
      </c>
      <c r="F43" s="239" t="s">
        <v>1759</v>
      </c>
      <c r="G43" s="239" t="s">
        <v>1760</v>
      </c>
      <c r="H43" s="239" t="s">
        <v>2210</v>
      </c>
    </row>
    <row r="44" spans="1:9" ht="19.5" customHeight="1">
      <c r="A44" s="257"/>
      <c r="B44" s="239">
        <v>1</v>
      </c>
      <c r="C44" s="239">
        <v>2</v>
      </c>
      <c r="D44" s="239">
        <v>3</v>
      </c>
      <c r="E44" s="241">
        <v>4</v>
      </c>
      <c r="F44" s="246" t="s">
        <v>2211</v>
      </c>
      <c r="G44" s="246" t="s">
        <v>2211</v>
      </c>
      <c r="H44" s="246" t="s">
        <v>2211</v>
      </c>
    </row>
    <row r="45" spans="1:9" ht="19.5" customHeight="1">
      <c r="A45" s="258" t="s">
        <v>1763</v>
      </c>
      <c r="B45" s="239">
        <v>0.8</v>
      </c>
      <c r="C45" s="239">
        <v>0.5</v>
      </c>
      <c r="D45" s="239">
        <v>0.36</v>
      </c>
      <c r="E45" s="239">
        <v>0.3</v>
      </c>
      <c r="F45" s="246">
        <v>0.3</v>
      </c>
      <c r="G45" s="239">
        <v>0.3</v>
      </c>
      <c r="H45" s="239">
        <v>0.25</v>
      </c>
    </row>
    <row r="46" spans="1:9" ht="19.5" customHeight="1">
      <c r="A46" s="258" t="s">
        <v>1769</v>
      </c>
      <c r="B46" s="239">
        <v>0.8</v>
      </c>
      <c r="C46" s="239">
        <v>0.5</v>
      </c>
      <c r="D46" s="239">
        <v>0.36</v>
      </c>
      <c r="E46" s="239">
        <v>0.3</v>
      </c>
      <c r="F46" s="239">
        <v>0.3</v>
      </c>
      <c r="G46" s="239">
        <v>0.3</v>
      </c>
      <c r="H46" s="239">
        <v>0.25</v>
      </c>
    </row>
    <row r="47" spans="1:9" ht="19.5" customHeight="1">
      <c r="A47" s="258" t="s">
        <v>1789</v>
      </c>
      <c r="B47" s="239">
        <v>0.7</v>
      </c>
      <c r="C47" s="239">
        <v>0.4</v>
      </c>
      <c r="D47" s="239">
        <v>0.28000000000000003</v>
      </c>
      <c r="E47" s="239">
        <v>0.25</v>
      </c>
      <c r="F47" s="239">
        <v>0.25</v>
      </c>
      <c r="G47" s="239">
        <v>0.25</v>
      </c>
      <c r="H47" s="239">
        <v>0.2</v>
      </c>
    </row>
    <row r="48" spans="1:9" ht="19.5" customHeight="1">
      <c r="A48" s="258" t="s">
        <v>1810</v>
      </c>
      <c r="B48" s="239">
        <v>0.7</v>
      </c>
      <c r="C48" s="239">
        <v>0.4</v>
      </c>
      <c r="D48" s="239">
        <v>0.28000000000000003</v>
      </c>
      <c r="E48" s="239">
        <v>0.25</v>
      </c>
      <c r="F48" s="239">
        <v>0.25</v>
      </c>
      <c r="G48" s="239">
        <v>0.25</v>
      </c>
      <c r="H48" s="239">
        <v>0.2</v>
      </c>
    </row>
    <row r="49" spans="1:8" s="223" customFormat="1" ht="19.5" customHeight="1">
      <c r="A49" s="258" t="s">
        <v>1838</v>
      </c>
      <c r="B49" s="239">
        <v>0.7</v>
      </c>
      <c r="C49" s="239">
        <v>0.4</v>
      </c>
      <c r="D49" s="239">
        <v>0.28000000000000003</v>
      </c>
      <c r="E49" s="239">
        <v>0.25</v>
      </c>
      <c r="F49" s="239">
        <v>0.25</v>
      </c>
      <c r="G49" s="239">
        <v>0.25</v>
      </c>
      <c r="H49" s="239">
        <v>0.2</v>
      </c>
    </row>
    <row r="50" spans="1:8" s="223" customFormat="1" ht="19.5" customHeight="1">
      <c r="A50" s="258" t="s">
        <v>1873</v>
      </c>
      <c r="B50" s="239">
        <v>0.7</v>
      </c>
      <c r="C50" s="239">
        <v>0.4</v>
      </c>
      <c r="D50" s="239">
        <v>0.28000000000000003</v>
      </c>
      <c r="E50" s="239">
        <v>0.25</v>
      </c>
      <c r="F50" s="239">
        <v>0.25</v>
      </c>
      <c r="G50" s="239">
        <v>0.25</v>
      </c>
      <c r="H50" s="239">
        <v>0.2</v>
      </c>
    </row>
    <row r="51" spans="1:8" s="223" customFormat="1" ht="19.5" customHeight="1">
      <c r="A51" s="258" t="s">
        <v>1922</v>
      </c>
      <c r="B51" s="239">
        <v>0.7</v>
      </c>
      <c r="C51" s="239">
        <v>0.4</v>
      </c>
      <c r="D51" s="239">
        <v>0.28000000000000003</v>
      </c>
      <c r="E51" s="239">
        <v>0.25</v>
      </c>
      <c r="F51" s="239">
        <v>0.25</v>
      </c>
      <c r="G51" s="239">
        <v>0.25</v>
      </c>
      <c r="H51" s="239">
        <v>0.2</v>
      </c>
    </row>
    <row r="52" spans="1:8" s="223" customFormat="1" ht="19.5" customHeight="1">
      <c r="A52" s="258" t="s">
        <v>1971</v>
      </c>
      <c r="B52" s="239">
        <v>0.6</v>
      </c>
      <c r="C52" s="239">
        <v>0.3</v>
      </c>
      <c r="D52" s="239">
        <v>0.2</v>
      </c>
      <c r="E52" s="239">
        <v>0.2</v>
      </c>
      <c r="F52" s="239">
        <v>0.2</v>
      </c>
      <c r="G52" s="239">
        <v>0.2</v>
      </c>
      <c r="H52" s="239">
        <v>0.15</v>
      </c>
    </row>
    <row r="53" spans="1:8" s="223" customFormat="1" ht="19.5" customHeight="1">
      <c r="A53" s="258" t="s">
        <v>2011</v>
      </c>
      <c r="B53" s="239">
        <v>0.6</v>
      </c>
      <c r="C53" s="239">
        <v>0.3</v>
      </c>
      <c r="D53" s="239">
        <v>0.2</v>
      </c>
      <c r="E53" s="239">
        <v>0.2</v>
      </c>
      <c r="F53" s="239">
        <v>0.2</v>
      </c>
      <c r="G53" s="239">
        <v>0.2</v>
      </c>
      <c r="H53" s="239">
        <v>0.15</v>
      </c>
    </row>
    <row r="54" spans="1:8" s="223" customFormat="1" ht="19.5" customHeight="1">
      <c r="A54" s="258" t="s">
        <v>2057</v>
      </c>
      <c r="B54" s="239">
        <v>0.6</v>
      </c>
      <c r="C54" s="239">
        <v>0.3</v>
      </c>
      <c r="D54" s="239">
        <v>0.2</v>
      </c>
      <c r="E54" s="239">
        <v>0.2</v>
      </c>
      <c r="F54" s="239">
        <v>0.2</v>
      </c>
      <c r="G54" s="239">
        <v>0.2</v>
      </c>
      <c r="H54" s="239">
        <v>0.15</v>
      </c>
    </row>
    <row r="55" spans="1:8" s="223" customFormat="1" ht="19.5" customHeight="1">
      <c r="A55" s="258" t="s">
        <v>2085</v>
      </c>
      <c r="B55" s="239">
        <v>0.6</v>
      </c>
      <c r="C55" s="239">
        <v>0.3</v>
      </c>
      <c r="D55" s="239">
        <v>0.2</v>
      </c>
      <c r="E55" s="239">
        <v>0.2</v>
      </c>
      <c r="F55" s="239">
        <v>0.2</v>
      </c>
      <c r="G55" s="239">
        <v>0.2</v>
      </c>
      <c r="H55" s="239">
        <v>0.15</v>
      </c>
    </row>
    <row r="56" spans="1:8" s="223" customFormat="1" ht="19.5" customHeight="1">
      <c r="A56" s="258" t="s">
        <v>2107</v>
      </c>
      <c r="B56" s="239">
        <v>0.6</v>
      </c>
      <c r="C56" s="239">
        <v>0.3</v>
      </c>
      <c r="D56" s="239">
        <v>0.2</v>
      </c>
      <c r="E56" s="239">
        <v>0.2</v>
      </c>
      <c r="F56" s="239">
        <v>0.2</v>
      </c>
      <c r="G56" s="239">
        <v>0.2</v>
      </c>
      <c r="H56" s="239">
        <v>0.15</v>
      </c>
    </row>
    <row r="58" spans="1:8" s="223" customFormat="1" ht="19.5" customHeight="1">
      <c r="A58" s="259"/>
      <c r="B58" s="243"/>
      <c r="C58" s="243"/>
      <c r="D58" s="243" t="s">
        <v>2212</v>
      </c>
      <c r="E58" s="243"/>
      <c r="F58" s="243"/>
    </row>
    <row r="59" spans="1:8" s="223" customFormat="1" ht="19.5" customHeight="1">
      <c r="A59" s="248" t="s">
        <v>690</v>
      </c>
      <c r="B59" s="248" t="s">
        <v>2213</v>
      </c>
      <c r="C59" s="248" t="s">
        <v>2214</v>
      </c>
      <c r="D59" s="248" t="s">
        <v>2215</v>
      </c>
      <c r="E59" s="248" t="s">
        <v>2216</v>
      </c>
      <c r="F59" s="248" t="s">
        <v>2217</v>
      </c>
    </row>
    <row r="60" spans="1:8" ht="13.5">
      <c r="A60" s="248"/>
      <c r="B60" s="248"/>
      <c r="C60" s="248" t="s">
        <v>1595</v>
      </c>
      <c r="D60" s="248"/>
      <c r="E60" s="260" t="s">
        <v>121</v>
      </c>
      <c r="F60" s="248" t="s">
        <v>121</v>
      </c>
    </row>
    <row r="61" spans="1:8" s="223" customFormat="1" ht="24">
      <c r="A61" s="248">
        <v>1</v>
      </c>
      <c r="B61" s="3699" t="s">
        <v>2218</v>
      </c>
      <c r="C61" s="239" t="s">
        <v>2219</v>
      </c>
      <c r="D61" s="239" t="s">
        <v>2220</v>
      </c>
      <c r="E61" s="260">
        <v>0.5</v>
      </c>
      <c r="F61" s="248">
        <v>80</v>
      </c>
    </row>
    <row r="62" spans="1:8" s="223" customFormat="1" ht="24">
      <c r="A62" s="248">
        <v>2</v>
      </c>
      <c r="B62" s="3699"/>
      <c r="C62" s="239" t="s">
        <v>2221</v>
      </c>
      <c r="D62" s="239" t="s">
        <v>2222</v>
      </c>
      <c r="E62" s="260">
        <v>0.5</v>
      </c>
      <c r="F62" s="248">
        <v>80</v>
      </c>
    </row>
    <row r="63" spans="1:8" s="223" customFormat="1" ht="36">
      <c r="A63" s="248">
        <v>3</v>
      </c>
      <c r="B63" s="3699"/>
      <c r="C63" s="239" t="s">
        <v>2223</v>
      </c>
      <c r="D63" s="239" t="s">
        <v>2224</v>
      </c>
      <c r="E63" s="260">
        <v>0.5</v>
      </c>
      <c r="F63" s="248">
        <v>80</v>
      </c>
    </row>
    <row r="64" spans="1:8" s="223" customFormat="1" ht="36">
      <c r="A64" s="248">
        <v>4</v>
      </c>
      <c r="B64" s="3699"/>
      <c r="C64" s="239" t="s">
        <v>2225</v>
      </c>
      <c r="D64" s="239" t="s">
        <v>2226</v>
      </c>
      <c r="E64" s="260">
        <v>0.4</v>
      </c>
      <c r="F64" s="248">
        <v>60</v>
      </c>
    </row>
    <row r="65" spans="1:6" s="223" customFormat="1" ht="36">
      <c r="A65" s="248">
        <v>5</v>
      </c>
      <c r="B65" s="3699"/>
      <c r="C65" s="239" t="s">
        <v>2227</v>
      </c>
      <c r="D65" s="239" t="s">
        <v>2228</v>
      </c>
      <c r="E65" s="260">
        <v>0.2</v>
      </c>
      <c r="F65" s="248">
        <v>30</v>
      </c>
    </row>
    <row r="66" spans="1:6" s="223" customFormat="1" ht="36">
      <c r="A66" s="248">
        <v>6</v>
      </c>
      <c r="B66" s="3699"/>
      <c r="C66" s="239" t="s">
        <v>2229</v>
      </c>
      <c r="D66" s="239" t="s">
        <v>2230</v>
      </c>
      <c r="E66" s="260">
        <v>0.3</v>
      </c>
      <c r="F66" s="248">
        <v>50</v>
      </c>
    </row>
    <row r="67" spans="1:6" s="223" customFormat="1" ht="36">
      <c r="A67" s="248">
        <v>7</v>
      </c>
      <c r="B67" s="3699"/>
      <c r="C67" s="239" t="s">
        <v>2231</v>
      </c>
      <c r="D67" s="239" t="s">
        <v>2232</v>
      </c>
      <c r="E67" s="260">
        <v>0.2</v>
      </c>
      <c r="F67" s="248">
        <v>30</v>
      </c>
    </row>
    <row r="68" spans="1:6" s="223" customFormat="1" ht="36">
      <c r="A68" s="248">
        <v>8</v>
      </c>
      <c r="B68" s="3699"/>
      <c r="C68" s="239" t="s">
        <v>2233</v>
      </c>
      <c r="D68" s="239" t="s">
        <v>2234</v>
      </c>
      <c r="E68" s="260">
        <v>0.2</v>
      </c>
      <c r="F68" s="248">
        <v>30</v>
      </c>
    </row>
    <row r="69" spans="1:6" s="223" customFormat="1" ht="36">
      <c r="A69" s="248">
        <v>9</v>
      </c>
      <c r="B69" s="3699"/>
      <c r="C69" s="239" t="s">
        <v>2235</v>
      </c>
      <c r="D69" s="239" t="s">
        <v>2236</v>
      </c>
      <c r="E69" s="260">
        <v>0.2</v>
      </c>
      <c r="F69" s="248">
        <v>30</v>
      </c>
    </row>
    <row r="70" spans="1:6" s="223" customFormat="1" ht="48">
      <c r="A70" s="248">
        <v>10</v>
      </c>
      <c r="B70" s="3699"/>
      <c r="C70" s="239" t="s">
        <v>2237</v>
      </c>
      <c r="D70" s="239" t="s">
        <v>2238</v>
      </c>
      <c r="E70" s="260">
        <v>0.2</v>
      </c>
      <c r="F70" s="248">
        <v>30</v>
      </c>
    </row>
    <row r="71" spans="1:6" s="223" customFormat="1" ht="48">
      <c r="A71" s="248">
        <v>11</v>
      </c>
      <c r="B71" s="3699"/>
      <c r="C71" s="239" t="s">
        <v>2239</v>
      </c>
      <c r="D71" s="239" t="s">
        <v>2240</v>
      </c>
      <c r="E71" s="260">
        <v>0.2</v>
      </c>
      <c r="F71" s="248">
        <v>30</v>
      </c>
    </row>
    <row r="72" spans="1:6" s="223" customFormat="1" ht="36">
      <c r="A72" s="248">
        <v>12</v>
      </c>
      <c r="B72" s="3699"/>
      <c r="C72" s="239" t="s">
        <v>2241</v>
      </c>
      <c r="D72" s="239" t="s">
        <v>2242</v>
      </c>
      <c r="E72" s="260">
        <v>0.5</v>
      </c>
      <c r="F72" s="248">
        <v>80</v>
      </c>
    </row>
    <row r="73" spans="1:6" s="223" customFormat="1" ht="24">
      <c r="A73" s="248">
        <v>13</v>
      </c>
      <c r="B73" s="3699"/>
      <c r="C73" s="239" t="s">
        <v>2243</v>
      </c>
      <c r="D73" s="239" t="s">
        <v>2244</v>
      </c>
      <c r="E73" s="260">
        <v>0.4</v>
      </c>
      <c r="F73" s="248">
        <v>60</v>
      </c>
    </row>
    <row r="74" spans="1:6" s="223" customFormat="1" ht="24">
      <c r="A74" s="248">
        <v>14</v>
      </c>
      <c r="B74" s="3699"/>
      <c r="C74" s="239" t="s">
        <v>2245</v>
      </c>
      <c r="D74" s="239" t="s">
        <v>2246</v>
      </c>
      <c r="E74" s="260">
        <v>0.2</v>
      </c>
      <c r="F74" s="248">
        <v>30</v>
      </c>
    </row>
    <row r="75" spans="1:6" s="223" customFormat="1" ht="24">
      <c r="A75" s="248">
        <v>15</v>
      </c>
      <c r="B75" s="3699"/>
      <c r="C75" s="239" t="s">
        <v>2247</v>
      </c>
      <c r="D75" s="239" t="s">
        <v>2248</v>
      </c>
      <c r="E75" s="260">
        <v>0.2</v>
      </c>
      <c r="F75" s="248">
        <v>30</v>
      </c>
    </row>
    <row r="76" spans="1:6" s="223" customFormat="1" ht="24">
      <c r="A76" s="248">
        <v>16</v>
      </c>
      <c r="B76" s="3699" t="s">
        <v>2249</v>
      </c>
      <c r="C76" s="239" t="s">
        <v>2250</v>
      </c>
      <c r="D76" s="239" t="s">
        <v>2251</v>
      </c>
      <c r="E76" s="260">
        <v>0.5</v>
      </c>
      <c r="F76" s="248">
        <v>80</v>
      </c>
    </row>
    <row r="77" spans="1:6" s="223" customFormat="1" ht="24">
      <c r="A77" s="248">
        <v>17</v>
      </c>
      <c r="B77" s="3699"/>
      <c r="C77" s="239" t="s">
        <v>2252</v>
      </c>
      <c r="D77" s="239" t="s">
        <v>2253</v>
      </c>
      <c r="E77" s="260">
        <v>0.5</v>
      </c>
      <c r="F77" s="248">
        <v>80</v>
      </c>
    </row>
    <row r="78" spans="1:6" s="223" customFormat="1" ht="24">
      <c r="A78" s="248">
        <v>18</v>
      </c>
      <c r="B78" s="3699"/>
      <c r="C78" s="239" t="s">
        <v>2254</v>
      </c>
      <c r="D78" s="239" t="s">
        <v>2255</v>
      </c>
      <c r="E78" s="260">
        <v>0.2</v>
      </c>
      <c r="F78" s="248">
        <v>30</v>
      </c>
    </row>
    <row r="79" spans="1:6" s="223" customFormat="1" ht="24">
      <c r="A79" s="248">
        <v>19</v>
      </c>
      <c r="B79" s="3699"/>
      <c r="C79" s="239" t="s">
        <v>2256</v>
      </c>
      <c r="D79" s="239" t="s">
        <v>2257</v>
      </c>
      <c r="E79" s="260">
        <v>0.5</v>
      </c>
      <c r="F79" s="248">
        <v>80</v>
      </c>
    </row>
    <row r="80" spans="1:6" s="223" customFormat="1" ht="36">
      <c r="A80" s="248">
        <v>20</v>
      </c>
      <c r="B80" s="3699"/>
      <c r="C80" s="239" t="s">
        <v>2258</v>
      </c>
      <c r="D80" s="239" t="s">
        <v>2259</v>
      </c>
      <c r="E80" s="260">
        <v>0.2</v>
      </c>
      <c r="F80" s="248">
        <v>30</v>
      </c>
    </row>
    <row r="81" spans="1:6" s="223" customFormat="1" ht="36">
      <c r="A81" s="248">
        <v>21</v>
      </c>
      <c r="B81" s="3699"/>
      <c r="C81" s="239" t="s">
        <v>2260</v>
      </c>
      <c r="D81" s="239" t="s">
        <v>2261</v>
      </c>
      <c r="E81" s="260">
        <v>0.2</v>
      </c>
      <c r="F81" s="248">
        <v>30</v>
      </c>
    </row>
    <row r="82" spans="1:6" s="223" customFormat="1" ht="48">
      <c r="A82" s="248">
        <v>22</v>
      </c>
      <c r="B82" s="3699"/>
      <c r="C82" s="239" t="s">
        <v>2262</v>
      </c>
      <c r="D82" s="239" t="s">
        <v>2263</v>
      </c>
      <c r="E82" s="260">
        <v>0.2</v>
      </c>
      <c r="F82" s="248">
        <v>30</v>
      </c>
    </row>
    <row r="83" spans="1:6" s="223" customFormat="1" ht="48">
      <c r="A83" s="248">
        <v>23</v>
      </c>
      <c r="B83" s="3699"/>
      <c r="C83" s="239" t="s">
        <v>2264</v>
      </c>
      <c r="D83" s="239" t="s">
        <v>2265</v>
      </c>
      <c r="E83" s="260">
        <v>0.2</v>
      </c>
      <c r="F83" s="248">
        <v>30</v>
      </c>
    </row>
    <row r="84" spans="1:6" s="223" customFormat="1" ht="36">
      <c r="A84" s="248">
        <v>24</v>
      </c>
      <c r="B84" s="3699"/>
      <c r="C84" s="239" t="s">
        <v>2266</v>
      </c>
      <c r="D84" s="239" t="s">
        <v>2267</v>
      </c>
      <c r="E84" s="260">
        <v>0.2</v>
      </c>
      <c r="F84" s="248">
        <v>30</v>
      </c>
    </row>
    <row r="85" spans="1:6" s="223" customFormat="1" ht="36">
      <c r="A85" s="248">
        <v>25</v>
      </c>
      <c r="B85" s="3699"/>
      <c r="C85" s="239" t="s">
        <v>2268</v>
      </c>
      <c r="D85" s="239" t="s">
        <v>2269</v>
      </c>
      <c r="E85" s="260">
        <v>0.5</v>
      </c>
      <c r="F85" s="248">
        <v>80</v>
      </c>
    </row>
    <row r="86" spans="1:6" s="223" customFormat="1" ht="36">
      <c r="A86" s="248">
        <v>26</v>
      </c>
      <c r="B86" s="3699"/>
      <c r="C86" s="239" t="s">
        <v>2270</v>
      </c>
      <c r="D86" s="239" t="s">
        <v>2271</v>
      </c>
      <c r="E86" s="260">
        <v>0.2</v>
      </c>
      <c r="F86" s="248">
        <v>30</v>
      </c>
    </row>
    <row r="87" spans="1:6" s="223" customFormat="1" ht="36">
      <c r="A87" s="248">
        <v>27</v>
      </c>
      <c r="B87" s="3699"/>
      <c r="C87" s="239" t="s">
        <v>2272</v>
      </c>
      <c r="D87" s="239" t="s">
        <v>2273</v>
      </c>
      <c r="E87" s="260">
        <v>0.2</v>
      </c>
      <c r="F87" s="248">
        <v>30</v>
      </c>
    </row>
    <row r="88" spans="1:6" s="223" customFormat="1" ht="36">
      <c r="A88" s="248">
        <v>28</v>
      </c>
      <c r="B88" s="3699"/>
      <c r="C88" s="239" t="s">
        <v>2274</v>
      </c>
      <c r="D88" s="239" t="s">
        <v>2275</v>
      </c>
      <c r="E88" s="260">
        <v>0.2</v>
      </c>
      <c r="F88" s="248">
        <v>30</v>
      </c>
    </row>
    <row r="89" spans="1:6" s="223" customFormat="1" ht="24">
      <c r="A89" s="248">
        <v>29</v>
      </c>
      <c r="B89" s="3699"/>
      <c r="C89" s="239" t="s">
        <v>2276</v>
      </c>
      <c r="D89" s="239" t="s">
        <v>2277</v>
      </c>
      <c r="E89" s="260">
        <v>0.2</v>
      </c>
      <c r="F89" s="248">
        <v>30</v>
      </c>
    </row>
    <row r="90" spans="1:6" s="223" customFormat="1" ht="24">
      <c r="A90" s="248">
        <v>30</v>
      </c>
      <c r="B90" s="3699"/>
      <c r="C90" s="239" t="s">
        <v>2278</v>
      </c>
      <c r="D90" s="239" t="s">
        <v>2279</v>
      </c>
      <c r="E90" s="260">
        <v>0.2</v>
      </c>
      <c r="F90" s="248">
        <v>30</v>
      </c>
    </row>
    <row r="91" spans="1:6" s="223" customFormat="1" ht="36">
      <c r="A91" s="248">
        <v>31</v>
      </c>
      <c r="B91" s="3699"/>
      <c r="C91" s="239" t="s">
        <v>2280</v>
      </c>
      <c r="D91" s="239" t="s">
        <v>2281</v>
      </c>
      <c r="E91" s="260">
        <v>0.2</v>
      </c>
      <c r="F91" s="248">
        <v>30</v>
      </c>
    </row>
    <row r="92" spans="1:6" s="223" customFormat="1" ht="24">
      <c r="A92" s="248">
        <v>32</v>
      </c>
      <c r="B92" s="3699" t="s">
        <v>2282</v>
      </c>
      <c r="C92" s="248" t="s">
        <v>2283</v>
      </c>
      <c r="D92" s="239" t="s">
        <v>2284</v>
      </c>
      <c r="E92" s="260">
        <v>0.2</v>
      </c>
      <c r="F92" s="248">
        <v>30</v>
      </c>
    </row>
    <row r="93" spans="1:6" s="223" customFormat="1" ht="36">
      <c r="A93" s="248">
        <v>33</v>
      </c>
      <c r="B93" s="3699"/>
      <c r="C93" s="248" t="s">
        <v>2285</v>
      </c>
      <c r="D93" s="239" t="s">
        <v>2286</v>
      </c>
      <c r="E93" s="260">
        <v>0.2</v>
      </c>
      <c r="F93" s="248">
        <v>30</v>
      </c>
    </row>
    <row r="94" spans="1:6" s="223" customFormat="1" ht="48">
      <c r="A94" s="248">
        <v>34</v>
      </c>
      <c r="B94" s="3699"/>
      <c r="C94" s="248" t="s">
        <v>2287</v>
      </c>
      <c r="D94" s="239" t="s">
        <v>2288</v>
      </c>
      <c r="E94" s="260">
        <v>0.2</v>
      </c>
      <c r="F94" s="248">
        <v>30</v>
      </c>
    </row>
    <row r="95" spans="1:6" s="223" customFormat="1" ht="36">
      <c r="A95" s="248">
        <v>35</v>
      </c>
      <c r="B95" s="3699"/>
      <c r="C95" s="248" t="s">
        <v>2289</v>
      </c>
      <c r="D95" s="239" t="s">
        <v>2290</v>
      </c>
      <c r="E95" s="260">
        <v>0.2</v>
      </c>
      <c r="F95" s="248">
        <v>30</v>
      </c>
    </row>
    <row r="96" spans="1:6" s="223" customFormat="1" ht="48">
      <c r="A96" s="248">
        <v>36</v>
      </c>
      <c r="B96" s="3699"/>
      <c r="C96" s="239" t="s">
        <v>2291</v>
      </c>
      <c r="D96" s="239" t="s">
        <v>2292</v>
      </c>
      <c r="E96" s="260">
        <v>0.2</v>
      </c>
      <c r="F96" s="248">
        <v>30</v>
      </c>
    </row>
    <row r="97" spans="1:6" s="223" customFormat="1" ht="36">
      <c r="A97" s="248">
        <v>37</v>
      </c>
      <c r="B97" s="3699"/>
      <c r="C97" s="248" t="s">
        <v>2293</v>
      </c>
      <c r="D97" s="239" t="s">
        <v>2294</v>
      </c>
      <c r="E97" s="260">
        <v>0.2</v>
      </c>
      <c r="F97" s="248">
        <v>30</v>
      </c>
    </row>
    <row r="98" spans="1:6" s="223" customFormat="1" ht="36">
      <c r="A98" s="248">
        <v>38</v>
      </c>
      <c r="B98" s="3699"/>
      <c r="C98" s="248" t="s">
        <v>2295</v>
      </c>
      <c r="D98" s="239" t="s">
        <v>2296</v>
      </c>
      <c r="E98" s="260">
        <v>0.2</v>
      </c>
      <c r="F98" s="248">
        <v>30</v>
      </c>
    </row>
    <row r="99" spans="1:6" s="223" customFormat="1" ht="36">
      <c r="A99" s="248">
        <v>39</v>
      </c>
      <c r="B99" s="3699" t="s">
        <v>2297</v>
      </c>
      <c r="C99" s="248" t="s">
        <v>2298</v>
      </c>
      <c r="D99" s="239" t="s">
        <v>2299</v>
      </c>
      <c r="E99" s="260">
        <v>0.3</v>
      </c>
      <c r="F99" s="248">
        <v>50</v>
      </c>
    </row>
    <row r="100" spans="1:6" s="223" customFormat="1" ht="24">
      <c r="A100" s="248">
        <v>40</v>
      </c>
      <c r="B100" s="3699"/>
      <c r="C100" s="248" t="s">
        <v>2300</v>
      </c>
      <c r="D100" s="239" t="s">
        <v>2301</v>
      </c>
      <c r="E100" s="260">
        <v>0.2</v>
      </c>
      <c r="F100" s="248">
        <v>30</v>
      </c>
    </row>
    <row r="101" spans="1:6" s="223" customFormat="1" ht="36">
      <c r="A101" s="248">
        <v>41</v>
      </c>
      <c r="B101" s="3699"/>
      <c r="C101" s="248" t="s">
        <v>2302</v>
      </c>
      <c r="D101" s="239" t="s">
        <v>2299</v>
      </c>
      <c r="E101" s="260">
        <v>0.2</v>
      </c>
      <c r="F101" s="248">
        <v>30</v>
      </c>
    </row>
    <row r="102" spans="1:6" s="223" customFormat="1" ht="48">
      <c r="A102" s="248">
        <v>42</v>
      </c>
      <c r="B102" s="248" t="s">
        <v>2303</v>
      </c>
      <c r="C102" s="239" t="s">
        <v>2304</v>
      </c>
      <c r="D102" s="239" t="s">
        <v>2305</v>
      </c>
      <c r="E102" s="260">
        <v>0.2</v>
      </c>
      <c r="F102" s="248">
        <v>30</v>
      </c>
    </row>
    <row r="103" spans="1:6" s="223" customFormat="1" ht="24">
      <c r="A103" s="248">
        <v>43</v>
      </c>
      <c r="B103" s="248" t="s">
        <v>2306</v>
      </c>
      <c r="C103" s="248" t="s">
        <v>2307</v>
      </c>
      <c r="D103" s="239" t="s">
        <v>2308</v>
      </c>
      <c r="E103" s="260">
        <v>0.2</v>
      </c>
      <c r="F103" s="248">
        <v>30</v>
      </c>
    </row>
    <row r="104" spans="1:6" s="223" customFormat="1" ht="36">
      <c r="A104" s="248">
        <v>44</v>
      </c>
      <c r="B104" s="248" t="s">
        <v>2309</v>
      </c>
      <c r="C104" s="248" t="s">
        <v>2310</v>
      </c>
      <c r="D104" s="239" t="s">
        <v>2311</v>
      </c>
      <c r="E104" s="260">
        <v>0.2</v>
      </c>
      <c r="F104" s="248">
        <v>30</v>
      </c>
    </row>
    <row r="105" spans="1:6" s="223" customFormat="1" ht="36">
      <c r="A105" s="248">
        <v>45</v>
      </c>
      <c r="B105" s="3699" t="s">
        <v>2312</v>
      </c>
      <c r="C105" s="248" t="s">
        <v>2313</v>
      </c>
      <c r="D105" s="239" t="s">
        <v>2314</v>
      </c>
      <c r="E105" s="260">
        <v>0.2</v>
      </c>
      <c r="F105" s="248">
        <v>30</v>
      </c>
    </row>
    <row r="106" spans="1:6" s="223" customFormat="1" ht="36">
      <c r="A106" s="248">
        <v>46</v>
      </c>
      <c r="B106" s="3699"/>
      <c r="C106" s="248" t="s">
        <v>2315</v>
      </c>
      <c r="D106" s="239" t="s">
        <v>2316</v>
      </c>
      <c r="E106" s="260">
        <v>0.2</v>
      </c>
      <c r="F106" s="248">
        <v>30</v>
      </c>
    </row>
    <row r="107" spans="1:6" s="223" customFormat="1" ht="36">
      <c r="A107" s="248">
        <v>47</v>
      </c>
      <c r="B107" s="3699" t="s">
        <v>2317</v>
      </c>
      <c r="C107" s="248" t="s">
        <v>2318</v>
      </c>
      <c r="D107" s="239" t="s">
        <v>2319</v>
      </c>
      <c r="E107" s="260">
        <v>0.3</v>
      </c>
      <c r="F107" s="248">
        <v>50</v>
      </c>
    </row>
    <row r="108" spans="1:6" s="223" customFormat="1" ht="36">
      <c r="A108" s="248">
        <v>48</v>
      </c>
      <c r="B108" s="3699"/>
      <c r="C108" s="248" t="s">
        <v>2320</v>
      </c>
      <c r="D108" s="239" t="s">
        <v>2321</v>
      </c>
      <c r="E108" s="260">
        <v>0.2</v>
      </c>
      <c r="F108" s="248">
        <v>30</v>
      </c>
    </row>
    <row r="109" spans="1:6" s="223" customFormat="1" ht="36">
      <c r="A109" s="248">
        <v>49</v>
      </c>
      <c r="B109" s="248" t="s">
        <v>2322</v>
      </c>
      <c r="C109" s="248" t="s">
        <v>2323</v>
      </c>
      <c r="D109" s="239" t="s">
        <v>2324</v>
      </c>
      <c r="E109" s="260">
        <v>0.2</v>
      </c>
      <c r="F109" s="248">
        <v>30</v>
      </c>
    </row>
    <row r="110" spans="1:6" s="223" customFormat="1" ht="36">
      <c r="A110" s="248">
        <v>50</v>
      </c>
      <c r="B110" s="248" t="s">
        <v>2325</v>
      </c>
      <c r="C110" s="248" t="s">
        <v>2326</v>
      </c>
      <c r="D110" s="239" t="s">
        <v>2327</v>
      </c>
      <c r="E110" s="260">
        <v>0.2</v>
      </c>
      <c r="F110" s="248">
        <v>30</v>
      </c>
    </row>
    <row r="111" spans="1:6" s="223" customFormat="1" ht="36">
      <c r="A111" s="248">
        <v>51</v>
      </c>
      <c r="B111" s="3699" t="s">
        <v>2328</v>
      </c>
      <c r="C111" s="248" t="s">
        <v>2329</v>
      </c>
      <c r="D111" s="239" t="s">
        <v>2330</v>
      </c>
      <c r="E111" s="260">
        <v>0.2</v>
      </c>
      <c r="F111" s="248">
        <v>30</v>
      </c>
    </row>
    <row r="112" spans="1:6" s="223" customFormat="1" ht="24">
      <c r="A112" s="248">
        <v>52</v>
      </c>
      <c r="B112" s="3699"/>
      <c r="C112" s="248" t="s">
        <v>2331</v>
      </c>
      <c r="D112" s="239" t="s">
        <v>2332</v>
      </c>
      <c r="E112" s="260">
        <v>0.2</v>
      </c>
      <c r="F112" s="248">
        <v>30</v>
      </c>
    </row>
    <row r="113" spans="1:6" s="223" customFormat="1" ht="24">
      <c r="A113" s="248">
        <v>53</v>
      </c>
      <c r="B113" s="3699"/>
      <c r="C113" s="248" t="s">
        <v>2333</v>
      </c>
      <c r="D113" s="239" t="s">
        <v>2334</v>
      </c>
      <c r="E113" s="260">
        <v>0.2</v>
      </c>
      <c r="F113" s="248">
        <v>30</v>
      </c>
    </row>
    <row r="114" spans="1:6" ht="36">
      <c r="A114" s="248">
        <v>54</v>
      </c>
      <c r="B114" s="248" t="s">
        <v>2335</v>
      </c>
      <c r="C114" s="248" t="s">
        <v>2336</v>
      </c>
      <c r="D114" s="239" t="s">
        <v>2337</v>
      </c>
      <c r="E114" s="260">
        <v>0.2</v>
      </c>
      <c r="F114" s="248">
        <v>30</v>
      </c>
    </row>
    <row r="115" spans="1:6" ht="24">
      <c r="A115" s="248">
        <v>55</v>
      </c>
      <c r="B115" s="248" t="s">
        <v>2338</v>
      </c>
      <c r="C115" s="248" t="s">
        <v>2339</v>
      </c>
      <c r="D115" s="239" t="s">
        <v>2340</v>
      </c>
      <c r="E115" s="260">
        <v>0.2</v>
      </c>
      <c r="F115" s="248">
        <v>30</v>
      </c>
    </row>
    <row r="116" spans="1:6" ht="24">
      <c r="A116" s="248">
        <v>56</v>
      </c>
      <c r="B116" s="3699" t="s">
        <v>2341</v>
      </c>
      <c r="C116" s="248" t="s">
        <v>2342</v>
      </c>
      <c r="D116" s="239" t="s">
        <v>2343</v>
      </c>
      <c r="E116" s="260">
        <v>0.2</v>
      </c>
      <c r="F116" s="248">
        <v>30</v>
      </c>
    </row>
    <row r="117" spans="1:6" ht="36">
      <c r="A117" s="248">
        <v>57</v>
      </c>
      <c r="B117" s="3699"/>
      <c r="C117" s="248" t="s">
        <v>2344</v>
      </c>
      <c r="D117" s="239" t="s">
        <v>2345</v>
      </c>
      <c r="E117" s="260">
        <v>0.2</v>
      </c>
      <c r="F117" s="248">
        <v>30</v>
      </c>
    </row>
    <row r="118" spans="1:6" ht="36">
      <c r="A118" s="248">
        <v>58</v>
      </c>
      <c r="B118" s="248" t="s">
        <v>2346</v>
      </c>
      <c r="C118" s="248" t="s">
        <v>2347</v>
      </c>
      <c r="D118" s="239" t="s">
        <v>2348</v>
      </c>
      <c r="E118" s="260">
        <v>0.2</v>
      </c>
      <c r="F118" s="248">
        <v>30</v>
      </c>
    </row>
    <row r="119" spans="1:6" ht="13.5">
      <c r="A119" s="248"/>
      <c r="B119" s="248"/>
      <c r="C119" s="248" t="s">
        <v>1595</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sheetPr codeName="Sheet37"/>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2349</v>
      </c>
      <c r="B1" s="214"/>
      <c r="C1" s="214"/>
      <c r="D1" s="214"/>
      <c r="E1" s="214"/>
      <c r="F1" s="214"/>
      <c r="G1" s="214"/>
      <c r="H1" s="214"/>
      <c r="I1" s="214"/>
      <c r="J1" s="214"/>
      <c r="K1" s="214"/>
      <c r="L1" s="214"/>
      <c r="M1" s="214"/>
      <c r="N1" s="214"/>
    </row>
    <row r="2" spans="1:14">
      <c r="A2" s="215" t="s">
        <v>2350</v>
      </c>
      <c r="B2" s="216" t="s">
        <v>1763</v>
      </c>
      <c r="C2" s="216" t="s">
        <v>1769</v>
      </c>
      <c r="D2" s="216" t="s">
        <v>1789</v>
      </c>
      <c r="E2" s="216" t="s">
        <v>1810</v>
      </c>
      <c r="F2" s="216" t="s">
        <v>1838</v>
      </c>
      <c r="G2" s="216" t="s">
        <v>1873</v>
      </c>
      <c r="H2" s="217" t="s">
        <v>1922</v>
      </c>
      <c r="I2" s="217" t="s">
        <v>1971</v>
      </c>
      <c r="J2" s="220" t="s">
        <v>2011</v>
      </c>
      <c r="K2" s="220" t="s">
        <v>2057</v>
      </c>
      <c r="L2" s="220" t="s">
        <v>2085</v>
      </c>
      <c r="M2" s="220" t="s">
        <v>2107</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2351</v>
      </c>
      <c r="B103" s="214"/>
      <c r="C103" s="214"/>
      <c r="D103" s="214"/>
      <c r="E103" s="214"/>
      <c r="F103" s="214"/>
      <c r="G103" s="214"/>
      <c r="H103" s="214"/>
      <c r="I103" s="214"/>
      <c r="J103" s="214"/>
      <c r="K103" s="214"/>
      <c r="L103" s="214"/>
      <c r="M103" s="214"/>
      <c r="N103" s="214"/>
    </row>
    <row r="104" spans="1:14" ht="14.25">
      <c r="A104" s="215" t="s">
        <v>2350</v>
      </c>
      <c r="B104" s="216" t="s">
        <v>1763</v>
      </c>
      <c r="C104" s="216" t="s">
        <v>1769</v>
      </c>
      <c r="D104" s="216" t="s">
        <v>1789</v>
      </c>
      <c r="E104" s="216" t="s">
        <v>1810</v>
      </c>
      <c r="F104" s="216" t="s">
        <v>1838</v>
      </c>
      <c r="G104" s="216" t="s">
        <v>1873</v>
      </c>
      <c r="H104" s="217" t="s">
        <v>1922</v>
      </c>
      <c r="I104" s="217" t="s">
        <v>1971</v>
      </c>
      <c r="J104" s="220" t="s">
        <v>2011</v>
      </c>
      <c r="K104" s="220" t="s">
        <v>2057</v>
      </c>
      <c r="L104" s="220" t="s">
        <v>2085</v>
      </c>
      <c r="M104" s="220" t="s">
        <v>2107</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2352</v>
      </c>
      <c r="B205" s="214"/>
      <c r="C205" s="214"/>
      <c r="D205" s="214"/>
      <c r="E205" s="214"/>
      <c r="F205" s="214"/>
      <c r="G205" s="214"/>
      <c r="H205" s="214"/>
      <c r="I205" s="214"/>
      <c r="J205" s="214"/>
      <c r="K205" s="214"/>
      <c r="L205" s="214"/>
      <c r="M205" s="214"/>
    </row>
    <row r="206" spans="1:13">
      <c r="A206" s="215" t="s">
        <v>2350</v>
      </c>
      <c r="B206" s="216" t="s">
        <v>1763</v>
      </c>
      <c r="C206" s="216" t="s">
        <v>1769</v>
      </c>
      <c r="D206" s="216" t="s">
        <v>1789</v>
      </c>
      <c r="E206" s="216" t="s">
        <v>1810</v>
      </c>
      <c r="F206" s="216" t="s">
        <v>1838</v>
      </c>
      <c r="G206" s="216" t="s">
        <v>1873</v>
      </c>
      <c r="H206" s="217" t="s">
        <v>1922</v>
      </c>
      <c r="I206" s="217" t="s">
        <v>1971</v>
      </c>
      <c r="J206" s="220" t="s">
        <v>2011</v>
      </c>
      <c r="K206" s="220" t="s">
        <v>2057</v>
      </c>
      <c r="L206" s="220" t="s">
        <v>2085</v>
      </c>
      <c r="M206" s="220" t="s">
        <v>2107</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2353</v>
      </c>
      <c r="B307" s="214"/>
      <c r="C307" s="214"/>
      <c r="D307" s="214"/>
      <c r="E307" s="214"/>
      <c r="F307" s="214"/>
      <c r="G307" s="214"/>
      <c r="H307" s="214"/>
      <c r="I307" s="214"/>
      <c r="J307" s="214"/>
      <c r="K307" s="214"/>
      <c r="L307" s="214"/>
      <c r="M307" s="214"/>
    </row>
    <row r="308" spans="1:13">
      <c r="A308" s="215" t="s">
        <v>2350</v>
      </c>
      <c r="B308" s="216" t="s">
        <v>1763</v>
      </c>
      <c r="C308" s="216" t="s">
        <v>1769</v>
      </c>
      <c r="D308" s="216" t="s">
        <v>1789</v>
      </c>
      <c r="E308" s="216" t="s">
        <v>1810</v>
      </c>
      <c r="F308" s="216" t="s">
        <v>1838</v>
      </c>
      <c r="G308" s="216" t="s">
        <v>1873</v>
      </c>
      <c r="H308" s="217" t="s">
        <v>1922</v>
      </c>
      <c r="I308" s="217" t="s">
        <v>1971</v>
      </c>
      <c r="J308" s="220" t="s">
        <v>2011</v>
      </c>
      <c r="K308" s="220" t="s">
        <v>2057</v>
      </c>
      <c r="L308" s="220" t="s">
        <v>2085</v>
      </c>
      <c r="M308" s="220" t="s">
        <v>2107</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0" t="s">
        <v>2354</v>
      </c>
      <c r="C1" s="3710"/>
      <c r="D1" s="3710"/>
      <c r="E1" s="3710"/>
      <c r="F1" s="3710"/>
      <c r="G1" s="3707" t="s">
        <v>2355</v>
      </c>
      <c r="H1" s="3707"/>
      <c r="I1" s="3707"/>
      <c r="J1" s="3707"/>
      <c r="K1" s="3707"/>
      <c r="L1" s="3707"/>
      <c r="N1" s="3707" t="s">
        <v>2356</v>
      </c>
      <c r="O1" s="3707"/>
      <c r="P1" s="3707"/>
      <c r="Q1" s="3707"/>
      <c r="S1" s="3707" t="s">
        <v>2357</v>
      </c>
      <c r="T1" s="3707"/>
      <c r="U1" s="3707"/>
      <c r="V1" s="3707"/>
      <c r="X1" s="3706" t="s">
        <v>2358</v>
      </c>
      <c r="Y1" s="3707"/>
      <c r="Z1" s="3707"/>
      <c r="AA1" s="3707"/>
      <c r="AB1" s="3707"/>
      <c r="AD1" s="3706" t="s">
        <v>2359</v>
      </c>
      <c r="AE1" s="3707"/>
      <c r="AF1" s="3707"/>
      <c r="AG1" s="3707"/>
      <c r="AH1" s="3707"/>
    </row>
    <row r="2" spans="1:34" s="73" customFormat="1" ht="13.5">
      <c r="B2" s="84" t="s">
        <v>2360</v>
      </c>
      <c r="C2" s="84" t="s">
        <v>2361</v>
      </c>
      <c r="D2" s="85" t="s">
        <v>1759</v>
      </c>
      <c r="E2" s="85" t="s">
        <v>461</v>
      </c>
      <c r="F2" s="84" t="s">
        <v>2362</v>
      </c>
      <c r="G2" s="86"/>
      <c r="I2" s="84" t="s">
        <v>2360</v>
      </c>
      <c r="J2" s="85" t="s">
        <v>2363</v>
      </c>
      <c r="K2" s="85" t="s">
        <v>461</v>
      </c>
      <c r="L2" s="84" t="s">
        <v>2362</v>
      </c>
      <c r="N2" s="84" t="s">
        <v>2360</v>
      </c>
      <c r="O2" s="85" t="s">
        <v>2363</v>
      </c>
      <c r="P2" s="85" t="s">
        <v>461</v>
      </c>
      <c r="Q2" s="84" t="s">
        <v>2362</v>
      </c>
      <c r="S2" s="84" t="s">
        <v>2360</v>
      </c>
      <c r="T2" s="85" t="s">
        <v>2363</v>
      </c>
      <c r="U2" s="85" t="s">
        <v>461</v>
      </c>
      <c r="V2" s="84" t="s">
        <v>2362</v>
      </c>
      <c r="X2" s="84" t="s">
        <v>2360</v>
      </c>
      <c r="Y2" s="84" t="s">
        <v>2361</v>
      </c>
      <c r="Z2" s="85" t="s">
        <v>1759</v>
      </c>
      <c r="AA2" s="85" t="s">
        <v>461</v>
      </c>
      <c r="AB2" s="84" t="s">
        <v>2362</v>
      </c>
      <c r="AD2" s="84" t="s">
        <v>2360</v>
      </c>
      <c r="AE2" s="84" t="s">
        <v>2361</v>
      </c>
      <c r="AF2" s="85" t="s">
        <v>1759</v>
      </c>
      <c r="AG2" s="85" t="s">
        <v>461</v>
      </c>
      <c r="AH2" s="84" t="s">
        <v>2362</v>
      </c>
    </row>
    <row r="3" spans="1:34" s="74" customFormat="1" ht="14.25">
      <c r="A3" s="87" t="s">
        <v>2364</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2365</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2366</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2367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2368</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2369</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2370</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2371</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2372</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2373</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2374</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2375</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2376</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2377</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2378</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2379</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701">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2380</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701"/>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2381</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701"/>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2382</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708"/>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2383</v>
      </c>
      <c r="B22" s="105">
        <v>439</v>
      </c>
      <c r="C22" s="105">
        <v>327</v>
      </c>
      <c r="D22" s="105">
        <f t="shared" si="169"/>
        <v>327</v>
      </c>
      <c r="E22" s="105">
        <v>627</v>
      </c>
      <c r="F22" s="106">
        <v>283</v>
      </c>
      <c r="G22" s="3709">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2384</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701"/>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2385</v>
      </c>
      <c r="B24" s="107">
        <f t="shared" si="157"/>
        <v>419.31181600000002</v>
      </c>
      <c r="C24" s="107">
        <f t="shared" ref="C24" si="186">C25*(1+O24)</f>
        <v>313.95436799999999</v>
      </c>
      <c r="D24" s="107">
        <f t="shared" si="169"/>
        <v>313.95436799999999</v>
      </c>
      <c r="E24" s="107">
        <f t="shared" si="182"/>
        <v>596.63028431999999</v>
      </c>
      <c r="F24" s="107">
        <f t="shared" si="182"/>
        <v>274.74220703999998</v>
      </c>
      <c r="G24" s="3701"/>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2386</v>
      </c>
      <c r="B25" s="107">
        <f t="shared" si="157"/>
        <v>405.524</v>
      </c>
      <c r="C25" s="107">
        <f t="shared" ref="C25" si="190">C26*(1+O25)</f>
        <v>307.79840000000002</v>
      </c>
      <c r="D25" s="107">
        <f t="shared" si="169"/>
        <v>307.79840000000002</v>
      </c>
      <c r="E25" s="107">
        <f t="shared" si="182"/>
        <v>574.67759999999998</v>
      </c>
      <c r="F25" s="107">
        <f t="shared" si="182"/>
        <v>270.20280000000002</v>
      </c>
      <c r="G25" s="3708"/>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2387</v>
      </c>
      <c r="B26" s="105">
        <v>392</v>
      </c>
      <c r="C26" s="105">
        <v>302</v>
      </c>
      <c r="D26" s="105">
        <f t="shared" si="169"/>
        <v>302</v>
      </c>
      <c r="E26" s="105">
        <v>553</v>
      </c>
      <c r="F26" s="106">
        <v>266</v>
      </c>
      <c r="G26" s="3709">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2388</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701"/>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2389</v>
      </c>
      <c r="B28" s="107">
        <f t="shared" si="193"/>
        <v>360.06949782209398</v>
      </c>
      <c r="C28" s="107">
        <f t="shared" si="193"/>
        <v>289.84672674747799</v>
      </c>
      <c r="D28" s="107">
        <f t="shared" si="194"/>
        <v>289.84672674747799</v>
      </c>
      <c r="E28" s="107">
        <f t="shared" si="195"/>
        <v>501.06543001181501</v>
      </c>
      <c r="F28" s="107">
        <f t="shared" si="195"/>
        <v>256.82882500745001</v>
      </c>
      <c r="G28" s="3701"/>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2390</v>
      </c>
      <c r="B29" s="107">
        <f t="shared" si="193"/>
        <v>346.720748986128</v>
      </c>
      <c r="C29" s="107">
        <f t="shared" si="193"/>
        <v>284.30282172386302</v>
      </c>
      <c r="D29" s="107">
        <f t="shared" si="194"/>
        <v>284.30282172386302</v>
      </c>
      <c r="E29" s="107">
        <f t="shared" si="195"/>
        <v>479.58023546306902</v>
      </c>
      <c r="F29" s="107">
        <f t="shared" si="195"/>
        <v>253.25788877571199</v>
      </c>
      <c r="G29" s="3702"/>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2391</v>
      </c>
      <c r="B30" s="105">
        <v>333</v>
      </c>
      <c r="C30" s="105">
        <v>277</v>
      </c>
      <c r="D30" s="105">
        <f t="shared" si="194"/>
        <v>277</v>
      </c>
      <c r="E30" s="105">
        <v>459</v>
      </c>
      <c r="F30" s="106">
        <v>249</v>
      </c>
      <c r="G30" s="3700">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2392</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701"/>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2393</v>
      </c>
      <c r="B32" s="107">
        <f t="shared" si="197"/>
        <v>322.34053690220799</v>
      </c>
      <c r="C32" s="107">
        <f t="shared" si="197"/>
        <v>271.461607704225</v>
      </c>
      <c r="D32" s="107">
        <f t="shared" si="194"/>
        <v>271.461607704225</v>
      </c>
      <c r="E32" s="107">
        <f t="shared" si="198"/>
        <v>442.69434542172502</v>
      </c>
      <c r="F32" s="107">
        <f t="shared" si="198"/>
        <v>241.34030753190899</v>
      </c>
      <c r="G32" s="3701"/>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2394</v>
      </c>
      <c r="B33" s="107">
        <f t="shared" si="197"/>
        <v>319.87748030386803</v>
      </c>
      <c r="C33" s="107">
        <f t="shared" si="197"/>
        <v>269.60135833173598</v>
      </c>
      <c r="D33" s="107">
        <f t="shared" si="194"/>
        <v>269.60135833173598</v>
      </c>
      <c r="E33" s="107">
        <f t="shared" si="198"/>
        <v>439.18089823583801</v>
      </c>
      <c r="F33" s="107">
        <f t="shared" si="198"/>
        <v>239.23503918706299</v>
      </c>
      <c r="G33" s="3702"/>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2395</v>
      </c>
      <c r="B34" s="111">
        <v>318</v>
      </c>
      <c r="C34" s="111">
        <v>268</v>
      </c>
      <c r="D34" s="111">
        <f t="shared" si="194"/>
        <v>268</v>
      </c>
      <c r="E34" s="111">
        <v>437</v>
      </c>
      <c r="F34" s="112">
        <v>237</v>
      </c>
      <c r="G34" s="3700">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2396</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701"/>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2397</v>
      </c>
      <c r="B36" s="107">
        <f t="shared" si="199"/>
        <v>314.721411723865</v>
      </c>
      <c r="C36" s="107">
        <f t="shared" si="199"/>
        <v>263.03901319069001</v>
      </c>
      <c r="D36" s="107">
        <f t="shared" si="194"/>
        <v>263.03901319069001</v>
      </c>
      <c r="E36" s="107">
        <f t="shared" si="200"/>
        <v>433.65745506782798</v>
      </c>
      <c r="F36" s="107">
        <f t="shared" si="200"/>
        <v>233.23005080045701</v>
      </c>
      <c r="G36" s="3701"/>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2398</v>
      </c>
      <c r="B37" s="115">
        <f t="shared" si="199"/>
        <v>307.34512863658699</v>
      </c>
      <c r="C37" s="115">
        <f t="shared" si="199"/>
        <v>257.80556031626998</v>
      </c>
      <c r="D37" s="115">
        <f t="shared" si="194"/>
        <v>257.80556031626998</v>
      </c>
      <c r="E37" s="115">
        <f t="shared" si="200"/>
        <v>422.70928459677202</v>
      </c>
      <c r="F37" s="115">
        <f t="shared" si="200"/>
        <v>229.738032703366</v>
      </c>
      <c r="G37" s="3702"/>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2399</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2400</v>
      </c>
      <c r="B38" s="105">
        <v>299</v>
      </c>
      <c r="C38" s="105">
        <v>252</v>
      </c>
      <c r="D38" s="105">
        <f t="shared" si="194"/>
        <v>252</v>
      </c>
      <c r="E38" s="105">
        <v>409</v>
      </c>
      <c r="F38" s="106">
        <v>227</v>
      </c>
      <c r="G38" s="3703">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2401</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704"/>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2402</v>
      </c>
      <c r="B40" s="107">
        <f t="shared" si="203"/>
        <v>288.264905382878</v>
      </c>
      <c r="C40" s="107">
        <f t="shared" si="203"/>
        <v>243.64564425013299</v>
      </c>
      <c r="D40" s="107">
        <f t="shared" si="194"/>
        <v>243.64564425013299</v>
      </c>
      <c r="E40" s="107">
        <f t="shared" si="204"/>
        <v>393.31080825986498</v>
      </c>
      <c r="F40" s="107">
        <f t="shared" si="204"/>
        <v>223.079037905512</v>
      </c>
      <c r="G40" s="3704"/>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2403</v>
      </c>
      <c r="B41" s="107">
        <f t="shared" si="203"/>
        <v>282.50186729015797</v>
      </c>
      <c r="C41" s="107">
        <f t="shared" si="203"/>
        <v>238.097961741555</v>
      </c>
      <c r="D41" s="107">
        <f t="shared" si="194"/>
        <v>238.097961741555</v>
      </c>
      <c r="E41" s="107">
        <f t="shared" si="204"/>
        <v>385.33438646014099</v>
      </c>
      <c r="F41" s="107">
        <f t="shared" si="204"/>
        <v>221.550340555677</v>
      </c>
      <c r="G41" s="3705"/>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2404</v>
      </c>
      <c r="B42" s="118">
        <v>278</v>
      </c>
      <c r="C42" s="118">
        <v>234</v>
      </c>
      <c r="D42" s="118">
        <f t="shared" si="194"/>
        <v>234</v>
      </c>
      <c r="E42" s="118">
        <v>379</v>
      </c>
      <c r="F42" s="119">
        <v>220</v>
      </c>
      <c r="G42" s="3700">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2405</v>
      </c>
      <c r="B43" s="107">
        <f>B42/(1+N42)</f>
        <v>275.49301357645402</v>
      </c>
      <c r="C43" s="107">
        <f>C42/(1+O42)</f>
        <v>232.41954707985701</v>
      </c>
      <c r="D43" s="107">
        <f t="shared" si="194"/>
        <v>232.41954707985701</v>
      </c>
      <c r="E43" s="107">
        <f t="shared" ref="E43:F45" si="205">E42/(1+P42)</f>
        <v>375.32184591008098</v>
      </c>
      <c r="F43" s="107">
        <f t="shared" si="205"/>
        <v>218.03766105054501</v>
      </c>
      <c r="G43" s="3701"/>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2406</v>
      </c>
      <c r="B44" s="107">
        <f>B43/(1+N43)</f>
        <v>275.24529281292303</v>
      </c>
      <c r="C44" s="107">
        <f>C43/(1+O43)</f>
        <v>231.74747938962699</v>
      </c>
      <c r="D44" s="107">
        <f t="shared" si="194"/>
        <v>231.74747938962699</v>
      </c>
      <c r="E44" s="107">
        <f t="shared" si="205"/>
        <v>375.35938184826603</v>
      </c>
      <c r="F44" s="107">
        <f t="shared" si="205"/>
        <v>216.78033510692501</v>
      </c>
      <c r="G44" s="3701"/>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2407</v>
      </c>
      <c r="B45" s="107">
        <f>B44/(1+N44)</f>
        <v>275.19025476196998</v>
      </c>
      <c r="C45" s="120">
        <v>232</v>
      </c>
      <c r="D45" s="120">
        <f t="shared" si="194"/>
        <v>232</v>
      </c>
      <c r="E45" s="107">
        <f t="shared" si="205"/>
        <v>375.65990977608698</v>
      </c>
      <c r="F45" s="107">
        <f t="shared" si="205"/>
        <v>214.12518283971301</v>
      </c>
      <c r="G45" s="3702"/>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2408</v>
      </c>
      <c r="B46" s="105">
        <v>275</v>
      </c>
      <c r="C46" s="105">
        <v>232</v>
      </c>
      <c r="D46" s="105">
        <f t="shared" si="194"/>
        <v>232</v>
      </c>
      <c r="E46" s="105">
        <v>376</v>
      </c>
      <c r="F46" s="106">
        <v>213</v>
      </c>
      <c r="G46" s="3700">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2409</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701">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2410</v>
      </c>
      <c r="B48" s="107">
        <f t="shared" si="206"/>
        <v>275.19335084830601</v>
      </c>
      <c r="C48" s="107">
        <f t="shared" si="206"/>
        <v>230.18088050139701</v>
      </c>
      <c r="D48" s="107">
        <f t="shared" si="194"/>
        <v>230.18088050139701</v>
      </c>
      <c r="E48" s="107">
        <f t="shared" si="207"/>
        <v>377.58482925212297</v>
      </c>
      <c r="F48" s="107">
        <f t="shared" si="207"/>
        <v>210.906879978479</v>
      </c>
      <c r="G48" s="3701">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2411</v>
      </c>
      <c r="B49" s="107">
        <f t="shared" si="206"/>
        <v>276.29854502841999</v>
      </c>
      <c r="C49" s="107">
        <f t="shared" si="206"/>
        <v>229.79023709833001</v>
      </c>
      <c r="D49" s="107">
        <f t="shared" si="194"/>
        <v>229.79023709833001</v>
      </c>
      <c r="E49" s="107">
        <f t="shared" si="207"/>
        <v>379.78759731655902</v>
      </c>
      <c r="F49" s="107">
        <f t="shared" si="207"/>
        <v>211.32953905659201</v>
      </c>
      <c r="G49" s="3702">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2412</v>
      </c>
      <c r="B50" s="105">
        <v>269</v>
      </c>
      <c r="C50" s="105">
        <v>221</v>
      </c>
      <c r="D50" s="105">
        <f t="shared" si="194"/>
        <v>221</v>
      </c>
      <c r="E50" s="105">
        <v>373</v>
      </c>
      <c r="F50" s="106">
        <v>196</v>
      </c>
      <c r="G50" s="3700">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2413</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701">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2414</v>
      </c>
      <c r="B52" s="107">
        <f t="shared" si="208"/>
        <v>242.95398227588399</v>
      </c>
      <c r="C52" s="107">
        <f t="shared" si="208"/>
        <v>199.591370536141</v>
      </c>
      <c r="D52" s="107">
        <f t="shared" si="194"/>
        <v>199.591370536141</v>
      </c>
      <c r="E52" s="107">
        <f t="shared" si="209"/>
        <v>335.92189522342102</v>
      </c>
      <c r="F52" s="107">
        <f t="shared" si="209"/>
        <v>183.101399911095</v>
      </c>
      <c r="G52" s="3701">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2415</v>
      </c>
      <c r="B53" s="107">
        <f t="shared" si="208"/>
        <v>232.06990378821601</v>
      </c>
      <c r="C53" s="107">
        <f t="shared" si="208"/>
        <v>192.74878854286899</v>
      </c>
      <c r="D53" s="107">
        <f t="shared" si="194"/>
        <v>192.74878854286899</v>
      </c>
      <c r="E53" s="107">
        <f t="shared" si="209"/>
        <v>319.71247284993001</v>
      </c>
      <c r="F53" s="107">
        <f t="shared" si="209"/>
        <v>175.670536228624</v>
      </c>
      <c r="G53" s="3702">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2416</v>
      </c>
      <c r="B54" s="105">
        <v>220</v>
      </c>
      <c r="C54" s="105">
        <v>187</v>
      </c>
      <c r="D54" s="105">
        <f t="shared" si="194"/>
        <v>187</v>
      </c>
      <c r="E54" s="105">
        <v>301</v>
      </c>
      <c r="F54" s="106">
        <v>168</v>
      </c>
      <c r="G54" s="3700">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2417</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701">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2418</v>
      </c>
      <c r="B56" s="107">
        <f t="shared" si="210"/>
        <v>210.630522469011</v>
      </c>
      <c r="C56" s="107">
        <f t="shared" si="210"/>
        <v>181.695678122472</v>
      </c>
      <c r="D56" s="107">
        <f t="shared" si="194"/>
        <v>181.695678122472</v>
      </c>
      <c r="E56" s="107">
        <f t="shared" si="211"/>
        <v>286.13517466736698</v>
      </c>
      <c r="F56" s="107">
        <f t="shared" si="211"/>
        <v>165.47535084591101</v>
      </c>
      <c r="G56" s="3701">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2419</v>
      </c>
      <c r="B57" s="107">
        <f t="shared" si="210"/>
        <v>208.834545378754</v>
      </c>
      <c r="C57" s="107">
        <f t="shared" si="210"/>
        <v>183.77230517090399</v>
      </c>
      <c r="D57" s="107">
        <f t="shared" si="194"/>
        <v>183.77230517090399</v>
      </c>
      <c r="E57" s="107">
        <f t="shared" si="211"/>
        <v>281.10342338870902</v>
      </c>
      <c r="F57" s="107">
        <f t="shared" si="211"/>
        <v>168.97309388942301</v>
      </c>
      <c r="G57" s="3702">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2420</v>
      </c>
      <c r="B58" s="118">
        <v>214</v>
      </c>
      <c r="C58" s="118">
        <v>188</v>
      </c>
      <c r="D58" s="118">
        <f t="shared" si="194"/>
        <v>188</v>
      </c>
      <c r="E58" s="118">
        <v>289</v>
      </c>
      <c r="F58" s="119">
        <v>166</v>
      </c>
      <c r="G58" s="3700">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2421</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701">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2422</v>
      </c>
      <c r="B60" s="107">
        <f t="shared" si="212"/>
        <v>206.31694671589099</v>
      </c>
      <c r="C60" s="107">
        <f t="shared" si="212"/>
        <v>183.61041121036101</v>
      </c>
      <c r="D60" s="107">
        <f t="shared" si="194"/>
        <v>183.61041121036101</v>
      </c>
      <c r="E60" s="107">
        <f t="shared" si="213"/>
        <v>276.66850301795603</v>
      </c>
      <c r="F60" s="107">
        <f t="shared" si="213"/>
        <v>165.136093827861</v>
      </c>
      <c r="G60" s="3701">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2423</v>
      </c>
      <c r="B61" s="121">
        <f t="shared" si="212"/>
        <v>196.62341248059801</v>
      </c>
      <c r="C61" s="121">
        <f t="shared" si="212"/>
        <v>170.99125648199001</v>
      </c>
      <c r="D61" s="121">
        <f t="shared" si="194"/>
        <v>170.99125648199001</v>
      </c>
      <c r="E61" s="121">
        <f t="shared" si="213"/>
        <v>266.07857570490103</v>
      </c>
      <c r="F61" s="121">
        <f t="shared" si="213"/>
        <v>154.53499328828499</v>
      </c>
      <c r="G61" s="3702">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2424</v>
      </c>
      <c r="B62" s="105">
        <v>188</v>
      </c>
      <c r="C62" s="105">
        <v>165</v>
      </c>
      <c r="D62" s="105">
        <f t="shared" si="194"/>
        <v>165</v>
      </c>
      <c r="E62" s="105">
        <v>254</v>
      </c>
      <c r="F62" s="106">
        <v>148</v>
      </c>
      <c r="G62" s="3700">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2425</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701">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2426</v>
      </c>
      <c r="B64" s="107">
        <f t="shared" si="216"/>
        <v>168.820177487156</v>
      </c>
      <c r="C64" s="107">
        <f t="shared" si="216"/>
        <v>148.06267029972801</v>
      </c>
      <c r="D64" s="107">
        <f t="shared" si="194"/>
        <v>148.06267029972801</v>
      </c>
      <c r="E64" s="107">
        <f t="shared" si="217"/>
        <v>216.46288379323701</v>
      </c>
      <c r="F64" s="107">
        <f t="shared" si="217"/>
        <v>134.23529411764699</v>
      </c>
      <c r="G64" s="3701">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2427</v>
      </c>
      <c r="B65" s="107">
        <f t="shared" si="216"/>
        <v>163.849135917795</v>
      </c>
      <c r="C65" s="107">
        <f t="shared" si="216"/>
        <v>145.028337874659</v>
      </c>
      <c r="D65" s="107">
        <f t="shared" si="194"/>
        <v>145.028337874659</v>
      </c>
      <c r="E65" s="107">
        <f t="shared" si="217"/>
        <v>204.95180722891601</v>
      </c>
      <c r="F65" s="107">
        <f t="shared" si="217"/>
        <v>125.959203036053</v>
      </c>
      <c r="G65" s="3702">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2428</v>
      </c>
      <c r="B66" s="111">
        <v>159</v>
      </c>
      <c r="C66" s="111">
        <v>141</v>
      </c>
      <c r="D66" s="111">
        <f t="shared" si="194"/>
        <v>141</v>
      </c>
      <c r="E66" s="111">
        <v>195</v>
      </c>
      <c r="F66" s="112">
        <v>122</v>
      </c>
      <c r="G66" s="3700">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2429</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701">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2430</v>
      </c>
      <c r="B68" s="107">
        <f t="shared" si="220"/>
        <v>146.57412060301499</v>
      </c>
      <c r="C68" s="107">
        <f t="shared" si="220"/>
        <v>136.468319559229</v>
      </c>
      <c r="D68" s="107">
        <f t="shared" si="194"/>
        <v>136.468319559229</v>
      </c>
      <c r="E68" s="107">
        <f t="shared" si="221"/>
        <v>166.73864894795099</v>
      </c>
      <c r="F68" s="107">
        <f t="shared" si="221"/>
        <v>115.058823529412</v>
      </c>
      <c r="G68" s="3701">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2431</v>
      </c>
      <c r="B69" s="107">
        <f t="shared" si="220"/>
        <v>144.04145728643201</v>
      </c>
      <c r="C69" s="107">
        <f t="shared" si="220"/>
        <v>136.123966942149</v>
      </c>
      <c r="D69" s="107">
        <f t="shared" si="194"/>
        <v>136.123966942149</v>
      </c>
      <c r="E69" s="107">
        <f t="shared" si="221"/>
        <v>158.32225913621301</v>
      </c>
      <c r="F69" s="107">
        <f t="shared" si="221"/>
        <v>114.04278074866301</v>
      </c>
      <c r="G69" s="3702">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2432</v>
      </c>
      <c r="B70" s="111">
        <v>138</v>
      </c>
      <c r="C70" s="111">
        <v>131</v>
      </c>
      <c r="D70" s="111">
        <f t="shared" si="194"/>
        <v>131</v>
      </c>
      <c r="E70" s="111">
        <v>155</v>
      </c>
      <c r="F70" s="112">
        <v>114</v>
      </c>
      <c r="G70" s="3700">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2433</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701">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2434</v>
      </c>
      <c r="B72" s="107">
        <f t="shared" si="224"/>
        <v>124.290322580645</v>
      </c>
      <c r="C72" s="107">
        <f t="shared" si="224"/>
        <v>123.896860986547</v>
      </c>
      <c r="D72" s="107">
        <f t="shared" si="194"/>
        <v>123.896860986547</v>
      </c>
      <c r="E72" s="107">
        <f t="shared" si="225"/>
        <v>138.005076142132</v>
      </c>
      <c r="F72" s="107">
        <f t="shared" si="225"/>
        <v>107.96106557377</v>
      </c>
      <c r="G72" s="3701">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2435</v>
      </c>
      <c r="B73" s="107">
        <f t="shared" si="224"/>
        <v>122.57204301075301</v>
      </c>
      <c r="C73" s="107">
        <f t="shared" si="224"/>
        <v>123.493273542601</v>
      </c>
      <c r="D73" s="107">
        <f t="shared" si="194"/>
        <v>123.493273542601</v>
      </c>
      <c r="E73" s="107">
        <f t="shared" si="225"/>
        <v>129.82233502538099</v>
      </c>
      <c r="F73" s="107">
        <f t="shared" si="225"/>
        <v>107.39446721311501</v>
      </c>
      <c r="G73" s="3702">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2436</v>
      </c>
      <c r="B74" s="118">
        <v>121</v>
      </c>
      <c r="C74" s="118">
        <v>122</v>
      </c>
      <c r="D74" s="118">
        <f t="shared" si="194"/>
        <v>122</v>
      </c>
      <c r="E74" s="118">
        <v>124</v>
      </c>
      <c r="F74" s="119">
        <v>107</v>
      </c>
      <c r="G74" s="3700">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2437</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701">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2438</v>
      </c>
      <c r="B76" s="107">
        <f t="shared" si="228"/>
        <v>116.99099099099099</v>
      </c>
      <c r="C76" s="107">
        <f t="shared" si="228"/>
        <v>118.848484848485</v>
      </c>
      <c r="D76" s="107">
        <f t="shared" si="194"/>
        <v>118.848484848485</v>
      </c>
      <c r="E76" s="107">
        <f t="shared" si="229"/>
        <v>117.60960960961</v>
      </c>
      <c r="F76" s="107">
        <f t="shared" si="229"/>
        <v>104</v>
      </c>
      <c r="G76" s="3701">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2439</v>
      </c>
      <c r="B77" s="121">
        <f t="shared" si="228"/>
        <v>112.486486486486</v>
      </c>
      <c r="C77" s="121">
        <f t="shared" si="228"/>
        <v>115.212121212121</v>
      </c>
      <c r="D77" s="121">
        <f t="shared" si="194"/>
        <v>115.212121212121</v>
      </c>
      <c r="E77" s="121">
        <f t="shared" si="229"/>
        <v>110.402402402402</v>
      </c>
      <c r="F77" s="121">
        <f t="shared" si="229"/>
        <v>104</v>
      </c>
      <c r="G77" s="3702">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2440</v>
      </c>
      <c r="B78" s="179">
        <v>111</v>
      </c>
      <c r="C78" s="179">
        <v>114</v>
      </c>
      <c r="D78" s="179">
        <f t="shared" si="194"/>
        <v>114</v>
      </c>
      <c r="E78" s="179">
        <v>108</v>
      </c>
      <c r="F78" s="180">
        <v>104</v>
      </c>
      <c r="G78" s="3700">
        <v>2003</v>
      </c>
      <c r="H78" s="123">
        <v>4</v>
      </c>
      <c r="I78" s="195"/>
      <c r="J78" s="195"/>
      <c r="K78" s="195"/>
      <c r="L78" s="195"/>
      <c r="N78" s="196"/>
      <c r="O78" s="195"/>
      <c r="P78" s="195"/>
      <c r="Q78" s="195"/>
      <c r="S78" s="196"/>
      <c r="T78" s="195"/>
      <c r="U78" s="195"/>
      <c r="V78" s="195"/>
      <c r="X78" s="174"/>
      <c r="Y78" s="174"/>
      <c r="Z78" s="174"/>
    </row>
    <row r="79" spans="1:26">
      <c r="A79" s="101" t="s">
        <v>2441</v>
      </c>
      <c r="B79" s="181">
        <f t="shared" ref="B79:C81" si="230">B80+(B$78-B$82)/4</f>
        <v>109.75</v>
      </c>
      <c r="C79" s="181">
        <f t="shared" si="230"/>
        <v>112.25</v>
      </c>
      <c r="D79" s="181">
        <f t="shared" si="194"/>
        <v>112.25</v>
      </c>
      <c r="E79" s="181">
        <f t="shared" ref="E79:F81" si="231">E80+(E$78-E$82)/4</f>
        <v>107.25</v>
      </c>
      <c r="F79" s="181">
        <f t="shared" si="231"/>
        <v>103.5</v>
      </c>
      <c r="G79" s="3701">
        <v>2003</v>
      </c>
      <c r="H79" s="110">
        <v>3</v>
      </c>
      <c r="I79" s="195"/>
      <c r="J79" s="195"/>
      <c r="K79" s="195"/>
      <c r="L79" s="195"/>
      <c r="X79" s="174"/>
      <c r="Y79" s="174"/>
      <c r="Z79" s="174"/>
    </row>
    <row r="80" spans="1:26">
      <c r="A80" s="101" t="s">
        <v>2442</v>
      </c>
      <c r="B80" s="181">
        <f t="shared" si="230"/>
        <v>108.5</v>
      </c>
      <c r="C80" s="181">
        <f t="shared" si="230"/>
        <v>110.5</v>
      </c>
      <c r="D80" s="181">
        <f t="shared" si="194"/>
        <v>110.5</v>
      </c>
      <c r="E80" s="181">
        <f t="shared" si="231"/>
        <v>106.5</v>
      </c>
      <c r="F80" s="181">
        <f t="shared" si="231"/>
        <v>103</v>
      </c>
      <c r="G80" s="3701">
        <v>2003</v>
      </c>
      <c r="H80" s="108">
        <v>2</v>
      </c>
      <c r="I80" s="195"/>
      <c r="J80" s="195"/>
      <c r="K80" s="195"/>
      <c r="L80" s="195"/>
      <c r="X80" s="174"/>
      <c r="Y80" s="174"/>
      <c r="Z80" s="174"/>
    </row>
    <row r="81" spans="1:26">
      <c r="A81" s="101" t="s">
        <v>2443</v>
      </c>
      <c r="B81" s="181">
        <f t="shared" si="230"/>
        <v>107.25</v>
      </c>
      <c r="C81" s="181">
        <f t="shared" si="230"/>
        <v>108.75</v>
      </c>
      <c r="D81" s="181">
        <f t="shared" si="194"/>
        <v>108.75</v>
      </c>
      <c r="E81" s="181">
        <f t="shared" si="231"/>
        <v>105.75</v>
      </c>
      <c r="F81" s="181">
        <f t="shared" si="231"/>
        <v>102.5</v>
      </c>
      <c r="G81" s="3702">
        <v>2003</v>
      </c>
      <c r="H81" s="182">
        <v>1</v>
      </c>
      <c r="I81" s="195"/>
      <c r="J81" s="195"/>
      <c r="K81" s="195"/>
      <c r="L81" s="195"/>
      <c r="S81" s="139"/>
      <c r="T81" s="140"/>
      <c r="U81" s="140"/>
      <c r="X81" s="174"/>
      <c r="Y81" s="174"/>
      <c r="Z81" s="174"/>
    </row>
    <row r="82" spans="1:26">
      <c r="A82" s="101" t="s">
        <v>2444</v>
      </c>
      <c r="B82" s="183">
        <v>106</v>
      </c>
      <c r="C82" s="183">
        <v>107</v>
      </c>
      <c r="D82" s="183">
        <f t="shared" si="194"/>
        <v>107</v>
      </c>
      <c r="E82" s="183">
        <v>105</v>
      </c>
      <c r="F82" s="184">
        <v>102</v>
      </c>
      <c r="G82" s="3700">
        <v>2002</v>
      </c>
      <c r="H82" s="109">
        <v>4</v>
      </c>
      <c r="I82" s="195"/>
      <c r="J82" s="195"/>
      <c r="K82" s="195"/>
      <c r="L82" s="195"/>
      <c r="N82" s="196"/>
      <c r="O82" s="195"/>
      <c r="P82" s="195"/>
      <c r="Q82" s="195"/>
      <c r="S82" s="196"/>
      <c r="T82" s="195"/>
      <c r="U82" s="195"/>
      <c r="V82" s="195"/>
      <c r="X82" s="174"/>
      <c r="Y82" s="174"/>
      <c r="Z82" s="174"/>
    </row>
    <row r="83" spans="1:26">
      <c r="A83" s="101" t="s">
        <v>2445</v>
      </c>
      <c r="B83" s="181">
        <f t="shared" ref="B83:C85" si="232">B84+(B$82-B$86)/4</f>
        <v>105</v>
      </c>
      <c r="C83" s="181">
        <f t="shared" si="232"/>
        <v>106</v>
      </c>
      <c r="D83" s="181">
        <f t="shared" si="194"/>
        <v>106</v>
      </c>
      <c r="E83" s="181">
        <f t="shared" ref="E83:F85" si="233">E84+(E$82-E$86)/4</f>
        <v>104.5</v>
      </c>
      <c r="F83" s="181">
        <f t="shared" si="233"/>
        <v>101.5</v>
      </c>
      <c r="G83" s="3701">
        <v>2002</v>
      </c>
      <c r="H83" s="110">
        <v>3</v>
      </c>
      <c r="I83" s="195"/>
      <c r="J83" s="195"/>
      <c r="K83" s="195"/>
      <c r="L83" s="195"/>
      <c r="X83" s="174"/>
      <c r="Y83" s="174"/>
      <c r="Z83" s="174"/>
    </row>
    <row r="84" spans="1:26">
      <c r="A84" s="101" t="s">
        <v>2446</v>
      </c>
      <c r="B84" s="181">
        <f t="shared" si="232"/>
        <v>104</v>
      </c>
      <c r="C84" s="181">
        <f t="shared" si="232"/>
        <v>105</v>
      </c>
      <c r="D84" s="181">
        <f t="shared" si="194"/>
        <v>105</v>
      </c>
      <c r="E84" s="181">
        <f t="shared" si="233"/>
        <v>104</v>
      </c>
      <c r="F84" s="181">
        <f t="shared" si="233"/>
        <v>101</v>
      </c>
      <c r="G84" s="3701">
        <v>2002</v>
      </c>
      <c r="H84" s="108">
        <v>2</v>
      </c>
      <c r="I84" s="195"/>
      <c r="J84" s="195"/>
      <c r="K84" s="195"/>
      <c r="L84" s="195"/>
      <c r="X84" s="174"/>
      <c r="Y84" s="174"/>
      <c r="Z84" s="174"/>
    </row>
    <row r="85" spans="1:26" s="79" customFormat="1">
      <c r="A85" s="114" t="s">
        <v>2447</v>
      </c>
      <c r="B85" s="166">
        <f t="shared" si="232"/>
        <v>103</v>
      </c>
      <c r="C85" s="166">
        <f t="shared" si="232"/>
        <v>104</v>
      </c>
      <c r="D85" s="166">
        <f t="shared" si="194"/>
        <v>104</v>
      </c>
      <c r="E85" s="166">
        <f t="shared" si="233"/>
        <v>103.5</v>
      </c>
      <c r="F85" s="166">
        <f t="shared" si="233"/>
        <v>100.5</v>
      </c>
      <c r="G85" s="3702">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2448</v>
      </c>
      <c r="G88" s="190"/>
      <c r="N88" s="190"/>
      <c r="S88" s="190"/>
    </row>
    <row r="89" spans="1:26" s="81" customFormat="1">
      <c r="A89" s="81" t="s">
        <v>2449</v>
      </c>
      <c r="G89" s="190"/>
      <c r="N89" s="190"/>
      <c r="S89" s="190"/>
    </row>
    <row r="90" spans="1:26" s="81" customFormat="1">
      <c r="A90" s="81" t="s">
        <v>2450</v>
      </c>
      <c r="G90" s="190"/>
      <c r="I90" s="199"/>
      <c r="J90" s="199"/>
      <c r="K90" s="199"/>
      <c r="L90" s="199"/>
      <c r="N90" s="200"/>
      <c r="O90" s="199"/>
      <c r="P90" s="199"/>
      <c r="Q90" s="199"/>
      <c r="S90" s="200"/>
      <c r="T90" s="199"/>
      <c r="U90" s="199"/>
      <c r="V90" s="199"/>
    </row>
    <row r="91" spans="1:26" s="81" customFormat="1">
      <c r="A91" s="81" t="s">
        <v>2451</v>
      </c>
      <c r="G91" s="190"/>
      <c r="N91" s="190"/>
      <c r="S91" s="190"/>
    </row>
    <row r="99" spans="7:22">
      <c r="G99" s="82"/>
      <c r="S99" s="203" t="s">
        <v>2452</v>
      </c>
      <c r="T99" s="204" t="s">
        <v>2453</v>
      </c>
      <c r="U99" s="204" t="s">
        <v>2454</v>
      </c>
      <c r="V99" s="204" t="s">
        <v>2455</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44873</v>
      </c>
      <c r="D1" s="7" t="s">
        <v>2456</v>
      </c>
      <c r="E1" s="9">
        <f>'数据-取费表'!B24</f>
        <v>2</v>
      </c>
      <c r="F1" s="7" t="s">
        <v>2457</v>
      </c>
      <c r="G1" s="10">
        <f ca="1">INDIRECT("d"&amp;$K$1)/100</f>
        <v>3.7000000000000005E-2</v>
      </c>
      <c r="H1" s="7" t="s">
        <v>2458</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2457</v>
      </c>
      <c r="E2" s="11"/>
      <c r="F2" s="11" t="s">
        <v>2459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2460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2461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2464</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2465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2466</v>
      </c>
      <c r="C10" s="35"/>
      <c r="D10" s="35"/>
      <c r="E10" s="35"/>
      <c r="F10" s="35"/>
      <c r="G10" s="35"/>
      <c r="H10" s="35"/>
      <c r="I10" s="3"/>
      <c r="J10" s="3"/>
      <c r="K10" s="35"/>
      <c r="L10" s="36" t="s">
        <v>2467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2468</v>
      </c>
      <c r="C11" s="39" t="s">
        <v>2469</v>
      </c>
      <c r="D11" s="40" t="s">
        <v>2470</v>
      </c>
      <c r="E11" s="41"/>
      <c r="F11" s="40" t="s">
        <v>2471</v>
      </c>
      <c r="G11" s="42"/>
      <c r="H11" s="41"/>
      <c r="I11" s="40" t="s">
        <v>2472</v>
      </c>
      <c r="J11" s="41"/>
      <c r="K11" s="37"/>
      <c r="L11" s="38" t="s">
        <v>2468</v>
      </c>
      <c r="M11" s="39" t="s">
        <v>2469</v>
      </c>
      <c r="N11" s="38" t="s">
        <v>2473</v>
      </c>
      <c r="O11" s="40" t="s">
        <v>2474</v>
      </c>
      <c r="P11" s="42"/>
      <c r="Q11" s="42"/>
      <c r="R11" s="42"/>
      <c r="S11" s="42"/>
      <c r="T11" s="41"/>
      <c r="U11" s="40" t="s">
        <v>2475</v>
      </c>
      <c r="V11" s="42"/>
      <c r="W11" s="41"/>
      <c r="X11" s="38" t="s">
        <v>2476</v>
      </c>
      <c r="Y11" s="38" t="s">
        <v>2477</v>
      </c>
      <c r="Z11" s="38" t="s">
        <v>2478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2479</v>
      </c>
      <c r="E12" s="46" t="s">
        <v>2461</v>
      </c>
      <c r="F12" s="46" t="s">
        <v>2462</v>
      </c>
      <c r="G12" s="46" t="s">
        <v>2463</v>
      </c>
      <c r="H12" s="46" t="s">
        <v>2464</v>
      </c>
      <c r="I12" s="57" t="s">
        <v>2480</v>
      </c>
      <c r="J12" s="57" t="s">
        <v>2480</v>
      </c>
      <c r="K12" s="43"/>
      <c r="L12" s="44"/>
      <c r="M12" s="45"/>
      <c r="N12" s="44"/>
      <c r="O12" s="57" t="s">
        <v>2481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2482</v>
      </c>
      <c r="C13" s="49">
        <v>44581</v>
      </c>
      <c r="D13" s="50">
        <v>3.7</v>
      </c>
      <c r="E13" s="50">
        <f t="shared" ref="E13:E19" si="0">D13</f>
        <v>3.7</v>
      </c>
      <c r="F13" s="50">
        <f t="shared" ref="F13:F19" si="1">D13</f>
        <v>3.7</v>
      </c>
      <c r="G13" s="50">
        <f t="shared" ref="G13:G19" si="2">D13</f>
        <v>3.7</v>
      </c>
      <c r="H13" s="50">
        <v>4.5999999999999996</v>
      </c>
      <c r="I13" s="50"/>
      <c r="J13" s="50"/>
      <c r="K13" s="47"/>
      <c r="L13" s="48" t="s">
        <v>2482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2483</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2484</v>
      </c>
      <c r="Y42" s="51" t="s">
        <v>2484</v>
      </c>
      <c r="Z42" s="51" t="s">
        <v>2484</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2484</v>
      </c>
      <c r="Y43" s="51" t="s">
        <v>2484</v>
      </c>
      <c r="Z43" s="51" t="s">
        <v>2484</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2484</v>
      </c>
      <c r="Y44" s="51" t="s">
        <v>2484</v>
      </c>
      <c r="Z44" s="51" t="s">
        <v>2484</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2484</v>
      </c>
      <c r="Y45" s="51" t="s">
        <v>2484</v>
      </c>
      <c r="Z45" s="51" t="s">
        <v>2484</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2484</v>
      </c>
      <c r="Y46" s="51" t="s">
        <v>2484</v>
      </c>
      <c r="Z46" s="51" t="s">
        <v>2484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2484</v>
      </c>
      <c r="Y47" s="51" t="s">
        <v>2484</v>
      </c>
      <c r="Z47" s="51" t="s">
        <v>2484</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2484</v>
      </c>
      <c r="Y48" s="51" t="s">
        <v>2484</v>
      </c>
      <c r="Z48" s="51" t="s">
        <v>2484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2484</v>
      </c>
      <c r="Y49" s="51" t="s">
        <v>2484</v>
      </c>
      <c r="Z49" s="51" t="s">
        <v>2484</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2484</v>
      </c>
      <c r="Y50" s="51" t="s">
        <v>2484</v>
      </c>
      <c r="Z50" s="51" t="s">
        <v>2484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2484</v>
      </c>
      <c r="V51" s="51" t="s">
        <v>2484</v>
      </c>
      <c r="W51" s="51" t="s">
        <v>2484</v>
      </c>
      <c r="X51" s="51" t="s">
        <v>2484</v>
      </c>
      <c r="Y51" s="51" t="s">
        <v>2484</v>
      </c>
      <c r="Z51" s="51" t="s">
        <v>2484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2484</v>
      </c>
      <c r="J62" s="51" t="s">
        <v>2484</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17">
    <tabColor rgb="FF002060"/>
  </sheetPr>
  <dimension ref="A1:E46"/>
  <sheetViews>
    <sheetView view="pageLayout" zoomScale="80" zoomScaleNormal="100" workbookViewId="0">
      <selection activeCell="A2" sqref="A2:E2"/>
    </sheetView>
  </sheetViews>
  <sheetFormatPr defaultColWidth="9" defaultRowHeight="13.5"/>
  <cols>
    <col min="1" max="1" width="4.125" style="3232" customWidth="1"/>
    <col min="2" max="2" width="37.875" style="3232" customWidth="1"/>
    <col min="3" max="3" width="16.125" style="3232" customWidth="1"/>
    <col min="4" max="4" width="22.25" style="3232" customWidth="1"/>
    <col min="5" max="5" width="4.125" style="3232" customWidth="1"/>
    <col min="6" max="7" width="13" style="3232" customWidth="1"/>
    <col min="8" max="16384" width="9" style="3232"/>
  </cols>
  <sheetData>
    <row r="1" spans="1:5" ht="18.75">
      <c r="A1" s="3233" t="s">
        <v>86</v>
      </c>
      <c r="B1" s="3234"/>
      <c r="C1" s="3234"/>
      <c r="D1" s="3234"/>
      <c r="E1" s="3234"/>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3235"/>
      <c r="B3" s="3235"/>
      <c r="C3" s="3235"/>
      <c r="D3" s="3235"/>
      <c r="E3" s="3235"/>
    </row>
    <row r="4" spans="1:5" ht="18.75">
      <c r="A4" s="3329" t="str">
        <f>IF(项目基本情况!D5="房地产市场价值","估价结果一览表（市场价值不需本页表格)","估价结果一览表")</f>
        <v>估价结果一览表</v>
      </c>
      <c r="B4" s="3329"/>
      <c r="C4" s="3329"/>
      <c r="D4" s="3329"/>
      <c r="E4" s="3329"/>
    </row>
    <row r="5" spans="1:5" ht="14.25" customHeight="1">
      <c r="A5" s="3234"/>
      <c r="B5" s="3236" t="s">
        <v>87</v>
      </c>
      <c r="C5" s="3330" t="s">
        <v>88</v>
      </c>
      <c r="D5" s="3331"/>
      <c r="E5" s="3234"/>
    </row>
    <row r="6" spans="1:5" ht="14.25">
      <c r="A6" s="3234"/>
      <c r="B6" s="3237" t="str">
        <f>项目基本情况!I1</f>
        <v>北京市房地产</v>
      </c>
      <c r="C6" s="3332">
        <f>项目基本情况!C12</f>
        <v>59.11</v>
      </c>
      <c r="D6" s="3332"/>
      <c r="E6" s="3234"/>
    </row>
    <row r="7" spans="1:5" ht="14.25">
      <c r="A7" s="3234"/>
      <c r="B7" s="3334" t="s">
        <v>89</v>
      </c>
      <c r="C7" s="3239" t="str">
        <f>IF('数据-取费表'!B3="万元","总价（万元）","总价（元）")</f>
        <v>总价（元）</v>
      </c>
      <c r="D7" s="3238">
        <f ca="1">IF('数据-取费表'!E3="否",结果表!I102,'结果表 (1修多)'!I104)</f>
        <v>2369956</v>
      </c>
      <c r="E7" s="3234"/>
    </row>
    <row r="8" spans="1:5" ht="28.5">
      <c r="A8" s="3234"/>
      <c r="B8" s="3334"/>
      <c r="C8" s="3240" t="s">
        <v>90</v>
      </c>
      <c r="D8" s="3241" t="str">
        <f ca="1">IF('数据-取费表'!B3="万元",NUMBERSTRING(INT(D7*10000),2)&amp;"元整",NUMBERSTRING(INT(D7),2)&amp;"元整")</f>
        <v>贰佰叁拾陆万玖仟玖佰伍拾陆元整</v>
      </c>
      <c r="E8" s="3234"/>
    </row>
    <row r="9" spans="1:5" ht="14.25">
      <c r="A9" s="3234"/>
      <c r="B9" s="3334"/>
      <c r="C9" s="3242" t="s">
        <v>91</v>
      </c>
      <c r="D9" s="3238">
        <f ca="1">IF('数据-取费表'!E3="否",结果表!I103,'结果表 (1修多)'!I105)</f>
        <v>40094</v>
      </c>
      <c r="E9" s="3234"/>
    </row>
    <row r="10" spans="1:5" ht="14.25">
      <c r="A10" s="3234"/>
      <c r="B10" s="3335" t="str">
        <f>IF('数据-取费表'!E3="否",结果表!F105,'结果表 (1修多)'!F107)</f>
        <v>2.估价师所知悉的法定优先受偿款</v>
      </c>
      <c r="C10" s="3243" t="str">
        <f>IF('数据-取费表'!B3="万元","总额（万元）","总额（元）")</f>
        <v>总额（元）</v>
      </c>
      <c r="D10" s="3238">
        <f>IF('数据-取费表'!E3="否",结果表!I105,'结果表 (1修多)'!I107)</f>
        <v>0</v>
      </c>
      <c r="E10" s="3234"/>
    </row>
    <row r="11" spans="1:5" ht="14.25">
      <c r="A11" s="3234"/>
      <c r="B11" s="3335"/>
      <c r="C11" s="3240" t="s">
        <v>90</v>
      </c>
      <c r="D11" s="3241" t="str">
        <f>IF('数据-取费表'!B3="万元",NUMBERSTRING(INT(D10*10000),2)&amp;"元整",NUMBERSTRING(INT(D10),2)&amp;"元整")</f>
        <v>零元整</v>
      </c>
      <c r="E11" s="3234"/>
    </row>
    <row r="12" spans="1:5" ht="14.25">
      <c r="A12" s="3234"/>
      <c r="B12" s="3244" t="s">
        <v>92</v>
      </c>
      <c r="C12" s="3245" t="str">
        <f>C10</f>
        <v>总额（元）</v>
      </c>
      <c r="D12" s="3246">
        <f>IF('数据-取费表'!E3="否",结果表!I106,'结果表 (1修多)'!I108)</f>
        <v>0</v>
      </c>
      <c r="E12" s="3234"/>
    </row>
    <row r="13" spans="1:5" ht="14.25">
      <c r="A13" s="3234"/>
      <c r="B13" s="3244" t="s">
        <v>93</v>
      </c>
      <c r="C13" s="3245" t="str">
        <f>C10</f>
        <v>总额（元）</v>
      </c>
      <c r="D13" s="3246">
        <f>IF('数据-取费表'!E3="否",结果表!I107,'结果表 (1修多)'!I109)</f>
        <v>0</v>
      </c>
      <c r="E13" s="3234"/>
    </row>
    <row r="14" spans="1:5" ht="14.25">
      <c r="A14" s="3234"/>
      <c r="B14" s="3244" t="s">
        <v>94</v>
      </c>
      <c r="C14" s="3245" t="str">
        <f>C10</f>
        <v>总额（元）</v>
      </c>
      <c r="D14" s="3246">
        <f>IF('数据-取费表'!E3="否",结果表!I108,'结果表 (1修多)'!I110)</f>
        <v>0</v>
      </c>
      <c r="E14" s="3234"/>
    </row>
    <row r="15" spans="1:5" ht="14.25">
      <c r="A15" s="3234"/>
      <c r="B15" s="3335" t="str">
        <f>IF('数据-取费表'!E3="否",结果表!F110,'结果表 (1修多)'!F112)</f>
        <v>3.房地产抵押价值</v>
      </c>
      <c r="C15" s="3247" t="str">
        <f>C7</f>
        <v>总价（元）</v>
      </c>
      <c r="D15" s="3238">
        <f ca="1">IF('数据-取费表'!E3="否",结果表!I110,'结果表 (1修多)'!I112)</f>
        <v>2369956</v>
      </c>
      <c r="E15" s="3234"/>
    </row>
    <row r="16" spans="1:5" ht="28.5">
      <c r="A16" s="3234"/>
      <c r="B16" s="3335"/>
      <c r="C16" s="3240" t="s">
        <v>90</v>
      </c>
      <c r="D16" s="3238" t="str">
        <f ca="1">IF('数据-取费表'!B3="万元",NUMBERSTRING(INT(D15*10000),2)&amp;"元整",NUMBERSTRING(INT(D15),2)&amp;"元整")</f>
        <v>贰佰叁拾陆万玖仟玖佰伍拾陆元整</v>
      </c>
      <c r="E16" s="3234"/>
    </row>
    <row r="17" spans="1:5" ht="14.25">
      <c r="A17" s="3234"/>
      <c r="B17" s="3335"/>
      <c r="C17" s="3242" t="s">
        <v>91</v>
      </c>
      <c r="D17" s="3238">
        <f ca="1">IF('数据-取费表'!E3="否",结果表!I111,'结果表 (1修多)'!I113)</f>
        <v>40094</v>
      </c>
      <c r="E17" s="3234"/>
    </row>
    <row r="18" spans="1:5" ht="14.25">
      <c r="A18" s="3234"/>
      <c r="B18" s="3335" t="str">
        <f>IF('数据-取费表'!E3="否",结果表!F112,'结果表 (1修多)'!F114)</f>
        <v>——</v>
      </c>
      <c r="C18" s="3247" t="str">
        <f>C7</f>
        <v>总价（元）</v>
      </c>
      <c r="D18" s="3238" t="str">
        <f>IF('数据-取费表'!E3="否",结果表!I112,'结果表 (1修多)'!I114)</f>
        <v>——</v>
      </c>
      <c r="E18" s="3234"/>
    </row>
    <row r="19" spans="1:5" ht="14.25">
      <c r="A19" s="3234"/>
      <c r="B19" s="3335"/>
      <c r="C19" s="3240" t="s">
        <v>90</v>
      </c>
      <c r="D19" s="3238" t="e">
        <f>IF('数据-取费表'!B3="万元",NUMBERSTRING(INT(D18*10000),2)&amp;"元整",NUMBERSTRING(INT(D18),2)&amp;"元整")</f>
        <v>#VALUE!</v>
      </c>
      <c r="E19" s="3234"/>
    </row>
    <row r="20" spans="1:5" ht="14.25">
      <c r="A20" s="3234"/>
      <c r="B20" s="3335"/>
      <c r="C20" s="3242" t="s">
        <v>91</v>
      </c>
      <c r="D20" s="3238" t="str">
        <f>IF('数据-取费表'!E3="否",结果表!I113,'结果表 (1修多)'!I115)</f>
        <v>——</v>
      </c>
      <c r="E20" s="3234"/>
    </row>
    <row r="21" spans="1:5" ht="14.25">
      <c r="A21" s="3234"/>
      <c r="B21" s="3334" t="str">
        <f>IF('数据-取费表'!E3="否",结果表!F114,'结果表 (1修多)'!F116)</f>
        <v>——</v>
      </c>
      <c r="C21" s="3239" t="str">
        <f>C7</f>
        <v>总价（元）</v>
      </c>
      <c r="D21" s="3238" t="str">
        <f>IF('数据-取费表'!E3="否",结果表!I114,'结果表 (1修多)'!I116)</f>
        <v>——</v>
      </c>
      <c r="E21" s="3234"/>
    </row>
    <row r="22" spans="1:5" ht="14.25">
      <c r="A22" s="3234"/>
      <c r="B22" s="3334"/>
      <c r="C22" s="3240" t="s">
        <v>90</v>
      </c>
      <c r="D22" s="3241" t="e">
        <f>IF('数据-取费表'!B3="万元",NUMBERSTRING(INT(D21*10000),2)&amp;"元整",NUMBERSTRING(INT(D21),2)&amp;"元整")</f>
        <v>#VALUE!</v>
      </c>
      <c r="E22" s="3234"/>
    </row>
    <row r="23" spans="1:5" ht="14.25">
      <c r="A23" s="3234"/>
      <c r="B23" s="3336"/>
      <c r="C23" s="3248" t="s">
        <v>91</v>
      </c>
      <c r="D23" s="3249" t="str">
        <f ca="1">IF('数据-取费表'!E3="否",结果表!I115,'结果表 (1修多)'!I117)</f>
        <v>——</v>
      </c>
      <c r="E23" s="3234"/>
    </row>
    <row r="24" spans="1:5">
      <c r="A24" s="3234"/>
      <c r="B24" s="3234"/>
      <c r="C24" s="3234"/>
      <c r="D24" s="3234"/>
      <c r="E24" s="3234"/>
    </row>
    <row r="25" spans="1:5" ht="18.75" customHeight="1">
      <c r="A25" s="3234"/>
      <c r="B25" s="3333" t="s">
        <v>95</v>
      </c>
      <c r="C25" s="3333"/>
      <c r="D25" s="3333"/>
      <c r="E25" s="3234"/>
    </row>
    <row r="26" spans="1:5" ht="18.75" customHeight="1">
      <c r="A26" s="3234"/>
      <c r="B26" s="3316" t="s">
        <v>96</v>
      </c>
      <c r="C26" s="3317"/>
      <c r="D26" s="3314" t="s">
        <v>97</v>
      </c>
      <c r="E26" s="3234"/>
    </row>
    <row r="27" spans="1:5" ht="18.75" customHeight="1">
      <c r="A27" s="3234"/>
      <c r="B27" s="3318"/>
      <c r="C27" s="3319"/>
      <c r="D27" s="3315"/>
      <c r="E27" s="3234"/>
    </row>
    <row r="28" spans="1:5" ht="14.25">
      <c r="A28" s="3234"/>
      <c r="B28" s="3320" t="s">
        <v>89</v>
      </c>
      <c r="C28" s="3251" t="s">
        <v>98</v>
      </c>
      <c r="D28" s="3252">
        <f ca="1">IF('数据-取费表'!E3="否",结果表!I102,'结果表 (1修多)'!I104)</f>
        <v>2369956</v>
      </c>
      <c r="E28" s="3234"/>
    </row>
    <row r="29" spans="1:5" ht="28.5">
      <c r="A29" s="3234"/>
      <c r="B29" s="3321"/>
      <c r="C29" s="3253" t="s">
        <v>90</v>
      </c>
      <c r="D29" s="3254" t="str">
        <f ca="1">IF('数据-取费表'!B3="万元",NUMBERSTRING(INT(D28*10000),2)&amp;"元整",NUMBERSTRING(INT(D28),2)&amp;"元整")</f>
        <v>贰佰叁拾陆万玖仟玖佰伍拾陆元整</v>
      </c>
      <c r="E29" s="3234"/>
    </row>
    <row r="30" spans="1:5" ht="14.25">
      <c r="A30" s="3234"/>
      <c r="B30" s="3322"/>
      <c r="C30" s="3242" t="s">
        <v>99</v>
      </c>
      <c r="D30" s="3255">
        <f ca="1">IF('数据-取费表'!E3="否",结果表!I103,'结果表 (1修多)'!I105)</f>
        <v>40094</v>
      </c>
      <c r="E30" s="3234"/>
    </row>
    <row r="31" spans="1:5" ht="14.25">
      <c r="A31" s="3234"/>
      <c r="B31" s="3323" t="str">
        <f>B10</f>
        <v>2.估价师所知悉的法定优先受偿款</v>
      </c>
      <c r="C31" s="3256" t="s">
        <v>100</v>
      </c>
      <c r="D31" s="3250">
        <f>IF('数据-取费表'!E3="否",结果表!I105,'结果表 (1修多)'!I107)</f>
        <v>0</v>
      </c>
      <c r="E31" s="3234"/>
    </row>
    <row r="32" spans="1:5" ht="14.25">
      <c r="A32" s="3234"/>
      <c r="B32" s="3324"/>
      <c r="C32" s="3253" t="s">
        <v>90</v>
      </c>
      <c r="D32" s="3257" t="str">
        <f>IF('数据-取费表'!B3="万元",NUMBERSTRING(INT(D31*10000),2)&amp;"元整",NUMBERSTRING(INT(D31),2)&amp;"元整")</f>
        <v>零元整</v>
      </c>
      <c r="E32" s="3234"/>
    </row>
    <row r="33" spans="1:5" ht="14.25">
      <c r="A33" s="3234"/>
      <c r="B33" s="3240" t="s">
        <v>92</v>
      </c>
      <c r="C33" s="3240" t="str">
        <f>C31</f>
        <v>总额</v>
      </c>
      <c r="D33" s="3255">
        <f>IF('数据-取费表'!E3="否",结果表!I106,'结果表 (1修多)'!I108)</f>
        <v>0</v>
      </c>
      <c r="E33" s="3234"/>
    </row>
    <row r="34" spans="1:5" ht="14.25">
      <c r="A34" s="3234"/>
      <c r="B34" s="3240" t="s">
        <v>93</v>
      </c>
      <c r="C34" s="3240" t="str">
        <f>C31</f>
        <v>总额</v>
      </c>
      <c r="D34" s="3255">
        <f>IF('数据-取费表'!E3="否",结果表!I107,'结果表 (1修多)'!I109)</f>
        <v>0</v>
      </c>
      <c r="E34" s="3234"/>
    </row>
    <row r="35" spans="1:5" ht="14.25">
      <c r="A35" s="3234"/>
      <c r="B35" s="3240" t="s">
        <v>94</v>
      </c>
      <c r="C35" s="3240" t="str">
        <f>C31</f>
        <v>总额</v>
      </c>
      <c r="D35" s="3255">
        <f>IF('数据-取费表'!E3="否",结果表!I108,'结果表 (1修多)'!I110)</f>
        <v>0</v>
      </c>
      <c r="E35" s="3234"/>
    </row>
    <row r="36" spans="1:5" ht="14.25">
      <c r="A36" s="3234"/>
      <c r="B36" s="3325" t="str">
        <f>B15</f>
        <v>3.房地产抵押价值</v>
      </c>
      <c r="C36" s="3256" t="str">
        <f>C28</f>
        <v>总价</v>
      </c>
      <c r="D36" s="3250">
        <f ca="1">IF('数据-取费表'!E3="否",结果表!I110,'结果表 (1修多)'!I112)</f>
        <v>2369956</v>
      </c>
      <c r="E36" s="3234"/>
    </row>
    <row r="37" spans="1:5" ht="28.5">
      <c r="A37" s="3234"/>
      <c r="B37" s="3325"/>
      <c r="C37" s="3253" t="s">
        <v>90</v>
      </c>
      <c r="D37" s="3257" t="str">
        <f ca="1">IF('数据-取费表'!B3="万元",NUMBERSTRING(INT(D36*10000),2)&amp;"元整",NUMBERSTRING(INT(D36),2)&amp;"元整")</f>
        <v>贰佰叁拾陆万玖仟玖佰伍拾陆元整</v>
      </c>
      <c r="E37" s="3234"/>
    </row>
    <row r="38" spans="1:5" ht="14.25">
      <c r="A38" s="3234"/>
      <c r="B38" s="3325"/>
      <c r="C38" s="3242" t="s">
        <v>99</v>
      </c>
      <c r="D38" s="3255">
        <f ca="1">IF('数据-取费表'!E3="否",结果表!D113,'结果表 (1修多)'!D117)</f>
        <v>40094</v>
      </c>
      <c r="E38" s="3234"/>
    </row>
    <row r="39" spans="1:5" ht="14.25">
      <c r="A39" s="3234"/>
      <c r="B39" s="3326" t="str">
        <f>B18</f>
        <v>——</v>
      </c>
      <c r="C39" s="3256" t="str">
        <f>C28</f>
        <v>总价</v>
      </c>
      <c r="D39" s="3250" t="str">
        <f>IF('数据-取费表'!E3="否",结果表!I112,'结果表 (1修多)'!I114)</f>
        <v>——</v>
      </c>
      <c r="E39" s="3234"/>
    </row>
    <row r="40" spans="1:5" ht="14.25">
      <c r="A40" s="3234"/>
      <c r="B40" s="3326"/>
      <c r="C40" s="3253" t="s">
        <v>90</v>
      </c>
      <c r="D40" s="3257" t="e">
        <f>IF('数据-取费表'!B3="万元",NUMBERSTRING(INT(D39*10000),2)&amp;"元整",NUMBERSTRING(INT(D39),2)&amp;"元整")</f>
        <v>#VALUE!</v>
      </c>
      <c r="E40" s="3234"/>
    </row>
    <row r="41" spans="1:5" ht="14.25">
      <c r="A41" s="3234"/>
      <c r="B41" s="3326"/>
      <c r="C41" s="3242" t="s">
        <v>99</v>
      </c>
      <c r="D41" s="3255" t="str">
        <f>IF('数据-取费表'!E3="否",结果表!D115,'结果表 (1修多)'!D119)</f>
        <v>——</v>
      </c>
      <c r="E41" s="3234"/>
    </row>
    <row r="42" spans="1:5" ht="14.25">
      <c r="A42" s="3234"/>
      <c r="B42" s="3325" t="str">
        <f>B21</f>
        <v>——</v>
      </c>
      <c r="C42" s="3256" t="str">
        <f>C28</f>
        <v>总价</v>
      </c>
      <c r="D42" s="3250" t="str">
        <f>IF('数据-取费表'!E3="否",结果表!I114,'结果表 (1修多)'!I116)</f>
        <v>——</v>
      </c>
      <c r="E42" s="3234"/>
    </row>
    <row r="43" spans="1:5" ht="14.25">
      <c r="A43" s="3234"/>
      <c r="B43" s="3323"/>
      <c r="C43" s="3253" t="s">
        <v>90</v>
      </c>
      <c r="D43" s="3258" t="e">
        <f>IF('数据-取费表'!B3="万元",NUMBERSTRING(INT(D42*10000),2)&amp;"元整",NUMBERSTRING(INT(D42),2)&amp;"元整")</f>
        <v>#VALUE!</v>
      </c>
      <c r="E43" s="3234"/>
    </row>
    <row r="44" spans="1:5" ht="14.25">
      <c r="A44" s="3234"/>
      <c r="B44" s="3327"/>
      <c r="C44" s="3248" t="s">
        <v>99</v>
      </c>
      <c r="D44" s="3259" t="str">
        <f ca="1">IF('数据-取费表'!E3="否",结果表!D117,'结果表 (1修多)'!D121)</f>
        <v>——</v>
      </c>
      <c r="E44" s="3234"/>
    </row>
    <row r="45" spans="1:5">
      <c r="A45" s="3234"/>
      <c r="B45" s="3234" t="str">
        <f>IF('数据-取费表'!B3="元","单位：元、元/平方米（单位：人民币）","单位：万元、元/平方米（单位：人民币）")</f>
        <v>单位：元、元/平方米（单位：人民币）</v>
      </c>
      <c r="C45" s="3234"/>
      <c r="D45" s="3234"/>
      <c r="E45" s="3234"/>
    </row>
    <row r="46" spans="1:5" ht="18.75">
      <c r="B46" s="3260"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216" customWidth="1"/>
    <col min="2" max="9" width="12.25" style="3216" customWidth="1"/>
    <col min="10" max="16384" width="9" style="3216"/>
  </cols>
  <sheetData>
    <row r="1" spans="1:9" ht="15.75">
      <c r="A1" s="3346" t="str">
        <f>IF(项目基本情况!D5="房地产市场价值","估价结果一览表","结果表-2")</f>
        <v>结果表-2</v>
      </c>
      <c r="B1" s="3346"/>
      <c r="C1" s="3346"/>
      <c r="D1" s="3346"/>
      <c r="E1" s="3346"/>
      <c r="F1" s="3346"/>
      <c r="G1" s="3346"/>
      <c r="H1" s="3346"/>
      <c r="I1" s="3346"/>
    </row>
    <row r="2" spans="1:9" ht="30" customHeight="1">
      <c r="A2" s="3347" t="s">
        <v>102</v>
      </c>
      <c r="B2" s="3347" t="s">
        <v>103</v>
      </c>
      <c r="C2" s="3347" t="s">
        <v>104</v>
      </c>
      <c r="D2" s="3347" t="str">
        <f>IF('数据-取费表'!E3="否",结果表!D119,'结果表 (1修多)'!D123)</f>
        <v>出让国有建设用地使用权价值</v>
      </c>
      <c r="E2" s="3347"/>
      <c r="F2" s="3347" t="s">
        <v>105</v>
      </c>
      <c r="G2" s="3347"/>
      <c r="H2" s="3347" t="s">
        <v>106</v>
      </c>
      <c r="I2" s="3347"/>
    </row>
    <row r="3" spans="1:9" ht="15">
      <c r="A3" s="3341"/>
      <c r="B3" s="3341"/>
      <c r="C3" s="3341"/>
      <c r="D3" s="3231" t="s">
        <v>107</v>
      </c>
      <c r="E3" s="3231" t="s">
        <v>108</v>
      </c>
      <c r="F3" s="3231" t="s">
        <v>107</v>
      </c>
      <c r="G3" s="3231" t="s">
        <v>108</v>
      </c>
      <c r="H3" s="3231" t="s">
        <v>107</v>
      </c>
      <c r="I3" s="3231" t="s">
        <v>108</v>
      </c>
    </row>
    <row r="4" spans="1:9" ht="46.5" customHeight="1">
      <c r="A4" s="3231" t="str">
        <f>项目基本情况!I1</f>
        <v>北京市房地产</v>
      </c>
      <c r="B4" s="3231">
        <f>结果表!B121</f>
        <v>59.11</v>
      </c>
      <c r="C4" s="3231">
        <f>结果表!C121</f>
        <v>0</v>
      </c>
      <c r="D4" s="3231">
        <f ca="1">IF('数据-取费表'!E3="否",结果表!D121,'结果表 (1修多)'!D125)</f>
        <v>2087943</v>
      </c>
      <c r="E4" s="3231">
        <f ca="1">IF('数据-取费表'!E3="否",结果表!E121,'结果表 (1修多)'!E125)</f>
        <v>35323</v>
      </c>
      <c r="F4" s="3231">
        <f ca="1">IF('数据-取费表'!E3="否",结果表!F121,'结果表 (1修多)'!F125)</f>
        <v>282014</v>
      </c>
      <c r="G4" s="3231">
        <f ca="1">IF('数据-取费表'!E3="否",结果表!G121,'结果表 (1修多)'!G125)</f>
        <v>4771</v>
      </c>
      <c r="H4" s="3231">
        <f ca="1">IF('数据-取费表'!E3="否",结果表!H121,'结果表 (1修多)'!H125)</f>
        <v>2369956</v>
      </c>
      <c r="I4" s="3231">
        <f ca="1">IF('数据-取费表'!E3="否",结果表!I121,'结果表 (1修多)'!I125)</f>
        <v>40094</v>
      </c>
    </row>
    <row r="5" spans="1:9" ht="15">
      <c r="A5" s="3341" t="s">
        <v>109</v>
      </c>
      <c r="B5" s="3341"/>
      <c r="C5" s="3341"/>
      <c r="D5" s="3342" t="str">
        <f ca="1">IF('数据-取费表'!E3="否",结果表!D122,'结果表 (1修多)'!D126)</f>
        <v>贰佰零捌万柒仟玖佰肆拾叁元整</v>
      </c>
      <c r="E5" s="3342"/>
      <c r="F5" s="3342" t="str">
        <f ca="1">IF('数据-取费表'!E3="否",结果表!F122,'结果表 (1修多)'!F126)</f>
        <v>贰拾捌万贰仟零壹拾肆元整</v>
      </c>
      <c r="G5" s="3342"/>
      <c r="H5" s="3342" t="str">
        <f ca="1">IF('数据-取费表'!E3="否",结果表!H122,'结果表 (1修多)'!H126)</f>
        <v>贰佰叁拾陆万玖仟玖佰伍拾陆元整</v>
      </c>
      <c r="I5" s="3342"/>
    </row>
    <row r="6" spans="1:9" ht="15.75">
      <c r="A6" s="3337" t="str">
        <f>IF('数据-取费表'!E3="否",结果表!A123,'结果表 (1修多)'!A127)</f>
        <v>估价师所知悉的法定优先受偿款</v>
      </c>
      <c r="B6" s="3337"/>
      <c r="C6" s="3337"/>
      <c r="D6" s="3337">
        <f>IF('数据-取费表'!E3="否",结果表!D123,'结果表 (1修多)'!D127)</f>
        <v>0</v>
      </c>
      <c r="E6" s="3337"/>
      <c r="F6" s="3337"/>
      <c r="G6" s="3337"/>
      <c r="H6" s="3337"/>
      <c r="I6" s="3337"/>
    </row>
    <row r="7" spans="1:9" ht="15">
      <c r="A7" s="3341" t="s">
        <v>109</v>
      </c>
      <c r="B7" s="3341"/>
      <c r="C7" s="3341"/>
      <c r="D7" s="3343">
        <f>IF('数据-取费表'!E3="否",结果表!D124,'结果表 (1修多)'!D128)</f>
        <v>0</v>
      </c>
      <c r="E7" s="3344"/>
      <c r="F7" s="3344"/>
      <c r="G7" s="3344"/>
      <c r="H7" s="3344"/>
      <c r="I7" s="3345"/>
    </row>
    <row r="8" spans="1:9" ht="15.75">
      <c r="A8" s="3337" t="str">
        <f>IF('数据-取费表'!E3="否",结果表!A125,'结果表 (1修多)'!A129)</f>
        <v>房地产抵押价值</v>
      </c>
      <c r="B8" s="3337"/>
      <c r="C8" s="3337"/>
      <c r="D8" s="3337">
        <f ca="1">IF('数据-取费表'!E3="否",结果表!D125,'结果表 (1修多)'!D129)</f>
        <v>2369956</v>
      </c>
      <c r="E8" s="3337"/>
      <c r="F8" s="3337"/>
      <c r="G8" s="3337"/>
      <c r="H8" s="3337"/>
      <c r="I8" s="3337"/>
    </row>
    <row r="9" spans="1:9" ht="15">
      <c r="A9" s="3341" t="s">
        <v>109</v>
      </c>
      <c r="B9" s="3341"/>
      <c r="C9" s="3341"/>
      <c r="D9" s="3342">
        <f ca="1">IF('数据-取费表'!E3="否",结果表!D126,'结果表 (1修多)'!D130)</f>
        <v>40094</v>
      </c>
      <c r="E9" s="3342"/>
      <c r="F9" s="3342"/>
      <c r="G9" s="3342"/>
      <c r="H9" s="3342"/>
      <c r="I9" s="3342"/>
    </row>
    <row r="10" spans="1:9" ht="15.75">
      <c r="A10" s="3337" t="str">
        <f>IF('数据-取费表'!E3="否",结果表!A127,'结果表 (1修多)'!A131)</f>
        <v/>
      </c>
      <c r="B10" s="3337"/>
      <c r="C10" s="3337"/>
      <c r="D10" s="3337" t="str">
        <f>IF('数据-取费表'!E3="否",结果表!D127,'结果表 (1修多)'!D130)</f>
        <v>——</v>
      </c>
      <c r="E10" s="3337"/>
      <c r="F10" s="3337"/>
      <c r="G10" s="3337"/>
      <c r="H10" s="3337"/>
      <c r="I10" s="3337"/>
    </row>
    <row r="11" spans="1:9" ht="15">
      <c r="A11" s="3341" t="s">
        <v>109</v>
      </c>
      <c r="B11" s="3341"/>
      <c r="C11" s="3341"/>
      <c r="D11" s="3342" t="str">
        <f>IF('数据-取费表'!E3="否",结果表!D128,'结果表 (1修多)'!D132)</f>
        <v>——</v>
      </c>
      <c r="E11" s="3342"/>
      <c r="F11" s="3342"/>
      <c r="G11" s="3342"/>
      <c r="H11" s="3342"/>
      <c r="I11" s="3342"/>
    </row>
    <row r="12" spans="1:9" ht="15.75">
      <c r="A12" s="3337" t="str">
        <f>IF('数据-取费表'!E3="否",结果表!A129,'结果表 (1修多)'!A133)</f>
        <v/>
      </c>
      <c r="B12" s="3337"/>
      <c r="C12" s="3337"/>
      <c r="D12" s="3337" t="str">
        <f>IF('数据-取费表'!E3="否",结果表!D129,'结果表 (1修多)'!D133)</f>
        <v>——</v>
      </c>
      <c r="E12" s="3337"/>
      <c r="F12" s="3337"/>
      <c r="G12" s="3337"/>
      <c r="H12" s="3337"/>
      <c r="I12" s="3337"/>
    </row>
    <row r="13" spans="1:9" ht="15">
      <c r="A13" s="3338" t="s">
        <v>109</v>
      </c>
      <c r="B13" s="3338"/>
      <c r="C13" s="3338"/>
      <c r="D13" s="3339">
        <f>IF('数据-取费表'!E3="否",结果表!D130,'结果表 (1修多)'!D134)</f>
        <v>0</v>
      </c>
      <c r="E13" s="3339"/>
      <c r="F13" s="3339"/>
      <c r="G13" s="3339"/>
      <c r="H13" s="3339"/>
      <c r="I13" s="3339"/>
    </row>
    <row r="14" spans="1:9">
      <c r="A14" s="3340" t="str">
        <f>IF('数据-取费表'!E3="否",结果表!A131,'结果表 (1修多)'!A135)</f>
        <v>单位：平方米、元、元/平方米（币种：人民币）</v>
      </c>
      <c r="B14" s="3340"/>
      <c r="C14" s="3340"/>
      <c r="D14" s="3340"/>
      <c r="E14" s="3340"/>
      <c r="F14" s="3340"/>
      <c r="G14" s="3340"/>
      <c r="H14" s="3340"/>
      <c r="I14" s="3340"/>
    </row>
    <row r="15" spans="1:9">
      <c r="A15" s="3154"/>
      <c r="B15" s="3154"/>
      <c r="C15" s="3154"/>
      <c r="D15" s="3154"/>
      <c r="E15" s="3154"/>
      <c r="F15" s="3154"/>
      <c r="G15" s="3154"/>
      <c r="H15" s="3154"/>
      <c r="I15" s="3154"/>
    </row>
    <row r="16" spans="1:9" ht="18.75">
      <c r="A16" s="3200" t="s">
        <v>110</v>
      </c>
      <c r="B16" s="3154"/>
      <c r="C16" s="3154"/>
      <c r="D16" s="3154"/>
      <c r="E16" s="3154"/>
      <c r="F16" s="3154"/>
      <c r="G16" s="3154"/>
      <c r="H16" s="3154"/>
      <c r="I16" s="3154"/>
    </row>
    <row r="17" spans="1:9">
      <c r="A17" s="3154"/>
      <c r="B17" s="3154"/>
      <c r="C17" s="3154"/>
      <c r="D17" s="3154"/>
      <c r="E17" s="3154"/>
      <c r="F17" s="3154"/>
      <c r="G17" s="3154"/>
      <c r="H17" s="3154"/>
      <c r="I17" s="3154"/>
    </row>
    <row r="18" spans="1:9">
      <c r="A18" s="3154"/>
      <c r="B18" s="3154"/>
      <c r="C18" s="3154"/>
      <c r="D18" s="3154"/>
      <c r="E18" s="3154"/>
      <c r="F18" s="3154"/>
      <c r="G18" s="3154"/>
      <c r="H18" s="3154"/>
      <c r="I18" s="3154"/>
    </row>
    <row r="19" spans="1:9">
      <c r="A19" s="3154"/>
      <c r="B19" s="3154"/>
      <c r="C19" s="3154"/>
      <c r="D19" s="3154"/>
      <c r="E19" s="3154"/>
      <c r="F19" s="3154"/>
      <c r="G19" s="3154"/>
      <c r="H19" s="3154"/>
      <c r="I19" s="3154"/>
    </row>
    <row r="20" spans="1:9">
      <c r="A20" s="3154"/>
      <c r="B20" s="3154"/>
      <c r="C20" s="3154"/>
      <c r="D20" s="3154"/>
      <c r="E20" s="3154"/>
      <c r="F20" s="3154"/>
      <c r="G20" s="3154"/>
      <c r="H20" s="3154"/>
      <c r="I20" s="3154"/>
    </row>
    <row r="21" spans="1:9">
      <c r="A21" s="3154"/>
      <c r="B21" s="3154"/>
      <c r="C21" s="3154"/>
      <c r="D21" s="3154"/>
      <c r="E21" s="3154"/>
      <c r="F21" s="3154"/>
      <c r="G21" s="3154"/>
      <c r="H21" s="3154"/>
      <c r="I21" s="3154"/>
    </row>
    <row r="22" spans="1:9">
      <c r="A22" s="3154"/>
      <c r="B22" s="3154"/>
      <c r="C22" s="3154"/>
      <c r="D22" s="3154"/>
      <c r="E22" s="3154"/>
      <c r="F22" s="3154"/>
      <c r="G22" s="3154"/>
      <c r="H22" s="3154"/>
      <c r="I22" s="3154"/>
    </row>
    <row r="23" spans="1:9">
      <c r="A23" s="3154"/>
      <c r="B23" s="3154"/>
      <c r="C23" s="3154"/>
      <c r="D23" s="3154"/>
      <c r="E23" s="3154"/>
      <c r="F23" s="3154"/>
      <c r="G23" s="3154"/>
      <c r="H23" s="3154"/>
      <c r="I23" s="3154"/>
    </row>
    <row r="24" spans="1:9">
      <c r="A24" s="3154"/>
      <c r="B24" s="3154"/>
      <c r="C24" s="3154"/>
      <c r="D24" s="3154"/>
      <c r="E24" s="3154"/>
      <c r="F24" s="3154"/>
      <c r="G24" s="3154"/>
      <c r="H24" s="3154"/>
      <c r="I24" s="3154"/>
    </row>
    <row r="25" spans="1:9">
      <c r="A25" s="3154"/>
      <c r="B25" s="3154"/>
      <c r="C25" s="3154"/>
      <c r="D25" s="3154"/>
      <c r="E25" s="3154"/>
      <c r="F25" s="3154"/>
      <c r="G25" s="3154"/>
      <c r="H25" s="3154"/>
      <c r="I25" s="3154"/>
    </row>
    <row r="26" spans="1:9">
      <c r="A26" s="3154"/>
      <c r="B26" s="3154"/>
      <c r="C26" s="3154"/>
      <c r="D26" s="3154"/>
      <c r="E26" s="3154"/>
      <c r="F26" s="3154"/>
      <c r="G26" s="3154"/>
      <c r="H26" s="3154"/>
      <c r="I26" s="315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19">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16" customWidth="1"/>
    <col min="2" max="2" width="24" style="3216" customWidth="1"/>
    <col min="3" max="3" width="23.25" style="3216" customWidth="1"/>
    <col min="4" max="4" width="21" style="3216" customWidth="1"/>
    <col min="5" max="16384" width="9" style="3216"/>
  </cols>
  <sheetData>
    <row r="1" spans="1:4" ht="18.75">
      <c r="A1" s="3351" t="s">
        <v>111</v>
      </c>
      <c r="B1" s="3351"/>
      <c r="C1" s="3351"/>
      <c r="D1" s="3351"/>
    </row>
    <row r="2" spans="1:4" ht="18">
      <c r="A2" s="3352" t="s">
        <v>112</v>
      </c>
      <c r="B2" s="3352"/>
      <c r="C2" s="3352"/>
      <c r="D2" s="3352"/>
    </row>
    <row r="3" spans="1:4" ht="18.75">
      <c r="A3" s="3218" t="s">
        <v>113</v>
      </c>
      <c r="B3" s="3218" t="s">
        <v>114</v>
      </c>
      <c r="C3" s="3218" t="s">
        <v>115</v>
      </c>
      <c r="D3" s="3218" t="s">
        <v>116</v>
      </c>
    </row>
    <row r="4" spans="1:4" ht="56.25" customHeight="1">
      <c r="A4" s="3219">
        <f>项目基本情况!B3</f>
        <v>0</v>
      </c>
      <c r="B4" s="3220">
        <f>项目基本情况!C3</f>
        <v>0</v>
      </c>
      <c r="C4" s="3221"/>
      <c r="D4" s="3222" t="s">
        <v>117</v>
      </c>
    </row>
    <row r="5" spans="1:4" ht="56.25" customHeight="1">
      <c r="A5" s="3219">
        <f>项目基本情况!D3</f>
        <v>0</v>
      </c>
      <c r="B5" s="3220">
        <f>项目基本情况!E3</f>
        <v>0</v>
      </c>
      <c r="C5" s="3223"/>
      <c r="D5" s="3222" t="s">
        <v>117</v>
      </c>
    </row>
    <row r="6" spans="1:4" ht="12" customHeight="1">
      <c r="A6" s="3219"/>
      <c r="B6" s="3220"/>
      <c r="C6" s="3224"/>
      <c r="D6" s="3222"/>
    </row>
    <row r="7" spans="1:4" ht="18">
      <c r="A7" s="3352" t="s">
        <v>118</v>
      </c>
      <c r="B7" s="3352"/>
      <c r="C7" s="3352"/>
      <c r="D7" s="3352"/>
    </row>
    <row r="8" spans="1:4" ht="18.75">
      <c r="A8" s="3218" t="s">
        <v>113</v>
      </c>
      <c r="B8" s="3220" t="s">
        <v>119</v>
      </c>
      <c r="C8" s="3218" t="s">
        <v>115</v>
      </c>
      <c r="D8" s="3218" t="s">
        <v>116</v>
      </c>
    </row>
    <row r="9" spans="1:4" ht="56.25" customHeight="1">
      <c r="A9" s="3225" t="s">
        <v>120</v>
      </c>
      <c r="B9" s="3225" t="s">
        <v>121</v>
      </c>
      <c r="C9" s="3221"/>
      <c r="D9" s="3222" t="s">
        <v>117</v>
      </c>
    </row>
    <row r="11" spans="1:4" ht="18.75">
      <c r="A11" s="3217" t="s">
        <v>122</v>
      </c>
    </row>
    <row r="12" spans="1:4" ht="30" customHeight="1">
      <c r="A12" s="3348" t="s">
        <v>123</v>
      </c>
      <c r="B12" s="3350"/>
      <c r="C12" s="3350"/>
      <c r="D12" s="3350"/>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0"/>
      <c r="C13" s="3350"/>
      <c r="D13" s="3350"/>
    </row>
    <row r="14" spans="1:4" ht="30" customHeight="1">
      <c r="A14" s="3348" t="str">
        <f>IF(项目基本情况!D4="抵押","3.抵押双方在办理抵押登记手续时，应使用本公司出具的正式《不动产估价报告书》，特提醒报告使用者注意。","——")</f>
        <v>——</v>
      </c>
      <c r="B14" s="3350"/>
      <c r="C14" s="3350"/>
      <c r="D14" s="3350"/>
    </row>
    <row r="15" spans="1:4" ht="15.75" customHeight="1">
      <c r="A15" s="3348" t="str">
        <f>IF(项目基本情况!D4="抵押","4.本次评估估价师所知悉的法定优先受偿款情况说明如下：","——")</f>
        <v>——</v>
      </c>
      <c r="B15" s="3350"/>
      <c r="C15" s="3350"/>
      <c r="D15" s="3350"/>
    </row>
    <row r="16" spans="1:4" ht="75" customHeight="1">
      <c r="A16" s="3348" t="str">
        <f>IF(项目基本情况!D4="抵押",CONCATENATE(项目基本情况!J13,项目基本情况!J14,项目基本情况!J15),"——")</f>
        <v>——</v>
      </c>
      <c r="B16" s="3348"/>
      <c r="C16" s="3348"/>
      <c r="D16" s="3348"/>
    </row>
    <row r="17" spans="1:4" ht="63.75" customHeight="1">
      <c r="A17" s="3349" t="s">
        <v>124</v>
      </c>
      <c r="B17" s="3349"/>
      <c r="C17" s="3349"/>
      <c r="D17" s="3349"/>
    </row>
    <row r="18" spans="1:4" ht="15.75" customHeight="1">
      <c r="A18" s="3348" t="str">
        <f>IF(项目基本情况!D4="抵押",结果表!L106,"——")</f>
        <v>——</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49" t="s">
        <v>125</v>
      </c>
      <c r="B20" s="3349"/>
      <c r="C20" s="3349"/>
      <c r="D20" s="3349"/>
    </row>
    <row r="21" spans="1:4">
      <c r="A21" s="3226"/>
      <c r="B21" s="310"/>
      <c r="C21" s="310"/>
      <c r="D21" s="310"/>
    </row>
    <row r="22" spans="1:4">
      <c r="A22" s="3226"/>
      <c r="B22" s="310"/>
      <c r="C22" s="310"/>
      <c r="D22" s="310"/>
    </row>
    <row r="23" spans="1:4" ht="18.75">
      <c r="A23" s="3227" t="s">
        <v>126</v>
      </c>
    </row>
    <row r="24" spans="1:4" ht="18">
      <c r="A24" s="3227"/>
    </row>
    <row r="25" spans="1:4" ht="18.75">
      <c r="A25" s="3227" t="s">
        <v>127</v>
      </c>
    </row>
    <row r="28" spans="1:4" ht="21" customHeight="1">
      <c r="D28" s="3228" t="s">
        <v>128</v>
      </c>
    </row>
    <row r="29" spans="1:4" ht="21" customHeight="1">
      <c r="C29" s="3229"/>
      <c r="D29" s="323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codeName="Sheet20">
    <tabColor rgb="FF0070C0"/>
  </sheetPr>
  <dimension ref="A1:G32"/>
  <sheetViews>
    <sheetView workbookViewId="0">
      <pane ySplit="1" topLeftCell="A2" activePane="bottomLeft" state="frozen"/>
      <selection pane="bottomLeft" activeCell="E24" sqref="E24"/>
    </sheetView>
  </sheetViews>
  <sheetFormatPr defaultColWidth="14.5" defaultRowHeight="15.75"/>
  <cols>
    <col min="1" max="1" width="14.5" style="3201" customWidth="1"/>
    <col min="2" max="16384" width="14.5" style="3154"/>
  </cols>
  <sheetData>
    <row r="1" spans="1:7" s="3200" customFormat="1" ht="18.75">
      <c r="A1" s="3202" t="s">
        <v>129</v>
      </c>
    </row>
    <row r="3" spans="1:7" ht="14.25">
      <c r="A3" s="3203" t="s">
        <v>130</v>
      </c>
      <c r="B3" s="3154" t="s">
        <v>131</v>
      </c>
      <c r="G3" s="3204"/>
    </row>
    <row r="4" spans="1:7">
      <c r="G4" s="3204"/>
    </row>
    <row r="5" spans="1:7" ht="14.25">
      <c r="A5" s="3205" t="s">
        <v>132</v>
      </c>
      <c r="B5" s="3154" t="s">
        <v>133</v>
      </c>
      <c r="G5" s="3204"/>
    </row>
    <row r="6" spans="1:7">
      <c r="G6" s="3204"/>
    </row>
    <row r="7" spans="1:7" ht="14.25">
      <c r="A7" s="3206" t="s">
        <v>134</v>
      </c>
      <c r="B7" s="3154" t="s">
        <v>135</v>
      </c>
      <c r="G7" s="3204"/>
    </row>
    <row r="8" spans="1:7">
      <c r="G8" s="3204"/>
    </row>
    <row r="9" spans="1:7">
      <c r="A9" s="3207" t="s">
        <v>136</v>
      </c>
      <c r="B9" s="3154" t="s">
        <v>137</v>
      </c>
    </row>
    <row r="11" spans="1:7">
      <c r="A11" s="3208" t="s">
        <v>138</v>
      </c>
      <c r="B11" s="3209" t="s">
        <v>139</v>
      </c>
    </row>
    <row r="13" spans="1:7">
      <c r="A13" s="3210" t="s">
        <v>140</v>
      </c>
    </row>
    <row r="15" spans="1:7" ht="14.25">
      <c r="A15" s="3355" t="s">
        <v>141</v>
      </c>
      <c r="B15" s="3360" t="s">
        <v>142</v>
      </c>
      <c r="C15" s="3354"/>
    </row>
    <row r="16" spans="1:7" ht="14.25">
      <c r="A16" s="3356"/>
      <c r="B16" s="3360" t="s">
        <v>143</v>
      </c>
      <c r="C16" s="3354"/>
    </row>
    <row r="17" spans="1:3" ht="14.25">
      <c r="A17" s="3356"/>
      <c r="B17" s="3360" t="s">
        <v>144</v>
      </c>
      <c r="C17" s="3354"/>
    </row>
    <row r="18" spans="1:3" ht="14.25">
      <c r="A18" s="3357"/>
      <c r="B18" s="3353" t="s">
        <v>145</v>
      </c>
      <c r="C18" s="3354"/>
    </row>
    <row r="19" spans="1:3" ht="14.25">
      <c r="A19" s="3211" t="s">
        <v>146</v>
      </c>
      <c r="B19" s="3212"/>
      <c r="C19" s="3213"/>
    </row>
    <row r="20" spans="1:3" ht="14.25">
      <c r="A20" s="3358" t="s">
        <v>147</v>
      </c>
      <c r="B20" s="3353" t="s">
        <v>148</v>
      </c>
      <c r="C20" s="3354"/>
    </row>
    <row r="21" spans="1:3" ht="14.25">
      <c r="A21" s="3358"/>
      <c r="B21" s="3353" t="s">
        <v>149</v>
      </c>
      <c r="C21" s="3354"/>
    </row>
    <row r="22" spans="1:3" ht="14.25">
      <c r="A22" s="3358"/>
      <c r="B22" s="3353" t="s">
        <v>150</v>
      </c>
      <c r="C22" s="3354"/>
    </row>
    <row r="23" spans="1:3" ht="14.25">
      <c r="A23" s="3358"/>
      <c r="B23" s="3359" t="s">
        <v>151</v>
      </c>
      <c r="C23" s="3214" t="s">
        <v>152</v>
      </c>
    </row>
    <row r="24" spans="1:3" ht="14.25">
      <c r="A24" s="3358"/>
      <c r="B24" s="3359"/>
      <c r="C24" s="3214" t="s">
        <v>153</v>
      </c>
    </row>
    <row r="25" spans="1:3" ht="14.25">
      <c r="A25" s="3358"/>
      <c r="B25" s="3359"/>
      <c r="C25" s="3214" t="s">
        <v>154</v>
      </c>
    </row>
    <row r="26" spans="1:3" ht="14.25">
      <c r="A26" s="3358"/>
      <c r="B26" s="3359"/>
      <c r="C26" s="3214" t="s">
        <v>155</v>
      </c>
    </row>
    <row r="27" spans="1:3" ht="14.25">
      <c r="A27" s="3358"/>
      <c r="B27" s="3359"/>
      <c r="C27" s="3214" t="s">
        <v>156</v>
      </c>
    </row>
    <row r="28" spans="1:3" ht="14.25">
      <c r="A28" s="3358"/>
      <c r="B28" s="3359"/>
      <c r="C28" s="3214" t="s">
        <v>157</v>
      </c>
    </row>
    <row r="29" spans="1:3" ht="14.25">
      <c r="A29" s="3358"/>
      <c r="B29" s="3359"/>
      <c r="C29" s="3214" t="s">
        <v>158</v>
      </c>
    </row>
    <row r="30" spans="1:3" ht="14.25">
      <c r="A30" s="3358"/>
      <c r="B30" s="3359"/>
      <c r="C30" s="3214" t="s">
        <v>159</v>
      </c>
    </row>
    <row r="31" spans="1:3" ht="14.25">
      <c r="A31" s="3358"/>
      <c r="B31" s="3359"/>
      <c r="C31" s="3214" t="s">
        <v>160</v>
      </c>
    </row>
    <row r="32" spans="1:3">
      <c r="A32" s="321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70" customWidth="1"/>
    <col min="2" max="2" width="38.625" style="3170" customWidth="1"/>
    <col min="3" max="3" width="26" style="3170" customWidth="1"/>
    <col min="4" max="4" width="35" style="3170" hidden="1" customWidth="1"/>
    <col min="5" max="5" width="30.125" style="3170" customWidth="1"/>
    <col min="6" max="6" width="35.5" style="3170" customWidth="1"/>
    <col min="7" max="7" width="31" style="3170" customWidth="1"/>
    <col min="8" max="8" width="37.5" style="3170" hidden="1" customWidth="1"/>
    <col min="9" max="16384" width="22.625" style="3170"/>
  </cols>
  <sheetData>
    <row r="1" spans="1:8" ht="24" customHeight="1">
      <c r="A1" s="3171"/>
      <c r="B1" s="3171"/>
      <c r="C1" s="3171"/>
      <c r="D1" s="3171"/>
      <c r="E1" s="3171"/>
      <c r="F1" s="3171"/>
      <c r="G1" s="3171"/>
      <c r="H1" s="3171"/>
    </row>
    <row r="2" spans="1:8" ht="24" customHeight="1">
      <c r="A2" s="3172" t="s">
        <v>162</v>
      </c>
      <c r="B2" s="3173">
        <f ca="1">TODAY()</f>
        <v>44896</v>
      </c>
      <c r="C2" s="3174" t="s">
        <v>163</v>
      </c>
      <c r="D2" s="3174"/>
      <c r="E2" s="3174"/>
      <c r="F2" s="3171"/>
      <c r="G2" s="3171"/>
      <c r="H2" s="3171"/>
    </row>
    <row r="3" spans="1:8" ht="24" customHeight="1">
      <c r="A3" s="3175" t="s">
        <v>164</v>
      </c>
      <c r="B3" s="3176" t="s">
        <v>165</v>
      </c>
      <c r="C3" s="3176" t="s">
        <v>166</v>
      </c>
      <c r="D3" s="3177" t="s">
        <v>167</v>
      </c>
      <c r="E3" s="3178" t="s">
        <v>168</v>
      </c>
      <c r="F3" s="3179" t="s">
        <v>169</v>
      </c>
      <c r="G3" s="3176" t="s">
        <v>166</v>
      </c>
      <c r="H3" s="3177" t="s">
        <v>170</v>
      </c>
    </row>
    <row r="4" spans="1:8" ht="24" customHeight="1">
      <c r="A4" s="3179" t="s">
        <v>171</v>
      </c>
      <c r="B4" s="3179" t="str">
        <f ca="1">IF(C4&lt;B2,"已过期",1119970066)</f>
        <v>已过期</v>
      </c>
      <c r="C4" s="3180">
        <v>44876</v>
      </c>
      <c r="D4" s="3181" t="str">
        <f ca="1">A4&amp;"（注册号："&amp;B4&amp;"）"</f>
        <v>梁津（注册号：已过期）</v>
      </c>
      <c r="E4" s="3182" t="s">
        <v>171</v>
      </c>
      <c r="F4" s="3179">
        <f ca="1">IF(G4&lt;B2,"已过期",96010014)</f>
        <v>96010014</v>
      </c>
      <c r="G4" s="3183">
        <v>47118</v>
      </c>
      <c r="H4" s="3184" t="str">
        <f ca="1">E4&amp;"（注册号："&amp;F4&amp;"）"</f>
        <v>梁津（注册号：96010014）</v>
      </c>
    </row>
    <row r="5" spans="1:8" ht="24" customHeight="1">
      <c r="A5" s="3179" t="s">
        <v>172</v>
      </c>
      <c r="B5" s="3179" t="str">
        <f ca="1">IF(C5&lt;B2,"已过期",1119970111)</f>
        <v>已过期</v>
      </c>
      <c r="C5" s="3180">
        <v>44876</v>
      </c>
      <c r="D5" s="3181" t="str">
        <f t="shared" ref="D5:D14" ca="1" si="0">A5&amp;"（注册号："&amp;B5&amp;"）"</f>
        <v>叶凌（注册号：已过期）</v>
      </c>
      <c r="E5" s="3182" t="s">
        <v>172</v>
      </c>
      <c r="F5" s="3179">
        <f ca="1">IF(G5&lt;B2,"已过期",94010078)</f>
        <v>94010078</v>
      </c>
      <c r="G5" s="3183">
        <v>46387</v>
      </c>
      <c r="H5" s="3184" t="str">
        <f t="shared" ref="H5:H16" ca="1" si="1">E5&amp;"（注册号："&amp;F5&amp;"）"</f>
        <v>叶凌（注册号：94010078）</v>
      </c>
    </row>
    <row r="6" spans="1:8" ht="24" customHeight="1">
      <c r="A6" s="3179" t="s">
        <v>173</v>
      </c>
      <c r="B6" s="3179" t="str">
        <f ca="1">IF(C6&lt;B2,"已过期",1120050019)</f>
        <v>已过期</v>
      </c>
      <c r="C6" s="3180">
        <v>44395</v>
      </c>
      <c r="D6" s="3181" t="str">
        <f t="shared" ca="1" si="0"/>
        <v>王鹏（注册号：已过期）</v>
      </c>
      <c r="E6" s="3182" t="s">
        <v>173</v>
      </c>
      <c r="F6" s="3179">
        <f ca="1">IF(G6&lt;B2,"已过期",2002110030)</f>
        <v>2002110030</v>
      </c>
      <c r="G6" s="3183">
        <v>46387</v>
      </c>
      <c r="H6" s="3184" t="str">
        <f t="shared" ca="1" si="1"/>
        <v>王鹏（注册号：2002110030）</v>
      </c>
    </row>
    <row r="7" spans="1:8" ht="24" customHeight="1">
      <c r="A7" s="3179" t="s">
        <v>174</v>
      </c>
      <c r="B7" s="3179" t="str">
        <f ca="1">IF(C7&lt;B2,"已过期",1120000080)</f>
        <v>已过期</v>
      </c>
      <c r="C7" s="3180">
        <v>44876</v>
      </c>
      <c r="D7" s="3181" t="str">
        <f t="shared" ca="1" si="0"/>
        <v>欧红伟（注册号：已过期）</v>
      </c>
      <c r="E7" s="3182" t="s">
        <v>174</v>
      </c>
      <c r="F7" s="3179">
        <f ca="1">IF(G7&lt;B2,"已过期",2000110082)</f>
        <v>2000110082</v>
      </c>
      <c r="G7" s="3183">
        <v>46387</v>
      </c>
      <c r="H7" s="3184" t="str">
        <f t="shared" ca="1" si="1"/>
        <v>欧红伟（注册号：2000110082）</v>
      </c>
    </row>
    <row r="8" spans="1:8" ht="24" customHeight="1">
      <c r="A8" s="3179" t="s">
        <v>175</v>
      </c>
      <c r="B8" s="3179">
        <f ca="1">IF(C8&lt;B2,"已过期",1419970001)</f>
        <v>1419970001</v>
      </c>
      <c r="C8" s="3180">
        <v>44899</v>
      </c>
      <c r="D8" s="3181" t="str">
        <f t="shared" ca="1" si="0"/>
        <v>吴薇（注册号：1419970001）</v>
      </c>
      <c r="E8" s="3182" t="s">
        <v>175</v>
      </c>
      <c r="F8" s="3179">
        <f ca="1">IF(G8&lt;B2,"已过期",2002110125)</f>
        <v>2002110125</v>
      </c>
      <c r="G8" s="3183">
        <v>47118</v>
      </c>
      <c r="H8" s="3184" t="str">
        <f t="shared" ca="1" si="1"/>
        <v>吴薇（注册号：2002110125）</v>
      </c>
    </row>
    <row r="9" spans="1:8" ht="24" customHeight="1">
      <c r="A9" s="3179" t="s">
        <v>176</v>
      </c>
      <c r="B9" s="3179" t="str">
        <f ca="1">IF(C9&lt;B2,"已过期",1120060040)</f>
        <v>已过期</v>
      </c>
      <c r="C9" s="3185">
        <v>44554</v>
      </c>
      <c r="D9" s="3181" t="str">
        <f t="shared" ca="1" si="0"/>
        <v>陈颖（注册号：已过期）</v>
      </c>
      <c r="E9" s="3182" t="s">
        <v>176</v>
      </c>
      <c r="F9" s="3179">
        <f ca="1">IF(G9&lt;B2,"已过期",2004110096)</f>
        <v>2004110096</v>
      </c>
      <c r="G9" s="3183">
        <v>47118</v>
      </c>
      <c r="H9" s="3184" t="str">
        <f t="shared" ca="1" si="1"/>
        <v>陈颖（注册号：2004110096）</v>
      </c>
    </row>
    <row r="10" spans="1:8" ht="24" customHeight="1">
      <c r="A10" s="3179" t="s">
        <v>177</v>
      </c>
      <c r="B10" s="3179" t="str">
        <f ca="1">IF(C10&lt;B2,"已过期",1120100036)</f>
        <v>已过期</v>
      </c>
      <c r="C10" s="3185">
        <v>44675</v>
      </c>
      <c r="D10" s="3181" t="str">
        <f t="shared" ca="1" si="0"/>
        <v>崔锴（注册号：已过期）</v>
      </c>
      <c r="E10" s="3182" t="s">
        <v>177</v>
      </c>
      <c r="F10" s="3179">
        <f ca="1">IF(G10&lt;B2,"已过期",2010110070)</f>
        <v>2010110070</v>
      </c>
      <c r="G10" s="3183">
        <v>47907</v>
      </c>
      <c r="H10" s="3184" t="str">
        <f t="shared" ca="1" si="1"/>
        <v>崔锴（注册号：2010110070）</v>
      </c>
    </row>
    <row r="11" spans="1:8" ht="24" customHeight="1">
      <c r="A11" s="3179" t="s">
        <v>178</v>
      </c>
      <c r="B11" s="3179" t="str">
        <f ca="1">IF(C11&lt;B2,"已过期",1120070131)</f>
        <v>已过期</v>
      </c>
      <c r="C11" s="3180">
        <v>44849</v>
      </c>
      <c r="D11" s="3181" t="str">
        <f t="shared" ca="1" si="0"/>
        <v>郑燚（注册号：已过期）</v>
      </c>
      <c r="E11" s="3182" t="s">
        <v>178</v>
      </c>
      <c r="F11" s="3179">
        <f ca="1">IF(G11&lt;B2,"已过期",2014110011)</f>
        <v>2014110011</v>
      </c>
      <c r="G11" s="3183">
        <v>49302</v>
      </c>
      <c r="H11" s="3184" t="str">
        <f t="shared" ca="1" si="1"/>
        <v>郑燚（注册号：2014110011）</v>
      </c>
    </row>
    <row r="12" spans="1:8" ht="24" customHeight="1">
      <c r="A12" s="3179" t="s">
        <v>179</v>
      </c>
      <c r="B12" s="3179" t="str">
        <f ca="1">IF(C12&lt;B2,"已过期",1120040230)</f>
        <v>已过期</v>
      </c>
      <c r="C12" s="3185">
        <v>44864</v>
      </c>
      <c r="D12" s="3181" t="str">
        <f t="shared" ca="1" si="0"/>
        <v>苏海（注册号：已过期）</v>
      </c>
      <c r="E12" s="3182" t="s">
        <v>179</v>
      </c>
      <c r="F12" s="3179">
        <f ca="1">IF(G12&lt;B2,"已过期",98030020)</f>
        <v>98030020</v>
      </c>
      <c r="G12" s="3183">
        <v>47118</v>
      </c>
      <c r="H12" s="3184" t="str">
        <f t="shared" ca="1" si="1"/>
        <v>苏海（注册号：98030020）</v>
      </c>
    </row>
    <row r="13" spans="1:8" ht="24" customHeight="1">
      <c r="A13" s="3179" t="s">
        <v>180</v>
      </c>
      <c r="B13" s="3179" t="str">
        <f ca="1">IF(C13&lt;B2,"已过期",1120020033)</f>
        <v>已过期</v>
      </c>
      <c r="C13" s="3180">
        <v>44339</v>
      </c>
      <c r="D13" s="3181" t="str">
        <f t="shared" ca="1" si="0"/>
        <v>刘敬东（注册号：已过期）</v>
      </c>
      <c r="E13" s="3182" t="s">
        <v>180</v>
      </c>
      <c r="F13" s="3179">
        <f ca="1">IF(G13&lt;B2,"已过期",2000110137)</f>
        <v>2000110137</v>
      </c>
      <c r="G13" s="3183">
        <v>46387</v>
      </c>
      <c r="H13" s="3184" t="str">
        <f t="shared" ca="1" si="1"/>
        <v>刘敬东（注册号：2000110137）</v>
      </c>
    </row>
    <row r="14" spans="1:8" ht="24" customHeight="1">
      <c r="A14" s="3179" t="s">
        <v>181</v>
      </c>
      <c r="B14" s="3179">
        <f ca="1">IF(C14&lt;B2,"已过期",1119980106)</f>
        <v>1119980106</v>
      </c>
      <c r="C14" s="3185">
        <v>44969</v>
      </c>
      <c r="D14" s="3181" t="str">
        <f t="shared" ca="1" si="0"/>
        <v>刘俊财（注册号：1119980106）</v>
      </c>
      <c r="E14" s="3182" t="s">
        <v>181</v>
      </c>
      <c r="F14" s="3179">
        <f ca="1">IF(G14&lt;B2,"已过期",96010063)</f>
        <v>96010063</v>
      </c>
      <c r="G14" s="3183">
        <v>47483</v>
      </c>
      <c r="H14" s="3184" t="str">
        <f t="shared" ca="1" si="1"/>
        <v>刘俊财（注册号：96010063）</v>
      </c>
    </row>
    <row r="15" spans="1:8" ht="24" customHeight="1">
      <c r="A15" s="3179"/>
      <c r="B15" s="3179"/>
      <c r="C15" s="3185"/>
      <c r="D15" s="3181" t="str">
        <f t="shared" ref="D15:D16" si="2">A15&amp;"（注册号："&amp;B15&amp;"）"</f>
        <v>（注册号：）</v>
      </c>
      <c r="E15" s="3182" t="s">
        <v>182</v>
      </c>
      <c r="F15" s="3179">
        <f ca="1">IF(G15&lt;B2,"已过期",2011110090)</f>
        <v>2011110090</v>
      </c>
      <c r="G15" s="3183">
        <v>48302</v>
      </c>
      <c r="H15" s="3184" t="str">
        <f t="shared" ref="H15" ca="1" si="3">E15&amp;"（注册号："&amp;F15&amp;"）"</f>
        <v>赵雯（注册号：2011110090）</v>
      </c>
    </row>
    <row r="16" spans="1:8" s="3168" customFormat="1" ht="24" customHeight="1">
      <c r="A16" s="3179"/>
      <c r="B16" s="3179"/>
      <c r="C16" s="3179"/>
      <c r="D16" s="3181" t="str">
        <f t="shared" si="2"/>
        <v>（注册号：）</v>
      </c>
      <c r="E16" s="3182"/>
      <c r="F16" s="3179"/>
      <c r="G16" s="3179"/>
      <c r="H16" s="3186" t="str">
        <f t="shared" si="1"/>
        <v>（注册号：）</v>
      </c>
    </row>
    <row r="17" spans="1:8" ht="24" customHeight="1">
      <c r="A17" s="3361" t="s">
        <v>183</v>
      </c>
      <c r="B17" s="3361"/>
      <c r="C17" s="3361"/>
      <c r="D17" s="3361"/>
      <c r="E17" s="3361"/>
      <c r="F17" s="3361"/>
      <c r="G17" s="3361"/>
      <c r="H17" s="3361"/>
    </row>
    <row r="18" spans="1:8" ht="24" customHeight="1">
      <c r="A18" s="3362" t="s">
        <v>184</v>
      </c>
      <c r="B18" s="3362"/>
      <c r="C18" s="3362"/>
      <c r="D18" s="3177"/>
      <c r="E18" s="3363" t="s">
        <v>185</v>
      </c>
      <c r="F18" s="3362"/>
      <c r="G18" s="3362"/>
    </row>
    <row r="19" spans="1:8" s="3169" customFormat="1" ht="24" customHeight="1">
      <c r="A19" s="3187" t="s">
        <v>186</v>
      </c>
      <c r="B19" s="3176" t="s">
        <v>187</v>
      </c>
      <c r="C19" s="3176" t="s">
        <v>166</v>
      </c>
      <c r="D19" s="3177"/>
      <c r="E19" s="3182" t="s">
        <v>186</v>
      </c>
      <c r="F19" s="3176" t="s">
        <v>187</v>
      </c>
      <c r="G19" s="3176" t="s">
        <v>166</v>
      </c>
    </row>
    <row r="20" spans="1:8" s="3169" customFormat="1" ht="24" customHeight="1">
      <c r="A20" s="3188" t="s">
        <v>188</v>
      </c>
      <c r="B20" s="3188" t="s">
        <v>189</v>
      </c>
      <c r="C20" s="3183">
        <v>44820</v>
      </c>
      <c r="D20" s="3189"/>
      <c r="E20" s="3190" t="s">
        <v>190</v>
      </c>
      <c r="F20" s="3188" t="s">
        <v>191</v>
      </c>
      <c r="G20" s="3191">
        <v>44377</v>
      </c>
    </row>
    <row r="21" spans="1:8" s="3169" customFormat="1" ht="24" customHeight="1">
      <c r="A21" s="3188"/>
      <c r="B21" s="3188"/>
      <c r="C21" s="3192"/>
      <c r="D21" s="3193"/>
      <c r="E21" s="3190" t="s">
        <v>192</v>
      </c>
      <c r="F21" s="3194" t="s">
        <v>193</v>
      </c>
      <c r="G21" s="3195">
        <v>44012</v>
      </c>
    </row>
    <row r="22" spans="1:8" ht="24" customHeight="1">
      <c r="C22" s="3196"/>
      <c r="D22" s="3196"/>
      <c r="E22" s="3197"/>
      <c r="F22" s="3198"/>
      <c r="G22" s="3199"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25" sqref="B25"/>
    </sheetView>
  </sheetViews>
  <sheetFormatPr defaultColWidth="9" defaultRowHeight="14.25"/>
  <cols>
    <col min="1" max="1" width="14" style="3153" customWidth="1"/>
    <col min="2" max="2" width="22.5" style="3154" customWidth="1"/>
    <col min="3" max="3" width="13" style="2707" hidden="1" customWidth="1"/>
    <col min="4" max="4" width="5.75" style="3155" hidden="1" customWidth="1"/>
    <col min="5" max="5" width="7.125" style="3155" hidden="1" customWidth="1"/>
    <col min="6" max="6" width="10.625" style="3155" hidden="1" customWidth="1"/>
    <col min="7" max="7" width="7.5" style="3155" hidden="1" customWidth="1"/>
    <col min="8" max="8" width="9" style="2707" hidden="1" customWidth="1"/>
    <col min="9" max="9" width="11.625" style="2707" hidden="1" customWidth="1"/>
    <col min="10" max="10" width="9" style="2707" hidden="1" customWidth="1"/>
    <col min="11" max="19" width="9" style="3155" hidden="1" customWidth="1"/>
    <col min="20" max="24" width="9" style="2707" hidden="1" customWidth="1"/>
    <col min="25" max="25" width="9" style="2707" customWidth="1"/>
    <col min="26" max="26" width="15.875" style="3154" customWidth="1"/>
    <col min="27" max="16384" width="9" style="3154"/>
  </cols>
  <sheetData>
    <row r="1" spans="1:25" s="3152" customFormat="1" ht="27">
      <c r="A1" s="3156" t="s">
        <v>195</v>
      </c>
      <c r="B1" s="3157" t="s">
        <v>196</v>
      </c>
      <c r="C1" s="3158" t="s">
        <v>197</v>
      </c>
      <c r="D1" s="3159" t="s">
        <v>198</v>
      </c>
      <c r="E1" s="3159" t="s">
        <v>199</v>
      </c>
      <c r="F1" s="3159" t="s">
        <v>200</v>
      </c>
      <c r="G1" s="3159" t="s">
        <v>201</v>
      </c>
      <c r="H1" s="3159" t="s">
        <v>202</v>
      </c>
      <c r="I1" s="3159" t="s">
        <v>203</v>
      </c>
      <c r="J1" s="3159" t="s">
        <v>204</v>
      </c>
      <c r="K1" s="3159" t="s">
        <v>205</v>
      </c>
      <c r="L1" s="3159" t="s">
        <v>206</v>
      </c>
      <c r="M1" s="3159" t="s">
        <v>207</v>
      </c>
      <c r="N1" s="3159" t="s">
        <v>208</v>
      </c>
      <c r="O1" s="3159" t="s">
        <v>209</v>
      </c>
      <c r="P1" s="3166" t="s">
        <v>210</v>
      </c>
      <c r="Q1" s="3166" t="s">
        <v>211</v>
      </c>
      <c r="R1" s="3166" t="s">
        <v>212</v>
      </c>
      <c r="S1" s="3159" t="s">
        <v>213</v>
      </c>
      <c r="T1" s="3167" t="s">
        <v>214</v>
      </c>
      <c r="U1" s="3159" t="s">
        <v>215</v>
      </c>
      <c r="V1" s="3159" t="s">
        <v>216</v>
      </c>
      <c r="W1" s="3159" t="s">
        <v>217</v>
      </c>
      <c r="X1" s="3159" t="s">
        <v>218</v>
      </c>
      <c r="Y1" s="3159" t="s">
        <v>219</v>
      </c>
    </row>
    <row r="2" spans="1:25">
      <c r="A2" s="2438" t="s">
        <v>121</v>
      </c>
      <c r="B2" s="2438" t="s">
        <v>220</v>
      </c>
      <c r="C2" s="3160" t="s">
        <v>221</v>
      </c>
      <c r="D2" s="3155" t="s">
        <v>222</v>
      </c>
      <c r="E2" s="3155" t="s">
        <v>223</v>
      </c>
      <c r="F2" s="3155" t="s">
        <v>152</v>
      </c>
      <c r="G2" s="3155">
        <v>40</v>
      </c>
      <c r="H2" s="3155" t="s">
        <v>152</v>
      </c>
      <c r="I2" s="3155" t="s">
        <v>224</v>
      </c>
      <c r="J2" s="3155" t="s">
        <v>225</v>
      </c>
      <c r="K2" s="3155" t="s">
        <v>226</v>
      </c>
      <c r="L2" s="3155" t="s">
        <v>226</v>
      </c>
      <c r="M2" s="3155" t="s">
        <v>226</v>
      </c>
      <c r="N2" s="3155" t="s">
        <v>226</v>
      </c>
      <c r="O2" s="3155" t="s">
        <v>226</v>
      </c>
      <c r="P2" s="3155" t="s">
        <v>226</v>
      </c>
      <c r="Q2" s="3155" t="s">
        <v>226</v>
      </c>
      <c r="R2" s="3155" t="s">
        <v>227</v>
      </c>
      <c r="S2" s="3155" t="s">
        <v>226</v>
      </c>
      <c r="T2" s="3155" t="s">
        <v>228</v>
      </c>
      <c r="U2" s="3155" t="s">
        <v>226</v>
      </c>
      <c r="V2" s="3155" t="s">
        <v>229</v>
      </c>
      <c r="W2" s="3155" t="s">
        <v>226</v>
      </c>
      <c r="X2" s="3155" t="s">
        <v>230</v>
      </c>
      <c r="Y2" s="3155" t="s">
        <v>231</v>
      </c>
    </row>
    <row r="3" spans="1:25">
      <c r="A3" s="2438" t="s">
        <v>232</v>
      </c>
      <c r="B3" s="2469" t="s">
        <v>233</v>
      </c>
      <c r="C3" s="316" t="s">
        <v>234</v>
      </c>
      <c r="D3" s="3155" t="s">
        <v>235</v>
      </c>
      <c r="E3" s="3155" t="s">
        <v>121</v>
      </c>
      <c r="F3" s="3155" t="s">
        <v>153</v>
      </c>
      <c r="G3" s="3155">
        <v>50</v>
      </c>
      <c r="H3" s="3155" t="s">
        <v>153</v>
      </c>
      <c r="I3" s="3155" t="s">
        <v>236</v>
      </c>
      <c r="J3" s="3155" t="s">
        <v>237</v>
      </c>
      <c r="K3" s="3155" t="s">
        <v>238</v>
      </c>
      <c r="L3" s="3155" t="s">
        <v>238</v>
      </c>
      <c r="M3" s="3155" t="s">
        <v>238</v>
      </c>
      <c r="N3" s="3155" t="s">
        <v>238</v>
      </c>
      <c r="O3" s="3155" t="s">
        <v>238</v>
      </c>
      <c r="P3" s="3155" t="s">
        <v>238</v>
      </c>
      <c r="Q3" s="3155" t="s">
        <v>238</v>
      </c>
      <c r="R3" s="3155" t="s">
        <v>239</v>
      </c>
      <c r="S3" s="3155" t="s">
        <v>238</v>
      </c>
      <c r="T3" s="3155" t="s">
        <v>240</v>
      </c>
      <c r="U3" s="3155" t="s">
        <v>238</v>
      </c>
      <c r="V3" s="3155" t="s">
        <v>241</v>
      </c>
      <c r="W3" s="3155" t="s">
        <v>238</v>
      </c>
      <c r="X3" s="3155" t="s">
        <v>242</v>
      </c>
      <c r="Y3" s="3155" t="s">
        <v>243</v>
      </c>
    </row>
    <row r="4" spans="1:25">
      <c r="A4" s="2438" t="s">
        <v>244</v>
      </c>
      <c r="B4" s="2469" t="s">
        <v>245</v>
      </c>
      <c r="C4" s="3160" t="s">
        <v>246</v>
      </c>
      <c r="D4" s="3155" t="s">
        <v>121</v>
      </c>
      <c r="E4" s="3155" t="s">
        <v>247</v>
      </c>
      <c r="F4" s="3155" t="s">
        <v>154</v>
      </c>
      <c r="G4" s="3155">
        <v>70</v>
      </c>
      <c r="H4" s="3155" t="s">
        <v>154</v>
      </c>
      <c r="I4" s="3155" t="s">
        <v>248</v>
      </c>
      <c r="K4" s="3155" t="s">
        <v>249</v>
      </c>
      <c r="L4" s="3155" t="s">
        <v>249</v>
      </c>
      <c r="M4" s="3155" t="s">
        <v>249</v>
      </c>
      <c r="N4" s="3155" t="s">
        <v>249</v>
      </c>
      <c r="O4" s="3155" t="s">
        <v>249</v>
      </c>
      <c r="P4" s="3155" t="s">
        <v>249</v>
      </c>
      <c r="Q4" s="3155" t="s">
        <v>249</v>
      </c>
      <c r="R4" s="3155" t="s">
        <v>250</v>
      </c>
      <c r="S4" s="3155" t="s">
        <v>249</v>
      </c>
      <c r="T4" s="3155" t="s">
        <v>251</v>
      </c>
      <c r="U4" s="3155" t="s">
        <v>249</v>
      </c>
      <c r="W4" s="3155" t="s">
        <v>249</v>
      </c>
      <c r="X4" s="3155" t="s">
        <v>252</v>
      </c>
      <c r="Y4" s="3155" t="s">
        <v>253</v>
      </c>
    </row>
    <row r="5" spans="1:25">
      <c r="A5" s="2438" t="s">
        <v>254</v>
      </c>
      <c r="B5" s="2438" t="s">
        <v>255</v>
      </c>
      <c r="C5" s="3160" t="s">
        <v>256</v>
      </c>
      <c r="F5" s="3155" t="s">
        <v>155</v>
      </c>
      <c r="H5" s="3155" t="s">
        <v>257</v>
      </c>
      <c r="I5" s="3155" t="s">
        <v>258</v>
      </c>
      <c r="K5" s="3155" t="s">
        <v>259</v>
      </c>
      <c r="L5" s="3155" t="s">
        <v>259</v>
      </c>
      <c r="M5" s="3155" t="s">
        <v>259</v>
      </c>
      <c r="N5" s="3155" t="s">
        <v>259</v>
      </c>
      <c r="O5" s="3155" t="s">
        <v>259</v>
      </c>
      <c r="P5" s="3155" t="s">
        <v>259</v>
      </c>
      <c r="Q5" s="3155" t="s">
        <v>259</v>
      </c>
      <c r="R5" s="3155" t="s">
        <v>260</v>
      </c>
      <c r="S5" s="3155" t="s">
        <v>259</v>
      </c>
      <c r="T5" s="3155" t="s">
        <v>261</v>
      </c>
      <c r="U5" s="3155" t="s">
        <v>259</v>
      </c>
      <c r="W5" s="3155" t="s">
        <v>259</v>
      </c>
      <c r="X5" s="3164"/>
    </row>
    <row r="6" spans="1:25">
      <c r="A6" s="2438" t="s">
        <v>262</v>
      </c>
      <c r="B6" s="2438" t="s">
        <v>263</v>
      </c>
      <c r="C6" s="3161" t="s">
        <v>264</v>
      </c>
      <c r="F6" s="3155" t="s">
        <v>257</v>
      </c>
      <c r="H6" s="3155" t="s">
        <v>157</v>
      </c>
      <c r="I6" s="3155" t="s">
        <v>265</v>
      </c>
      <c r="K6" s="3155" t="s">
        <v>266</v>
      </c>
      <c r="L6" s="3155" t="s">
        <v>266</v>
      </c>
      <c r="M6" s="3155" t="s">
        <v>266</v>
      </c>
      <c r="N6" s="3155" t="s">
        <v>266</v>
      </c>
      <c r="O6" s="3155" t="s">
        <v>266</v>
      </c>
      <c r="P6" s="3155" t="s">
        <v>266</v>
      </c>
      <c r="Q6" s="3155" t="s">
        <v>266</v>
      </c>
      <c r="R6" s="3155" t="s">
        <v>267</v>
      </c>
      <c r="S6" s="3155" t="s">
        <v>266</v>
      </c>
      <c r="T6" s="3155"/>
      <c r="U6" s="3155" t="s">
        <v>266</v>
      </c>
      <c r="W6" s="3155" t="s">
        <v>266</v>
      </c>
      <c r="X6" s="3164"/>
    </row>
    <row r="7" spans="1:25">
      <c r="A7" s="2438" t="s">
        <v>268</v>
      </c>
      <c r="B7" s="2469" t="s">
        <v>269</v>
      </c>
      <c r="C7" s="3160" t="s">
        <v>270</v>
      </c>
      <c r="F7" s="3155" t="s">
        <v>271</v>
      </c>
      <c r="H7" s="3155" t="s">
        <v>155</v>
      </c>
      <c r="I7" s="3155" t="s">
        <v>272</v>
      </c>
      <c r="X7" s="3164"/>
    </row>
    <row r="8" spans="1:25">
      <c r="A8" s="2438" t="s">
        <v>273</v>
      </c>
      <c r="B8" s="2469" t="s">
        <v>274</v>
      </c>
      <c r="C8" s="3160" t="s">
        <v>275</v>
      </c>
      <c r="F8" s="3155" t="s">
        <v>276</v>
      </c>
      <c r="H8" s="3155" t="s">
        <v>277</v>
      </c>
      <c r="I8" s="3155" t="s">
        <v>278</v>
      </c>
      <c r="X8" s="3164"/>
    </row>
    <row r="9" spans="1:25">
      <c r="A9" s="2438" t="s">
        <v>279</v>
      </c>
      <c r="B9" s="2438" t="s">
        <v>280</v>
      </c>
      <c r="C9" s="3160" t="s">
        <v>281</v>
      </c>
      <c r="F9" s="3155" t="s">
        <v>157</v>
      </c>
      <c r="H9" s="3155" t="s">
        <v>282</v>
      </c>
    </row>
    <row r="10" spans="1:25">
      <c r="A10" s="2438" t="s">
        <v>283</v>
      </c>
      <c r="B10" s="2438" t="s">
        <v>284</v>
      </c>
      <c r="C10" s="3160" t="s">
        <v>285</v>
      </c>
      <c r="F10" s="3155" t="s">
        <v>121</v>
      </c>
    </row>
    <row r="11" spans="1:25">
      <c r="A11" s="2438" t="s">
        <v>286</v>
      </c>
      <c r="B11" s="2438" t="s">
        <v>287</v>
      </c>
      <c r="C11" s="3160" t="s">
        <v>288</v>
      </c>
    </row>
    <row r="12" spans="1:25">
      <c r="A12" s="2438" t="s">
        <v>289</v>
      </c>
      <c r="B12" s="2438" t="s">
        <v>290</v>
      </c>
      <c r="C12" s="3160" t="s">
        <v>291</v>
      </c>
    </row>
    <row r="13" spans="1:25">
      <c r="A13" s="2438" t="s">
        <v>292</v>
      </c>
      <c r="B13" s="2438" t="s">
        <v>293</v>
      </c>
      <c r="C13" s="3160" t="s">
        <v>294</v>
      </c>
    </row>
    <row r="14" spans="1:25">
      <c r="A14" s="2438" t="s">
        <v>295</v>
      </c>
      <c r="B14" s="2438" t="s">
        <v>296</v>
      </c>
      <c r="C14" s="3160"/>
    </row>
    <row r="15" spans="1:25">
      <c r="A15" s="2438" t="s">
        <v>297</v>
      </c>
      <c r="B15" s="2438" t="s">
        <v>298</v>
      </c>
      <c r="C15" s="3160"/>
    </row>
    <row r="16" spans="1:25">
      <c r="A16" s="2438" t="s">
        <v>299</v>
      </c>
      <c r="B16" s="2438" t="s">
        <v>300</v>
      </c>
      <c r="C16" s="3160"/>
    </row>
    <row r="17" spans="1:3">
      <c r="A17" s="2438" t="s">
        <v>301</v>
      </c>
      <c r="B17" s="2438" t="s">
        <v>302</v>
      </c>
      <c r="C17" s="3160"/>
    </row>
    <row r="18" spans="1:3">
      <c r="A18" s="2438" t="s">
        <v>303</v>
      </c>
      <c r="B18" s="2438" t="s">
        <v>304</v>
      </c>
      <c r="C18" s="3160"/>
    </row>
    <row r="19" spans="1:3">
      <c r="A19" s="2438" t="s">
        <v>305</v>
      </c>
      <c r="B19" s="2438" t="s">
        <v>306</v>
      </c>
      <c r="C19" s="3160"/>
    </row>
    <row r="20" spans="1:3">
      <c r="A20" s="2438" t="s">
        <v>307</v>
      </c>
      <c r="B20" s="2438" t="s">
        <v>308</v>
      </c>
      <c r="C20" s="3160"/>
    </row>
    <row r="21" spans="1:3">
      <c r="A21" s="2438" t="s">
        <v>257</v>
      </c>
      <c r="B21" s="2438" t="s">
        <v>309</v>
      </c>
      <c r="C21" s="3160"/>
    </row>
    <row r="22" spans="1:3">
      <c r="A22" s="2438" t="s">
        <v>310</v>
      </c>
      <c r="B22" s="2438" t="s">
        <v>309</v>
      </c>
      <c r="C22" s="3160"/>
    </row>
    <row r="23" spans="1:3">
      <c r="A23" s="2438" t="s">
        <v>311</v>
      </c>
      <c r="B23" s="2438" t="s">
        <v>309</v>
      </c>
      <c r="C23" s="3160"/>
    </row>
    <row r="24" spans="1:3">
      <c r="A24" s="2438" t="s">
        <v>312</v>
      </c>
      <c r="B24" s="2438" t="s">
        <v>309</v>
      </c>
      <c r="C24" s="3160"/>
    </row>
    <row r="25" spans="1:3">
      <c r="A25" s="2438" t="s">
        <v>313</v>
      </c>
      <c r="B25" s="2438" t="s">
        <v>309</v>
      </c>
      <c r="C25" s="3160"/>
    </row>
    <row r="26" spans="1:3">
      <c r="A26" s="2438" t="s">
        <v>314</v>
      </c>
      <c r="B26" s="2438" t="s">
        <v>309</v>
      </c>
      <c r="C26" s="3160"/>
    </row>
    <row r="27" spans="1:3">
      <c r="A27" s="2438" t="s">
        <v>309</v>
      </c>
      <c r="B27" s="2438" t="s">
        <v>309</v>
      </c>
      <c r="C27" s="3160"/>
    </row>
    <row r="28" spans="1:3">
      <c r="A28" s="2438" t="s">
        <v>309</v>
      </c>
      <c r="B28" s="2438" t="s">
        <v>309</v>
      </c>
      <c r="C28" s="3160"/>
    </row>
    <row r="29" spans="1:3">
      <c r="A29" s="2438" t="s">
        <v>309</v>
      </c>
      <c r="B29" s="2438" t="s">
        <v>309</v>
      </c>
      <c r="C29" s="3160"/>
    </row>
    <row r="30" spans="1:3">
      <c r="A30" s="2438" t="s">
        <v>309</v>
      </c>
      <c r="B30" s="2438" t="s">
        <v>309</v>
      </c>
      <c r="C30" s="3160"/>
    </row>
    <row r="31" spans="1:3">
      <c r="A31" s="2438" t="s">
        <v>309</v>
      </c>
      <c r="B31" s="2438" t="s">
        <v>309</v>
      </c>
      <c r="C31" s="3160"/>
    </row>
    <row r="32" spans="1:3">
      <c r="A32" s="2438" t="s">
        <v>309</v>
      </c>
      <c r="B32" s="2438" t="s">
        <v>309</v>
      </c>
      <c r="C32" s="3160"/>
    </row>
    <row r="33" spans="1:3">
      <c r="A33" s="2438" t="s">
        <v>309</v>
      </c>
      <c r="B33" s="2438" t="s">
        <v>309</v>
      </c>
      <c r="C33" s="3160"/>
    </row>
    <row r="34" spans="1:3">
      <c r="A34" s="2438" t="s">
        <v>309</v>
      </c>
      <c r="B34" s="2438" t="s">
        <v>309</v>
      </c>
      <c r="C34" s="3160"/>
    </row>
    <row r="35" spans="1:3">
      <c r="A35" s="2438" t="s">
        <v>309</v>
      </c>
      <c r="B35" s="2438" t="s">
        <v>309</v>
      </c>
      <c r="C35" s="3160"/>
    </row>
    <row r="36" spans="1:3">
      <c r="A36" s="2438" t="s">
        <v>309</v>
      </c>
      <c r="B36" s="2438" t="s">
        <v>309</v>
      </c>
      <c r="C36" s="3160"/>
    </row>
    <row r="37" spans="1:3">
      <c r="A37" s="2438" t="s">
        <v>309</v>
      </c>
      <c r="B37" s="2438" t="s">
        <v>309</v>
      </c>
      <c r="C37" s="3160"/>
    </row>
    <row r="38" spans="1:3">
      <c r="A38" s="2438" t="s">
        <v>309</v>
      </c>
      <c r="B38" s="2438" t="s">
        <v>309</v>
      </c>
      <c r="C38" s="3160"/>
    </row>
    <row r="39" spans="1:3">
      <c r="A39" s="2438" t="s">
        <v>309</v>
      </c>
      <c r="B39" s="2438" t="s">
        <v>309</v>
      </c>
      <c r="C39" s="3160"/>
    </row>
    <row r="40" spans="1:3">
      <c r="A40" s="2438" t="s">
        <v>309</v>
      </c>
      <c r="B40" s="2438" t="s">
        <v>309</v>
      </c>
      <c r="C40" s="3160"/>
    </row>
    <row r="41" spans="1:3">
      <c r="A41" s="2438" t="s">
        <v>309</v>
      </c>
      <c r="B41" s="2438" t="s">
        <v>309</v>
      </c>
      <c r="C41" s="3160"/>
    </row>
    <row r="42" spans="1:3">
      <c r="A42" s="2438" t="s">
        <v>309</v>
      </c>
      <c r="B42" s="2438" t="s">
        <v>309</v>
      </c>
      <c r="C42" s="3160"/>
    </row>
    <row r="43" spans="1:3">
      <c r="A43" s="2438" t="s">
        <v>309</v>
      </c>
      <c r="B43" s="2438" t="s">
        <v>309</v>
      </c>
      <c r="C43" s="3160"/>
    </row>
    <row r="44" spans="1:3">
      <c r="A44" s="2438" t="s">
        <v>309</v>
      </c>
      <c r="B44" s="2438" t="s">
        <v>309</v>
      </c>
      <c r="C44" s="3160"/>
    </row>
    <row r="45" spans="1:3">
      <c r="A45" s="2438" t="s">
        <v>309</v>
      </c>
      <c r="B45" s="2438" t="s">
        <v>309</v>
      </c>
      <c r="C45" s="3160"/>
    </row>
    <row r="46" spans="1:3">
      <c r="A46" s="2438" t="s">
        <v>309</v>
      </c>
      <c r="B46" s="2438" t="s">
        <v>309</v>
      </c>
      <c r="C46" s="3160"/>
    </row>
    <row r="47" spans="1:3">
      <c r="A47" s="2438" t="s">
        <v>309</v>
      </c>
      <c r="B47" s="2438" t="s">
        <v>309</v>
      </c>
      <c r="C47" s="3160"/>
    </row>
    <row r="48" spans="1:3">
      <c r="A48" s="2438" t="s">
        <v>309</v>
      </c>
      <c r="B48" s="2438" t="s">
        <v>309</v>
      </c>
      <c r="C48" s="3160"/>
    </row>
    <row r="49" spans="1:4">
      <c r="A49" s="2438" t="s">
        <v>309</v>
      </c>
      <c r="B49" s="2438" t="s">
        <v>309</v>
      </c>
      <c r="C49" s="3160"/>
    </row>
    <row r="50" spans="1:4">
      <c r="A50" s="2438" t="s">
        <v>309</v>
      </c>
      <c r="B50" s="2438" t="s">
        <v>309</v>
      </c>
      <c r="C50" s="3160"/>
    </row>
    <row r="51" spans="1:4">
      <c r="A51" s="3162" t="s">
        <v>315</v>
      </c>
      <c r="B51" s="27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62" t="s">
        <v>317</v>
      </c>
      <c r="B52" s="3162" t="s">
        <v>318</v>
      </c>
      <c r="C52" s="2707" t="s">
        <v>319</v>
      </c>
      <c r="D52" s="2707" t="s">
        <v>320</v>
      </c>
    </row>
    <row r="53" spans="1:4" ht="14.25" customHeight="1">
      <c r="A53" s="3364" t="s">
        <v>321</v>
      </c>
      <c r="B53" s="2707" t="s">
        <v>322</v>
      </c>
      <c r="C53" s="27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4">
      <c r="A54" s="3364"/>
      <c r="B54" s="2707" t="s">
        <v>323</v>
      </c>
      <c r="C54" s="2707" t="s">
        <v>324</v>
      </c>
    </row>
    <row r="55" spans="1:4">
      <c r="A55" s="3364"/>
      <c r="B55" s="2707" t="s">
        <v>325</v>
      </c>
      <c r="C55" s="2707" t="s">
        <v>326</v>
      </c>
    </row>
    <row r="56" spans="1:4">
      <c r="A56" s="3364"/>
      <c r="B56" s="2707" t="s">
        <v>327</v>
      </c>
      <c r="C56" s="2707" t="s">
        <v>328</v>
      </c>
    </row>
    <row r="57" spans="1:4">
      <c r="A57" s="3364"/>
      <c r="B57" s="2707" t="s">
        <v>329</v>
      </c>
      <c r="C57" s="2707" t="s">
        <v>330</v>
      </c>
    </row>
    <row r="58" spans="1:4">
      <c r="A58" s="3163"/>
      <c r="B58" s="3164"/>
    </row>
    <row r="59" spans="1:4">
      <c r="A59" s="3163"/>
      <c r="B59" s="3164"/>
    </row>
    <row r="60" spans="1:4">
      <c r="A60" s="3165"/>
      <c r="B60" s="2707"/>
    </row>
    <row r="61" spans="1:4">
      <c r="A61" s="3165"/>
      <c r="B61" s="2707"/>
    </row>
    <row r="62" spans="1:4">
      <c r="A62" s="3165"/>
      <c r="B62" s="2707"/>
    </row>
    <row r="63" spans="1:4">
      <c r="A63" s="3165"/>
      <c r="B63" s="2707"/>
    </row>
    <row r="64" spans="1:4">
      <c r="A64" s="3165"/>
      <c r="B64" s="2707"/>
    </row>
    <row r="65" spans="1:2">
      <c r="A65" s="3165"/>
      <c r="B65" s="2707"/>
    </row>
    <row r="66" spans="1:2">
      <c r="A66" s="3165"/>
      <c r="B66" s="2707"/>
    </row>
    <row r="67" spans="1:2">
      <c r="A67" s="3165"/>
      <c r="B67" s="2707"/>
    </row>
    <row r="68" spans="1:2">
      <c r="A68" s="3165"/>
      <c r="B68" s="2707"/>
    </row>
    <row r="69" spans="1:2">
      <c r="A69" s="3165"/>
      <c r="B69" s="2707"/>
    </row>
    <row r="70" spans="1:2">
      <c r="A70" s="3165"/>
      <c r="B70" s="2707"/>
    </row>
    <row r="71" spans="1:2">
      <c r="A71" s="3165"/>
      <c r="B71" s="2707"/>
    </row>
    <row r="72" spans="1:2">
      <c r="A72" s="3165"/>
      <c r="B72" s="2707"/>
    </row>
    <row r="73" spans="1:2">
      <c r="A73" s="3165"/>
      <c r="B73" s="2707"/>
    </row>
    <row r="74" spans="1:2">
      <c r="A74" s="3165"/>
      <c r="B74" s="2707"/>
    </row>
    <row r="75" spans="1:2">
      <c r="A75" s="3165"/>
      <c r="B75" s="2707"/>
    </row>
    <row r="76" spans="1:2">
      <c r="A76" s="3165"/>
      <c r="B76" s="2707"/>
    </row>
    <row r="77" spans="1:2">
      <c r="A77" s="3165"/>
      <c r="B77" s="2707"/>
    </row>
    <row r="78" spans="1:2">
      <c r="A78" s="3165"/>
      <c r="B78" s="2707"/>
    </row>
    <row r="79" spans="1:2">
      <c r="A79" s="3165"/>
      <c r="B79" s="2707"/>
    </row>
    <row r="80" spans="1:2">
      <c r="A80" s="3165"/>
      <c r="B80" s="2707"/>
    </row>
    <row r="81" spans="1:2">
      <c r="A81" s="3165"/>
      <c r="B81" s="2707"/>
    </row>
    <row r="82" spans="1:2">
      <c r="A82" s="3165"/>
      <c r="B82" s="2707"/>
    </row>
    <row r="83" spans="1:2">
      <c r="A83" s="3165"/>
      <c r="B83" s="2707"/>
    </row>
    <row r="84" spans="1:2">
      <c r="A84" s="3165"/>
      <c r="B84" s="2707"/>
    </row>
    <row r="85" spans="1:2">
      <c r="A85" s="3165"/>
      <c r="B85" s="2707"/>
    </row>
    <row r="86" spans="1:2">
      <c r="A86" s="3165"/>
      <c r="B86" s="2707"/>
    </row>
    <row r="87" spans="1:2">
      <c r="A87" s="3165"/>
      <c r="B87" s="2707"/>
    </row>
    <row r="88" spans="1:2">
      <c r="A88" s="3165"/>
      <c r="B88" s="2707"/>
    </row>
    <row r="89" spans="1:2">
      <c r="A89" s="3165"/>
      <c r="B89" s="2707"/>
    </row>
    <row r="90" spans="1:2">
      <c r="A90" s="3165"/>
      <c r="B90" s="2707"/>
    </row>
    <row r="91" spans="1:2">
      <c r="A91" s="3165"/>
      <c r="B91" s="2707"/>
    </row>
    <row r="92" spans="1:2">
      <c r="A92" s="3165"/>
      <c r="B92" s="2707"/>
    </row>
    <row r="93" spans="1:2">
      <c r="A93" s="3165"/>
      <c r="B93" s="2707"/>
    </row>
    <row r="94" spans="1:2">
      <c r="A94" s="3165"/>
      <c r="B94" s="2707"/>
    </row>
    <row r="95" spans="1:2">
      <c r="A95" s="3165"/>
      <c r="B95" s="2707"/>
    </row>
    <row r="96" spans="1:2">
      <c r="A96" s="3165"/>
      <c r="B96" s="2707"/>
    </row>
    <row r="97" spans="1:2">
      <c r="A97" s="3165"/>
      <c r="B97" s="2707"/>
    </row>
    <row r="98" spans="1:2">
      <c r="A98" s="3165"/>
      <c r="B98" s="2707"/>
    </row>
    <row r="99" spans="1:2">
      <c r="A99" s="3165"/>
      <c r="B99" s="2707"/>
    </row>
    <row r="100" spans="1:2">
      <c r="A100" s="3165"/>
      <c r="B100" s="2707"/>
    </row>
    <row r="101" spans="1:2">
      <c r="A101" s="3165"/>
      <c r="B101" s="2707"/>
    </row>
    <row r="102" spans="1:2">
      <c r="A102" s="3165"/>
      <c r="B102" s="2707"/>
    </row>
    <row r="103" spans="1:2">
      <c r="A103" s="3165"/>
      <c r="B103" s="2707"/>
    </row>
    <row r="104" spans="1:2">
      <c r="A104" s="3165"/>
      <c r="B104" s="2707"/>
    </row>
    <row r="105" spans="1:2">
      <c r="A105" s="3165"/>
      <c r="B105" s="2707"/>
    </row>
    <row r="106" spans="1:2">
      <c r="A106" s="3165"/>
      <c r="B106" s="2707"/>
    </row>
    <row r="107" spans="1:2">
      <c r="A107" s="3165"/>
      <c r="B107" s="2707"/>
    </row>
    <row r="108" spans="1:2">
      <c r="A108" s="3165"/>
      <c r="B108" s="2707"/>
    </row>
    <row r="109" spans="1:2">
      <c r="A109" s="3165"/>
      <c r="B109" s="2707"/>
    </row>
    <row r="110" spans="1:2">
      <c r="A110" s="3165"/>
      <c r="B110" s="2707"/>
    </row>
    <row r="111" spans="1:2">
      <c r="A111" s="3165"/>
      <c r="B111" s="2707"/>
    </row>
    <row r="112" spans="1:2">
      <c r="A112" s="3165"/>
      <c r="B112" s="2707"/>
    </row>
    <row r="113" spans="1:2">
      <c r="A113" s="3165"/>
      <c r="B113" s="2707"/>
    </row>
    <row r="114" spans="1:2">
      <c r="A114" s="3165"/>
      <c r="B114" s="2707"/>
    </row>
    <row r="115" spans="1:2">
      <c r="A115" s="3165"/>
      <c r="B115" s="2707"/>
    </row>
    <row r="116" spans="1:2">
      <c r="A116" s="3165"/>
      <c r="B116" s="2707"/>
    </row>
    <row r="117" spans="1:2">
      <c r="A117" s="3165"/>
      <c r="B117" s="2707"/>
    </row>
    <row r="118" spans="1:2">
      <c r="A118" s="3165"/>
      <c r="B118" s="2707"/>
    </row>
    <row r="119" spans="1:2">
      <c r="A119" s="3165"/>
      <c r="B119" s="2707"/>
    </row>
    <row r="120" spans="1:2">
      <c r="A120" s="3165"/>
      <c r="B120" s="2707"/>
    </row>
    <row r="121" spans="1:2">
      <c r="A121" s="3165"/>
      <c r="B121" s="2707"/>
    </row>
    <row r="122" spans="1:2">
      <c r="A122" s="3165"/>
      <c r="B122" s="2707"/>
    </row>
    <row r="123" spans="1:2">
      <c r="A123" s="3165"/>
      <c r="B123" s="2707"/>
    </row>
    <row r="124" spans="1:2">
      <c r="A124" s="3165"/>
      <c r="B124" s="2707"/>
    </row>
    <row r="125" spans="1:2">
      <c r="A125" s="3165"/>
      <c r="B125" s="2707"/>
    </row>
    <row r="126" spans="1:2">
      <c r="A126" s="3165"/>
      <c r="B126" s="2707"/>
    </row>
    <row r="127" spans="1:2">
      <c r="A127" s="3165"/>
      <c r="B127" s="2707"/>
    </row>
    <row r="128" spans="1:2">
      <c r="A128" s="3165"/>
      <c r="B128" s="270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2020-08-03T08:20:00Z</cp:lastPrinted>
  <dcterms:created xsi:type="dcterms:W3CDTF">2015-07-13T07:17:00Z</dcterms:created>
  <dcterms:modified xsi:type="dcterms:W3CDTF">2022-12-01T01:01:11Z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2052-11.1.0.12763</vt:lpwstr>
  </property>
</Properties>
</file>