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c r="AD7"/>
  <c r="Q7"/>
  <c r="P7"/>
  <c r="O7"/>
  <c r="C7" s="1"/>
  <c r="N7"/>
  <c r="Q8"/>
  <c r="P8"/>
  <c r="O8"/>
  <c r="N8"/>
  <c r="D8"/>
  <c r="E7"/>
  <c r="E6" s="1"/>
  <c r="E5" s="1"/>
  <c r="F7"/>
  <c r="F6" s="1"/>
  <c r="F5" s="1"/>
  <c r="A2" i="50"/>
  <c r="K60" i="15"/>
  <c r="P59" s="1"/>
  <c r="A126" i="57"/>
  <c r="A123" i="9"/>
  <c r="A16" i="54"/>
  <c r="A14"/>
  <c r="A19" i="55"/>
  <c r="A13"/>
  <c r="A1" i="52"/>
  <c r="A4" i="50"/>
  <c r="P9" i="59"/>
  <c r="O9"/>
  <c r="N9"/>
  <c r="Q9"/>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6" i="52"/>
  <c r="B64" i="60" s="1"/>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C22" s="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X16" s="1"/>
  <c r="D16"/>
  <c r="Q15"/>
  <c r="P15"/>
  <c r="AA15" s="1"/>
  <c r="O15"/>
  <c r="N15"/>
  <c r="X15" s="1"/>
  <c r="Q14"/>
  <c r="P14"/>
  <c r="AA14" s="1"/>
  <c r="O14"/>
  <c r="N14"/>
  <c r="X14" s="1"/>
  <c r="Q13"/>
  <c r="P13"/>
  <c r="AA13" s="1"/>
  <c r="O13"/>
  <c r="N13"/>
  <c r="X13" s="1"/>
  <c r="Q12"/>
  <c r="P12"/>
  <c r="AA12" s="1"/>
  <c r="O12"/>
  <c r="C13"/>
  <c r="C14" s="1"/>
  <c r="N12"/>
  <c r="B13"/>
  <c r="B14" s="1"/>
  <c r="B15" s="1"/>
  <c r="S15" s="1"/>
  <c r="D12"/>
  <c r="O11"/>
  <c r="N11"/>
  <c r="B11" s="1"/>
  <c r="C11"/>
  <c r="T11" s="1"/>
  <c r="Y3"/>
  <c r="Z3" s="1"/>
  <c r="Y9"/>
  <c r="Z9" s="1"/>
  <c r="Y10"/>
  <c r="Z10" s="1"/>
  <c r="X11"/>
  <c r="X3"/>
  <c r="X9"/>
  <c r="D13"/>
  <c r="D21"/>
  <c r="C26"/>
  <c r="D25"/>
  <c r="C34"/>
  <c r="D33"/>
  <c r="P11"/>
  <c r="E38"/>
  <c r="E39" s="1"/>
  <c r="U39" s="1"/>
  <c r="E46"/>
  <c r="E47" s="1"/>
  <c r="U47" s="1"/>
  <c r="U55"/>
  <c r="E54"/>
  <c r="E53" s="1"/>
  <c r="Q11"/>
  <c r="F11" s="1"/>
  <c r="C42"/>
  <c r="D41"/>
  <c r="N50"/>
  <c r="B49"/>
  <c r="N48" s="1"/>
  <c r="T51"/>
  <c r="O51"/>
  <c r="D51"/>
  <c r="C50"/>
  <c r="O50" s="1"/>
  <c r="T55"/>
  <c r="D55"/>
  <c r="C54"/>
  <c r="C53" s="1"/>
  <c r="D53" s="1"/>
  <c r="Q51"/>
  <c r="C58"/>
  <c r="C57" s="1"/>
  <c r="D57" s="1"/>
  <c r="E58"/>
  <c r="E57" s="1"/>
  <c r="D59"/>
  <c r="C62"/>
  <c r="D62" s="1"/>
  <c r="E62"/>
  <c r="E61" s="1"/>
  <c r="D63"/>
  <c r="C66"/>
  <c r="D66" s="1"/>
  <c r="C70"/>
  <c r="C69" s="1"/>
  <c r="D69" s="1"/>
  <c r="AB9"/>
  <c r="E11"/>
  <c r="E10" s="1"/>
  <c r="E9" s="1"/>
  <c r="AA10"/>
  <c r="AA3"/>
  <c r="C10"/>
  <c r="D10" s="1"/>
  <c r="D11"/>
  <c r="C65"/>
  <c r="D65" s="1"/>
  <c r="D58"/>
  <c r="C35"/>
  <c r="T35" s="1"/>
  <c r="D34"/>
  <c r="D70"/>
  <c r="C61"/>
  <c r="D61" s="1"/>
  <c r="C49"/>
  <c r="D49" s="1"/>
  <c r="D50"/>
  <c r="C43"/>
  <c r="D42"/>
  <c r="N49"/>
  <c r="C27"/>
  <c r="D26"/>
  <c r="C9"/>
  <c r="D9" s="1"/>
  <c r="U11"/>
  <c r="O48"/>
  <c r="T27"/>
  <c r="D27"/>
  <c r="T43"/>
  <c r="D43"/>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U21" i="37"/>
  <c r="U21" i="33"/>
  <c r="S21" i="21"/>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G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M66"/>
  <c r="N66" s="1"/>
  <c r="K66"/>
  <c r="J66" s="1"/>
  <c r="D66" s="1"/>
  <c r="M65"/>
  <c r="N65" s="1"/>
  <c r="K65"/>
  <c r="J65" s="1"/>
  <c r="D65"/>
  <c r="M64"/>
  <c r="N64" s="1"/>
  <c r="K64"/>
  <c r="J64" s="1"/>
  <c r="M63"/>
  <c r="N63" s="1"/>
  <c r="K63"/>
  <c r="J63" s="1"/>
  <c r="D63"/>
  <c r="M62"/>
  <c r="N62" s="1"/>
  <c r="K62"/>
  <c r="J62" s="1"/>
  <c r="M61"/>
  <c r="N61" s="1"/>
  <c r="K61"/>
  <c r="J61" s="1"/>
  <c r="D61"/>
  <c r="M60"/>
  <c r="N60" s="1"/>
  <c r="K60"/>
  <c r="J60" s="1"/>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s="1"/>
  <c r="R48"/>
  <c r="R49"/>
  <c r="R50"/>
  <c r="R51"/>
  <c r="T51" s="1"/>
  <c r="R52"/>
  <c r="R53"/>
  <c r="R54"/>
  <c r="R55"/>
  <c r="T55"/>
  <c r="R56"/>
  <c r="R57"/>
  <c r="R58"/>
  <c r="T58"/>
  <c r="R59"/>
  <c r="R60"/>
  <c r="T60" s="1"/>
  <c r="R61"/>
  <c r="R62"/>
  <c r="T62" s="1"/>
  <c r="R63"/>
  <c r="R64"/>
  <c r="T64" s="1"/>
  <c r="R65"/>
  <c r="R66"/>
  <c r="T66"/>
  <c r="R67"/>
  <c r="R68"/>
  <c r="T68" s="1"/>
  <c r="R69"/>
  <c r="R70"/>
  <c r="T70" s="1"/>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c r="R436"/>
  <c r="T436"/>
  <c r="R437"/>
  <c r="T437"/>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c r="R464"/>
  <c r="T464"/>
  <c r="R465"/>
  <c r="T465"/>
  <c r="R466"/>
  <c r="R467"/>
  <c r="T467" s="1"/>
  <c r="R468"/>
  <c r="T468" s="1"/>
  <c r="R469"/>
  <c r="T469" s="1"/>
  <c r="R470"/>
  <c r="R471"/>
  <c r="T471" s="1"/>
  <c r="R472"/>
  <c r="R473"/>
  <c r="R474"/>
  <c r="R475"/>
  <c r="T475" s="1"/>
  <c r="R476"/>
  <c r="R477"/>
  <c r="R478"/>
  <c r="R479"/>
  <c r="T479"/>
  <c r="R480"/>
  <c r="R481"/>
  <c r="R482"/>
  <c r="R483"/>
  <c r="T483" s="1"/>
  <c r="R484"/>
  <c r="R485"/>
  <c r="R486"/>
  <c r="R487"/>
  <c r="T487" s="1"/>
  <c r="R488"/>
  <c r="R489"/>
  <c r="R490"/>
  <c r="R491"/>
  <c r="T491" s="1"/>
  <c r="R492"/>
  <c r="R493"/>
  <c r="R494"/>
  <c r="R495"/>
  <c r="T495"/>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C18" s="1"/>
  <c r="D18" s="1"/>
  <c r="I55"/>
  <c r="F55"/>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c r="H87" s="1"/>
  <c r="I87" s="1"/>
  <c r="J87" s="1"/>
  <c r="K87" s="1"/>
  <c r="L87" s="1"/>
  <c r="M87" s="1"/>
  <c r="H29"/>
  <c r="H34" i="37"/>
  <c r="AB34" s="1"/>
  <c r="D101"/>
  <c r="F34"/>
  <c r="AA34"/>
  <c r="D99"/>
  <c r="E99"/>
  <c r="F99" s="1"/>
  <c r="G99" s="1"/>
  <c r="H42" i="34"/>
  <c r="J42"/>
  <c r="F42"/>
  <c r="J38"/>
  <c r="AC38" s="1"/>
  <c r="D114"/>
  <c r="D112"/>
  <c r="E112" s="1"/>
  <c r="F112" s="1"/>
  <c r="G112" s="1"/>
  <c r="H112" s="1"/>
  <c r="F40" i="33"/>
  <c r="J41"/>
  <c r="W41" s="1"/>
  <c r="D113"/>
  <c r="E113" s="1"/>
  <c r="F37"/>
  <c r="S37" s="1"/>
  <c r="D111"/>
  <c r="E111" s="1"/>
  <c r="F111" s="1"/>
  <c r="G111" s="1"/>
  <c r="H111" s="1"/>
  <c r="I111" s="1"/>
  <c r="J111" s="1"/>
  <c r="K111" s="1"/>
  <c r="L111" s="1"/>
  <c r="M111" s="1"/>
  <c r="S518" i="31"/>
  <c r="S519"/>
  <c r="S520"/>
  <c r="S521"/>
  <c r="S522"/>
  <c r="S523"/>
  <c r="S524"/>
  <c r="S525"/>
  <c r="S526"/>
  <c r="S527"/>
  <c r="F41" i="21"/>
  <c r="J41"/>
  <c r="H41"/>
  <c r="D81" i="39"/>
  <c r="E81" s="1"/>
  <c r="F81" s="1"/>
  <c r="G81"/>
  <c r="H81" s="1"/>
  <c r="I81" s="1"/>
  <c r="J81" s="1"/>
  <c r="K81" s="1"/>
  <c r="L81" s="1"/>
  <c r="M81" s="1"/>
  <c r="D76" i="40"/>
  <c r="E76"/>
  <c r="F76" s="1"/>
  <c r="G76" s="1"/>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J27" s="1"/>
  <c r="D92"/>
  <c r="E92"/>
  <c r="F92" s="1"/>
  <c r="G92" s="1"/>
  <c r="D90"/>
  <c r="E90"/>
  <c r="D88"/>
  <c r="E88"/>
  <c r="F88" s="1"/>
  <c r="G88" s="1"/>
  <c r="D86"/>
  <c r="E86" s="1"/>
  <c r="D84"/>
  <c r="E84" s="1"/>
  <c r="B81"/>
  <c r="B79"/>
  <c r="B77"/>
  <c r="J12" s="1"/>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c r="K105" s="1"/>
  <c r="L105" s="1"/>
  <c r="M105" s="1"/>
  <c r="D103"/>
  <c r="E103" s="1"/>
  <c r="F103" s="1"/>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s="1"/>
  <c r="J96" s="1"/>
  <c r="K96" s="1"/>
  <c r="L96" s="1"/>
  <c r="M96" s="1"/>
  <c r="D94"/>
  <c r="E94" s="1"/>
  <c r="F94" s="1"/>
  <c r="G94" s="1"/>
  <c r="H94" s="1"/>
  <c r="I94"/>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s="1"/>
  <c r="F75" s="1"/>
  <c r="D73"/>
  <c r="E73" s="1"/>
  <c r="J17"/>
  <c r="D71"/>
  <c r="E71" s="1"/>
  <c r="F71" s="1"/>
  <c r="G71" s="1"/>
  <c r="B68"/>
  <c r="H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s="1"/>
  <c r="D83"/>
  <c r="E83" s="1"/>
  <c r="F83" s="1"/>
  <c r="G83" s="1"/>
  <c r="H83" s="1"/>
  <c r="I83" s="1"/>
  <c r="J83" s="1"/>
  <c r="K83" s="1"/>
  <c r="L83" s="1"/>
  <c r="M83" s="1"/>
  <c r="D78"/>
  <c r="E78" s="1"/>
  <c r="F78" s="1"/>
  <c r="G78" s="1"/>
  <c r="H78" s="1"/>
  <c r="I78" s="1"/>
  <c r="J78" s="1"/>
  <c r="K78" s="1"/>
  <c r="L78" s="1"/>
  <c r="M78" s="1"/>
  <c r="B75"/>
  <c r="B73"/>
  <c r="B71"/>
  <c r="J23" s="1"/>
  <c r="D70"/>
  <c r="H22"/>
  <c r="AB22" s="1"/>
  <c r="D68"/>
  <c r="E68" s="1"/>
  <c r="F68" s="1"/>
  <c r="G68" s="1"/>
  <c r="D64"/>
  <c r="E64" s="1"/>
  <c r="F64" s="1"/>
  <c r="G64" s="1"/>
  <c r="J16"/>
  <c r="W16"/>
  <c r="D62"/>
  <c r="E62"/>
  <c r="F62" s="1"/>
  <c r="G62" s="1"/>
  <c r="H14"/>
  <c r="AB14"/>
  <c r="B59"/>
  <c r="B57"/>
  <c r="B55"/>
  <c r="F54"/>
  <c r="G54" s="1"/>
  <c r="H54" s="1"/>
  <c r="I54" s="1"/>
  <c r="C51"/>
  <c r="P37"/>
  <c r="P36"/>
  <c r="V35"/>
  <c r="T35"/>
  <c r="R35"/>
  <c r="P35"/>
  <c r="Q34"/>
  <c r="Z34"/>
  <c r="Q33"/>
  <c r="Z33"/>
  <c r="Q32"/>
  <c r="Z32"/>
  <c r="Q31"/>
  <c r="Z31"/>
  <c r="Q30"/>
  <c r="Z30"/>
  <c r="Q29"/>
  <c r="Z29"/>
  <c r="Q28"/>
  <c r="Z28"/>
  <c r="J28"/>
  <c r="AC28"/>
  <c r="Q27"/>
  <c r="Z27"/>
  <c r="Q26"/>
  <c r="Z26"/>
  <c r="H26"/>
  <c r="Q25"/>
  <c r="Z25" s="1"/>
  <c r="Q24"/>
  <c r="Z24" s="1"/>
  <c r="Q23"/>
  <c r="Z23" s="1"/>
  <c r="H23"/>
  <c r="AB23" s="1"/>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H12" s="1"/>
  <c r="U12" s="1"/>
  <c r="B131" i="34"/>
  <c r="B129"/>
  <c r="B127"/>
  <c r="B99"/>
  <c r="B97"/>
  <c r="B95"/>
  <c r="B93"/>
  <c r="B75"/>
  <c r="B73"/>
  <c r="B71"/>
  <c r="H12" s="1"/>
  <c r="B130" i="33"/>
  <c r="B128"/>
  <c r="B126"/>
  <c r="B98"/>
  <c r="B96"/>
  <c r="B94"/>
  <c r="B74"/>
  <c r="B72"/>
  <c r="B70"/>
  <c r="D96" i="35"/>
  <c r="E96" s="1"/>
  <c r="F96" s="1"/>
  <c r="G96" s="1"/>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s="1"/>
  <c r="D66"/>
  <c r="E66" s="1"/>
  <c r="F66" s="1"/>
  <c r="G66" s="1"/>
  <c r="F16"/>
  <c r="S16" s="1"/>
  <c r="D64"/>
  <c r="E64" s="1"/>
  <c r="F64" s="1"/>
  <c r="G64" s="1"/>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F12"/>
  <c r="S12" s="1"/>
  <c r="Q11"/>
  <c r="Z11" s="1"/>
  <c r="Q10"/>
  <c r="Z10" s="1"/>
  <c r="Q9"/>
  <c r="Z9" s="1"/>
  <c r="J9"/>
  <c r="AC9" s="1"/>
  <c r="H9"/>
  <c r="AB9" s="1"/>
  <c r="F9"/>
  <c r="AA9" s="1"/>
  <c r="J8"/>
  <c r="H8"/>
  <c r="AB8" s="1"/>
  <c r="F8"/>
  <c r="AA8" s="1"/>
  <c r="D120" i="34"/>
  <c r="E120" s="1"/>
  <c r="F120" s="1"/>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s="1"/>
  <c r="F86" s="1"/>
  <c r="G86" s="1"/>
  <c r="F23"/>
  <c r="AA23" s="1"/>
  <c r="D82"/>
  <c r="E82" s="1"/>
  <c r="F82"/>
  <c r="G82" s="1"/>
  <c r="F19"/>
  <c r="D80"/>
  <c r="E80" s="1"/>
  <c r="F80" s="1"/>
  <c r="D78"/>
  <c r="E78" s="1"/>
  <c r="F78" s="1"/>
  <c r="G78"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c r="Q14"/>
  <c r="Z14" s="1"/>
  <c r="Q13"/>
  <c r="Z13" s="1"/>
  <c r="Q12"/>
  <c r="Z12" s="1"/>
  <c r="J12"/>
  <c r="W12" s="1"/>
  <c r="Q11"/>
  <c r="Z11" s="1"/>
  <c r="Q10"/>
  <c r="Z10"/>
  <c r="F10"/>
  <c r="S10" s="1"/>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s="1"/>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c r="F85" s="1"/>
  <c r="G85" s="1"/>
  <c r="D81"/>
  <c r="E81" s="1"/>
  <c r="F81" s="1"/>
  <c r="G81" s="1"/>
  <c r="D79"/>
  <c r="E79" s="1"/>
  <c r="F79" s="1"/>
  <c r="G79" s="1"/>
  <c r="D77"/>
  <c r="E77"/>
  <c r="F77" s="1"/>
  <c r="G77" s="1"/>
  <c r="D69"/>
  <c r="E69"/>
  <c r="F69" s="1"/>
  <c r="G69" s="1"/>
  <c r="H69" s="1"/>
  <c r="I69" s="1"/>
  <c r="J69" s="1"/>
  <c r="K69" s="1"/>
  <c r="L69" s="1"/>
  <c r="M69" s="1"/>
  <c r="H11"/>
  <c r="U11" s="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s="1"/>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s="1"/>
  <c r="H123" s="1"/>
  <c r="I123" s="1"/>
  <c r="J123" s="1"/>
  <c r="K123" s="1"/>
  <c r="L123" s="1"/>
  <c r="M123" s="1"/>
  <c r="F42"/>
  <c r="AA42" s="1"/>
  <c r="D119"/>
  <c r="D117"/>
  <c r="E117" s="1"/>
  <c r="D115"/>
  <c r="E115" s="1"/>
  <c r="F115" s="1"/>
  <c r="G115" s="1"/>
  <c r="H115" s="1"/>
  <c r="I115" s="1"/>
  <c r="J115" s="1"/>
  <c r="K115" s="1"/>
  <c r="L115" s="1"/>
  <c r="M115" s="1"/>
  <c r="D113"/>
  <c r="E113" s="1"/>
  <c r="F113"/>
  <c r="G113" s="1"/>
  <c r="H113" s="1"/>
  <c r="F37"/>
  <c r="AA37"/>
  <c r="D110"/>
  <c r="E110"/>
  <c r="F110" s="1"/>
  <c r="G110" s="1"/>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s="1"/>
  <c r="F66" s="1"/>
  <c r="G66" s="1"/>
  <c r="H66" s="1"/>
  <c r="I66" s="1"/>
  <c r="D111"/>
  <c r="E111"/>
  <c r="F111"/>
  <c r="C111"/>
  <c r="D79"/>
  <c r="E79"/>
  <c r="F79" s="1"/>
  <c r="G79" s="1"/>
  <c r="D85"/>
  <c r="E85" s="1"/>
  <c r="F85" s="1"/>
  <c r="G85" s="1"/>
  <c r="D81"/>
  <c r="E81" s="1"/>
  <c r="F81" s="1"/>
  <c r="G81" s="1"/>
  <c r="D77"/>
  <c r="E77"/>
  <c r="F77" s="1"/>
  <c r="G77" s="1"/>
  <c r="H15"/>
  <c r="B130"/>
  <c r="B128"/>
  <c r="B126"/>
  <c r="B98"/>
  <c r="B96"/>
  <c r="B94"/>
  <c r="B92"/>
  <c r="B90"/>
  <c r="B74"/>
  <c r="B72"/>
  <c r="B70"/>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s="1"/>
  <c r="F36"/>
  <c r="S36" s="1"/>
  <c r="H36"/>
  <c r="AB36" s="1"/>
  <c r="J36"/>
  <c r="AC36" s="1"/>
  <c r="S8"/>
  <c r="H32" i="37"/>
  <c r="AB32" s="1"/>
  <c r="U8"/>
  <c r="W31"/>
  <c r="F39"/>
  <c r="S39" s="1"/>
  <c r="S30"/>
  <c r="W30"/>
  <c r="F29" i="36"/>
  <c r="AA29"/>
  <c r="F16"/>
  <c r="S16"/>
  <c r="U22"/>
  <c r="W22"/>
  <c r="AC31"/>
  <c r="W31"/>
  <c r="U31"/>
  <c r="J33"/>
  <c r="W33" s="1"/>
  <c r="AB34"/>
  <c r="H22" i="35"/>
  <c r="AB22" s="1"/>
  <c r="U9"/>
  <c r="U31"/>
  <c r="S32"/>
  <c r="S31"/>
  <c r="W31"/>
  <c r="F36" i="34"/>
  <c r="AA36" s="1"/>
  <c r="H39" i="33"/>
  <c r="AB39" s="1"/>
  <c r="F26"/>
  <c r="AA26" s="1"/>
  <c r="S40"/>
  <c r="W8" i="21"/>
  <c r="H39" i="37"/>
  <c r="AB39" s="1"/>
  <c r="S27" i="35"/>
  <c r="F11" i="40"/>
  <c r="AA11" s="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s="1"/>
  <c r="H20"/>
  <c r="U20" s="1"/>
  <c r="F20"/>
  <c r="AA20" s="1"/>
  <c r="E101" i="37"/>
  <c r="F101" s="1"/>
  <c r="G101" s="1"/>
  <c r="H101" s="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s="1"/>
  <c r="J34"/>
  <c r="F36"/>
  <c r="S36"/>
  <c r="F25"/>
  <c r="AA25"/>
  <c r="J25"/>
  <c r="AC25"/>
  <c r="H25"/>
  <c r="AB25"/>
  <c r="J23"/>
  <c r="AC23"/>
  <c r="F23"/>
  <c r="AA23"/>
  <c r="H23"/>
  <c r="F19"/>
  <c r="S19" s="1"/>
  <c r="J19"/>
  <c r="W19" s="1"/>
  <c r="J17"/>
  <c r="AC17" s="1"/>
  <c r="H17"/>
  <c r="AB17" s="1"/>
  <c r="J15"/>
  <c r="AC15" s="1"/>
  <c r="F11"/>
  <c r="AA11" s="1"/>
  <c r="W10"/>
  <c r="H10"/>
  <c r="U10" s="1"/>
  <c r="S10" i="21"/>
  <c r="S26" i="33"/>
  <c r="U40"/>
  <c r="U8"/>
  <c r="S8"/>
  <c r="F37" i="40"/>
  <c r="AA37"/>
  <c r="F36"/>
  <c r="AA36"/>
  <c r="F23"/>
  <c r="AA23" s="1"/>
  <c r="AB30" i="36"/>
  <c r="AC34"/>
  <c r="AC30" i="35"/>
  <c r="F29"/>
  <c r="S29" s="1"/>
  <c r="U34" i="37"/>
  <c r="AB42" i="34"/>
  <c r="H38"/>
  <c r="AB38" s="1"/>
  <c r="F113" i="33"/>
  <c r="G113"/>
  <c r="H113" s="1"/>
  <c r="I113" s="1"/>
  <c r="J113" s="1"/>
  <c r="K113" s="1"/>
  <c r="L113" s="1"/>
  <c r="M113" s="1"/>
  <c r="H37"/>
  <c r="AB37"/>
  <c r="AA37"/>
  <c r="H36"/>
  <c r="U36" s="1"/>
  <c r="S25"/>
  <c r="F17"/>
  <c r="AA17" s="1"/>
  <c r="H15"/>
  <c r="AB15" s="1"/>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F28" i="37"/>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AC32" i="34"/>
  <c r="AC14"/>
  <c r="J10" i="36"/>
  <c r="AC10" s="1"/>
  <c r="AB46" i="21"/>
  <c r="AC14"/>
  <c r="AC13" i="36"/>
  <c r="U32"/>
  <c r="AB45" i="33"/>
  <c r="U31"/>
  <c r="AB28"/>
  <c r="U42" i="21"/>
  <c r="S33"/>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c r="F25"/>
  <c r="S25"/>
  <c r="J25"/>
  <c r="AC25"/>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37" i="21"/>
  <c r="U37"/>
  <c r="J37"/>
  <c r="W37"/>
  <c r="H19" i="34"/>
  <c r="U19" s="1"/>
  <c r="F36" i="35"/>
  <c r="AA36" s="1"/>
  <c r="J9" i="37"/>
  <c r="W9" s="1"/>
  <c r="H9"/>
  <c r="AB9" s="1"/>
  <c r="F9"/>
  <c r="AA9" s="1"/>
  <c r="F11"/>
  <c r="S11" s="1"/>
  <c r="J42" i="39"/>
  <c r="AC42" s="1"/>
  <c r="S37" i="21"/>
  <c r="AB37"/>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s="1"/>
  <c r="J25"/>
  <c r="W25" s="1"/>
  <c r="F25"/>
  <c r="S25" s="1"/>
  <c r="F15"/>
  <c r="S15" s="1"/>
  <c r="H15"/>
  <c r="U15" s="1"/>
  <c r="J15"/>
  <c r="W15" s="1"/>
  <c r="H41"/>
  <c r="AB41" s="1"/>
  <c r="F11"/>
  <c r="AA11" s="1"/>
  <c r="H21"/>
  <c r="U21" s="1"/>
  <c r="F32"/>
  <c r="S32" s="1"/>
  <c r="W19"/>
  <c r="U34"/>
  <c r="S42"/>
  <c r="S41"/>
  <c r="W39"/>
  <c r="W8"/>
  <c r="AB25"/>
  <c r="W21"/>
  <c r="J11"/>
  <c r="W11" s="1"/>
  <c r="J32"/>
  <c r="AC32" s="1"/>
  <c r="AA15"/>
  <c r="E66"/>
  <c r="E61" i="40"/>
  <c r="F34" i="43"/>
  <c r="C21" i="11"/>
  <c r="C29" s="1"/>
  <c r="D27" s="1"/>
  <c r="H55" i="39"/>
  <c r="S30" i="40"/>
  <c r="G60"/>
  <c r="C60" s="1"/>
  <c r="H16" i="44"/>
  <c r="E17" i="43"/>
  <c r="I17"/>
  <c r="D108" i="9"/>
  <c r="F22" i="43"/>
  <c r="B56" i="60"/>
  <c r="G22" i="43"/>
  <c r="D22" s="1"/>
  <c r="C21" s="1"/>
  <c r="E22"/>
  <c r="H14" i="44"/>
  <c r="B57" i="60"/>
  <c r="W40" i="39"/>
  <c r="AC20" i="35"/>
  <c r="S39" i="34"/>
  <c r="AC10"/>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s="1"/>
  <c r="J23"/>
  <c r="AC23" s="1"/>
  <c r="H23"/>
  <c r="U23" s="1"/>
  <c r="F17"/>
  <c r="AA17" s="1"/>
  <c r="J17"/>
  <c r="H17"/>
  <c r="AB17" s="1"/>
  <c r="J15"/>
  <c r="W15" s="1"/>
  <c r="U35"/>
  <c r="AC35"/>
  <c r="H102" i="57"/>
  <c r="A131" i="9"/>
  <c r="A134" i="57"/>
  <c r="B102"/>
  <c r="B106" s="1"/>
  <c r="C111"/>
  <c r="D127"/>
  <c r="S23" i="21"/>
  <c r="AC15"/>
  <c r="C109" i="57"/>
  <c r="H103" s="1"/>
  <c r="T27" i="31"/>
  <c r="S27"/>
  <c r="B113" i="43"/>
  <c r="I118" s="1"/>
  <c r="J118" s="1"/>
  <c r="K118" s="1"/>
  <c r="L118" s="1"/>
  <c r="M118" s="1"/>
  <c r="M101"/>
  <c r="M103" s="1"/>
  <c r="K10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s="1"/>
  <c r="D47" i="15"/>
  <c r="J37" i="37"/>
  <c r="W37" s="1"/>
  <c r="AB40"/>
  <c r="U15" i="21"/>
  <c r="AB15"/>
  <c r="AA16" i="35"/>
  <c r="S14" i="39"/>
  <c r="AB29" i="35"/>
  <c r="U29"/>
  <c r="AA35" i="39"/>
  <c r="U25" i="35"/>
  <c r="U36" i="37"/>
  <c r="S14" i="34"/>
  <c r="W44" i="21"/>
  <c r="U38" i="34"/>
  <c r="U20" i="36"/>
  <c r="AB20"/>
  <c r="AA16"/>
  <c r="H13" i="21"/>
  <c r="U13" s="1"/>
  <c r="J13"/>
  <c r="AC13" s="1"/>
  <c r="F13"/>
  <c r="AA13" s="1"/>
  <c r="J45"/>
  <c r="F45"/>
  <c r="AA45" s="1"/>
  <c r="S42"/>
  <c r="B41" i="47"/>
  <c r="C23" i="40"/>
  <c r="AC8" i="34"/>
  <c r="W8"/>
  <c r="AC12"/>
  <c r="J9"/>
  <c r="AC9" s="1"/>
  <c r="F9"/>
  <c r="AA9" s="1"/>
  <c r="AA19"/>
  <c r="S19"/>
  <c r="U23" i="36"/>
  <c r="J12"/>
  <c r="W12"/>
  <c r="H12"/>
  <c r="AB12"/>
  <c r="AA9" i="39"/>
  <c r="S9"/>
  <c r="AB12"/>
  <c r="U12"/>
  <c r="J12"/>
  <c r="F12"/>
  <c r="S12" s="1"/>
  <c r="R29" i="31"/>
  <c r="T29" s="1"/>
  <c r="B103" i="9"/>
  <c r="F15" i="21"/>
  <c r="S15"/>
  <c r="AA30"/>
  <c r="J36" i="34"/>
  <c r="W36" s="1"/>
  <c r="S8"/>
  <c r="J19" i="40"/>
  <c r="AC19" s="1"/>
  <c r="W9" i="39"/>
  <c r="U14"/>
  <c r="H32"/>
  <c r="U32" s="1"/>
  <c r="F21"/>
  <c r="AA21" s="1"/>
  <c r="F31" i="37"/>
  <c r="AA31" s="1"/>
  <c r="U25" i="36"/>
  <c r="S44" i="21"/>
  <c r="AC36" i="40"/>
  <c r="F17" i="37"/>
  <c r="AA17" s="1"/>
  <c r="AA29" i="33"/>
  <c r="AB13" i="40"/>
  <c r="S12"/>
  <c r="U44" i="33"/>
  <c r="AB11" i="35"/>
  <c r="H45" i="21"/>
  <c r="AB45" s="1"/>
  <c r="J14" i="36"/>
  <c r="AC14" s="1"/>
  <c r="AA30" i="35"/>
  <c r="S37" i="40"/>
  <c r="H19" i="33"/>
  <c r="AB19" s="1"/>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s="1"/>
  <c r="H39"/>
  <c r="U39" s="1"/>
  <c r="F117"/>
  <c r="G117" s="1"/>
  <c r="AA15" i="33"/>
  <c r="S15"/>
  <c r="AA35"/>
  <c r="E117"/>
  <c r="F117" s="1"/>
  <c r="G117" s="1"/>
  <c r="J39"/>
  <c r="AC39" s="1"/>
  <c r="E125"/>
  <c r="H43"/>
  <c r="U43" s="1"/>
  <c r="E91"/>
  <c r="F91" s="1"/>
  <c r="G91" s="1"/>
  <c r="H91" s="1"/>
  <c r="I91" s="1"/>
  <c r="J91" s="1"/>
  <c r="K91" s="1"/>
  <c r="L91" s="1"/>
  <c r="M91" s="1"/>
  <c r="F27"/>
  <c r="S27"/>
  <c r="H41"/>
  <c r="U41"/>
  <c r="AA11" i="34"/>
  <c r="S11"/>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s="1"/>
  <c r="E101" i="21"/>
  <c r="F101" s="1"/>
  <c r="G101" s="1"/>
  <c r="H101" s="1"/>
  <c r="I101" s="1"/>
  <c r="J101" s="1"/>
  <c r="K101" s="1"/>
  <c r="L101" s="1"/>
  <c r="M101" s="1"/>
  <c r="F32"/>
  <c r="S32"/>
  <c r="J32"/>
  <c r="W32"/>
  <c r="H32"/>
  <c r="U32"/>
  <c r="F40"/>
  <c r="AA40"/>
  <c r="H40"/>
  <c r="AB40"/>
  <c r="J40"/>
  <c r="AC40"/>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s="1"/>
  <c r="F15"/>
  <c r="AA15" s="1"/>
  <c r="F38" i="40"/>
  <c r="AA38" s="1"/>
  <c r="J38"/>
  <c r="W38" s="1"/>
  <c r="H38"/>
  <c r="AB38" s="1"/>
  <c r="J40"/>
  <c r="H40"/>
  <c r="AB40" s="1"/>
  <c r="F40"/>
  <c r="AA40" s="1"/>
  <c r="N6" i="43"/>
  <c r="F48"/>
  <c r="H51" s="1"/>
  <c r="M9"/>
  <c r="M1"/>
  <c r="N3"/>
  <c r="A121" i="9"/>
  <c r="N5" i="43"/>
  <c r="F101" i="9"/>
  <c r="M4" i="43"/>
  <c r="F33" i="9"/>
  <c r="C25" i="57"/>
  <c r="F107" i="43"/>
  <c r="C102"/>
  <c r="S2" s="1"/>
  <c r="H106"/>
  <c r="M105"/>
  <c r="G4" i="47"/>
  <c r="U15" i="37"/>
  <c r="H25" i="34"/>
  <c r="U25" s="1"/>
  <c r="AB35" i="39"/>
  <c r="AC36" i="37"/>
  <c r="S27"/>
  <c r="AA12"/>
  <c r="AA34" i="35"/>
  <c r="S34"/>
  <c r="AB24"/>
  <c r="J17" i="34"/>
  <c r="AC17" s="1"/>
  <c r="G80"/>
  <c r="F17"/>
  <c r="AA17" s="1"/>
  <c r="H27" i="33"/>
  <c r="AB27"/>
  <c r="F43"/>
  <c r="S43"/>
  <c r="F125"/>
  <c r="G125"/>
  <c r="J43"/>
  <c r="AC43"/>
  <c r="U31" i="21"/>
  <c r="AA29"/>
  <c r="S29"/>
  <c r="W29"/>
  <c r="AC27"/>
  <c r="H27" i="36"/>
  <c r="AB27" s="1"/>
  <c r="F27"/>
  <c r="AA27" s="1"/>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s="1"/>
  <c r="J25" i="34"/>
  <c r="W25" s="1"/>
  <c r="K53" i="43"/>
  <c r="J53" s="1"/>
  <c r="D53"/>
  <c r="M53"/>
  <c r="N53" s="1"/>
  <c r="K49"/>
  <c r="J49" s="1"/>
  <c r="D49"/>
  <c r="M49"/>
  <c r="N49" s="1"/>
  <c r="K54"/>
  <c r="J54" s="1"/>
  <c r="D54"/>
  <c r="M54"/>
  <c r="N54" s="1"/>
  <c r="K50"/>
  <c r="J50" s="1"/>
  <c r="D50"/>
  <c r="M50"/>
  <c r="N50" s="1"/>
  <c r="K55"/>
  <c r="J55" s="1"/>
  <c r="D55"/>
  <c r="M55"/>
  <c r="N55" s="1"/>
  <c r="K51"/>
  <c r="J51" s="1"/>
  <c r="D51"/>
  <c r="M51"/>
  <c r="N51" s="1"/>
  <c r="K48"/>
  <c r="J48" s="1"/>
  <c r="D48"/>
  <c r="M48"/>
  <c r="N48" s="1"/>
  <c r="K52"/>
  <c r="J52" s="1"/>
  <c r="D52"/>
  <c r="M52"/>
  <c r="N52" s="1"/>
  <c r="K56"/>
  <c r="J56" s="1"/>
  <c r="D56"/>
  <c r="M56"/>
  <c r="N56" s="1"/>
  <c r="C115" i="57"/>
  <c r="H111" s="1"/>
  <c r="F43" i="15"/>
  <c r="F72" s="1"/>
  <c r="D93" i="9"/>
  <c r="D37" i="11"/>
  <c r="C37" s="1"/>
  <c r="M29" i="15"/>
  <c r="P51"/>
  <c r="D10" i="11"/>
  <c r="C10" s="1"/>
  <c r="E13" i="1" s="1"/>
  <c r="C8" i="11" s="1"/>
  <c r="C2" i="31"/>
  <c r="I23" s="1"/>
  <c r="P60" i="15"/>
  <c r="D3" i="35"/>
  <c r="D3" i="34"/>
  <c r="D78" i="9"/>
  <c r="D94" i="57"/>
  <c r="D79"/>
  <c r="C114"/>
  <c r="H109" s="1"/>
  <c r="C112"/>
  <c r="H107" s="1"/>
  <c r="A16" i="55"/>
  <c r="B46" i="60" s="1"/>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s="1"/>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c r="D82"/>
  <c r="H83"/>
  <c r="M83"/>
  <c r="N83"/>
  <c r="H53"/>
  <c r="I116"/>
  <c r="J116" s="1"/>
  <c r="K116" s="1"/>
  <c r="L116" s="1"/>
  <c r="M116" s="1"/>
  <c r="D117"/>
  <c r="E117" s="1"/>
  <c r="F117" s="1"/>
  <c r="G117" s="1"/>
  <c r="H117" s="1"/>
  <c r="B118"/>
  <c r="C118" s="1"/>
  <c r="B116"/>
  <c r="C116" s="1"/>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AC21" s="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s="1"/>
  <c r="C15" s="1"/>
  <c r="K87" i="43"/>
  <c r="J87"/>
  <c r="D87"/>
  <c r="D5"/>
  <c r="C7"/>
  <c r="C3" i="4"/>
  <c r="B4" i="55" s="1"/>
  <c r="B53" i="60" s="1"/>
  <c r="P23" i="43"/>
  <c r="P24"/>
  <c r="B66" i="40" s="1"/>
  <c r="P22" i="43"/>
  <c r="O19"/>
  <c r="J22"/>
  <c r="M84"/>
  <c r="N84" s="1"/>
  <c r="K84"/>
  <c r="J84" s="1"/>
  <c r="D84"/>
  <c r="M81"/>
  <c r="N81" s="1"/>
  <c r="K81"/>
  <c r="J81" s="1"/>
  <c r="D81"/>
  <c r="M88"/>
  <c r="N88" s="1"/>
  <c r="K88"/>
  <c r="J88" s="1"/>
  <c r="D88"/>
  <c r="I113" i="57"/>
  <c r="M50" s="1"/>
  <c r="B40" i="1"/>
  <c r="M27" i="15" s="1"/>
  <c r="C14"/>
  <c r="C15" s="1"/>
  <c r="D117" i="57"/>
  <c r="D118"/>
  <c r="I114" s="1"/>
  <c r="D131" s="1"/>
  <c r="D133"/>
  <c r="M57"/>
  <c r="D119"/>
  <c r="I115"/>
  <c r="D132" s="1"/>
  <c r="M56" i="9"/>
  <c r="D130"/>
  <c r="D13" i="52" s="1"/>
  <c r="I112" i="9"/>
  <c r="M49" s="1"/>
  <c r="L67" s="1"/>
  <c r="M67" s="1"/>
  <c r="D114"/>
  <c r="D115"/>
  <c r="I113" s="1"/>
  <c r="D18" i="50"/>
  <c r="D19" s="1"/>
  <c r="B32" i="60" s="1"/>
  <c r="I114" i="9"/>
  <c r="D42" i="50" s="1"/>
  <c r="D43" s="1"/>
  <c r="D116" i="9"/>
  <c r="D129"/>
  <c r="D12" i="52" s="1"/>
  <c r="D21" i="50"/>
  <c r="D22" s="1"/>
  <c r="B35" i="60" s="1"/>
  <c r="E2" i="35"/>
  <c r="F4" i="61"/>
  <c r="H23" i="31"/>
  <c r="E2" i="37"/>
  <c r="E2" i="11"/>
  <c r="F5" i="61"/>
  <c r="C19" i="57"/>
  <c r="E2" i="36"/>
  <c r="F3" i="61"/>
  <c r="E2" i="33"/>
  <c r="E2" i="34"/>
  <c r="F6" i="61"/>
  <c r="D20" i="57"/>
  <c r="C20"/>
  <c r="F7" i="61"/>
  <c r="D19" i="57"/>
  <c r="E2" i="21"/>
  <c r="H106" i="57" l="1"/>
  <c r="C113"/>
  <c r="H108" s="1"/>
  <c r="W21" i="21"/>
  <c r="B31" i="60"/>
  <c r="D39" i="50"/>
  <c r="D40" s="1"/>
  <c r="I14" i="62"/>
  <c r="B8" s="1"/>
  <c r="C8" s="1"/>
  <c r="D130" i="57"/>
  <c r="U23" i="39"/>
  <c r="AB24" i="36"/>
  <c r="AC40" i="40"/>
  <c r="W40"/>
  <c r="K109" i="43"/>
  <c r="K104"/>
  <c r="AC17" i="21"/>
  <c r="W17"/>
  <c r="U12" i="34"/>
  <c r="AB12"/>
  <c r="AC23" i="36"/>
  <c r="W23"/>
  <c r="AB14" i="37"/>
  <c r="U14"/>
  <c r="T25" i="31"/>
  <c r="AB21" i="39"/>
  <c r="F26" i="47"/>
  <c r="B24" s="1"/>
  <c r="F15"/>
  <c r="B13" s="1"/>
  <c r="F37"/>
  <c r="B35" s="1"/>
  <c r="W29" i="33"/>
  <c r="W30"/>
  <c r="F12" i="34"/>
  <c r="F43"/>
  <c r="F15"/>
  <c r="F23" i="36"/>
  <c r="D4" i="47"/>
  <c r="F4" s="1"/>
  <c r="B2" s="1"/>
  <c r="S11" i="59"/>
  <c r="B10"/>
  <c r="B9" s="1"/>
  <c r="C6"/>
  <c r="T7"/>
  <c r="D7"/>
  <c r="D14"/>
  <c r="C15"/>
  <c r="D22"/>
  <c r="C23"/>
  <c r="D29"/>
  <c r="C30"/>
  <c r="D30" s="1"/>
  <c r="D60" i="43"/>
  <c r="E59" s="1"/>
  <c r="B57" s="1"/>
  <c r="C24" s="1"/>
  <c r="D62"/>
  <c r="D64"/>
  <c r="D67"/>
  <c r="K100"/>
  <c r="C100"/>
  <c r="I10" i="58"/>
  <c r="S18" i="35"/>
  <c r="D35" i="59"/>
  <c r="O49"/>
  <c r="AA8"/>
  <c r="AA11"/>
  <c r="AA9"/>
  <c r="AB11"/>
  <c r="AB3"/>
  <c r="X8"/>
  <c r="X10"/>
  <c r="Y11"/>
  <c r="Z11" s="1"/>
  <c r="Y8"/>
  <c r="Z8" s="1"/>
  <c r="X12"/>
  <c r="Y12"/>
  <c r="Z12" s="1"/>
  <c r="AB12"/>
  <c r="Y13"/>
  <c r="Z13" s="1"/>
  <c r="AB13"/>
  <c r="Y14"/>
  <c r="Z14" s="1"/>
  <c r="AB14"/>
  <c r="Y15"/>
  <c r="Z15" s="1"/>
  <c r="AB15"/>
  <c r="B17"/>
  <c r="B18" s="1"/>
  <c r="B19" s="1"/>
  <c r="S19" s="1"/>
  <c r="C17"/>
  <c r="AA16"/>
  <c r="X17"/>
  <c r="AA17"/>
  <c r="X18"/>
  <c r="AA18"/>
  <c r="X19"/>
  <c r="AA19"/>
  <c r="C14" i="50"/>
  <c r="C23" i="12"/>
  <c r="J56" i="9"/>
  <c r="K57" i="57"/>
  <c r="J57" i="9"/>
  <c r="J59" s="1"/>
  <c r="J61" s="1"/>
  <c r="E81" i="43"/>
  <c r="B79" s="1"/>
  <c r="K107"/>
  <c r="H102"/>
  <c r="E103"/>
  <c r="D103"/>
  <c r="G103"/>
  <c r="N102"/>
  <c r="AB46" i="34"/>
  <c r="S47"/>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C23" s="1"/>
  <c r="M100"/>
  <c r="I100"/>
  <c r="E100"/>
  <c r="S21" i="33"/>
  <c r="S21" i="37"/>
  <c r="C25" i="40"/>
  <c r="D54" i="59"/>
  <c r="AB10"/>
  <c r="AB8"/>
  <c r="AA7"/>
  <c r="Y6"/>
  <c r="Z6" s="1"/>
  <c r="Y5"/>
  <c r="Z5" s="1"/>
  <c r="AB5"/>
  <c r="P51"/>
  <c r="U51"/>
  <c r="J1" i="61"/>
  <c r="V7" i="59"/>
  <c r="X7"/>
  <c r="B7"/>
  <c r="Y7"/>
  <c r="Z7" s="1"/>
  <c r="AB7"/>
  <c r="U7"/>
  <c r="AA6"/>
  <c r="X6"/>
  <c r="AB6"/>
  <c r="J52" i="15"/>
  <c r="B13" i="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M60" i="15"/>
  <c r="L49"/>
  <c r="I55" s="1"/>
  <c r="I20" i="43"/>
  <c r="C36" i="11"/>
  <c r="C35"/>
  <c r="C38"/>
  <c r="B14" i="1"/>
  <c r="D19"/>
  <c r="F19"/>
  <c r="D18"/>
  <c r="E19"/>
  <c r="C12" i="12"/>
  <c r="C13"/>
  <c r="C16" i="15"/>
  <c r="C19" s="1"/>
  <c r="C20" s="1"/>
  <c r="L69" i="57"/>
  <c r="M69" s="1"/>
  <c r="L68"/>
  <c r="M68" s="1"/>
  <c r="L67"/>
  <c r="M67" s="1"/>
  <c r="L66"/>
  <c r="M66" s="1"/>
  <c r="L65"/>
  <c r="M65" s="1"/>
  <c r="L64"/>
  <c r="M64" s="1"/>
  <c r="M70" s="1"/>
  <c r="N70" s="1"/>
  <c r="E124"/>
  <c r="D125"/>
  <c r="G124"/>
  <c r="F125"/>
  <c r="D128" i="9"/>
  <c r="D11" i="52" s="1"/>
  <c r="D20" i="50"/>
  <c r="F51" i="15"/>
  <c r="C50" s="1"/>
  <c r="C6"/>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D8" i="62" l="1"/>
  <c r="T23" i="59"/>
  <c r="D23"/>
  <c r="M19" i="43" s="1"/>
  <c r="T15" i="59"/>
  <c r="D15"/>
  <c r="AA23" i="36"/>
  <c r="S23"/>
  <c r="AA43" i="34"/>
  <c r="S43"/>
  <c r="H59" i="43"/>
  <c r="D17" i="59"/>
  <c r="C18"/>
  <c r="AA15" i="34"/>
  <c r="S15"/>
  <c r="S12"/>
  <c r="AA12"/>
  <c r="J7"/>
  <c r="J7" i="36"/>
  <c r="AC7" s="1"/>
  <c r="V36" s="1"/>
  <c r="I36" s="1"/>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H7"/>
  <c r="J7"/>
  <c r="E68" i="39"/>
  <c r="D70"/>
  <c r="AB7" i="36"/>
  <c r="T36" s="1"/>
  <c r="G36" s="1"/>
  <c r="U7"/>
  <c r="J7" i="37"/>
  <c r="F7"/>
  <c r="H7" i="34"/>
  <c r="F7"/>
  <c r="D65" i="40"/>
  <c r="E63"/>
  <c r="E58" i="21"/>
  <c r="W7" i="34"/>
  <c r="AC7"/>
  <c r="E58" i="33"/>
  <c r="W7" i="36"/>
  <c r="AA7"/>
  <c r="R36" s="1"/>
  <c r="S7"/>
  <c r="H7" i="37"/>
  <c r="M11" i="15"/>
  <c r="J10" s="1"/>
  <c r="J5" s="1"/>
  <c r="F11"/>
  <c r="D6" i="61"/>
  <c r="D5"/>
  <c r="D4"/>
  <c r="D3"/>
  <c r="D7"/>
  <c r="D18" i="59" l="1"/>
  <c r="C19"/>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I41" s="1"/>
  <c r="J41" s="1"/>
  <c r="F58" i="21"/>
  <c r="G58" s="1"/>
  <c r="H58" s="1"/>
  <c r="I58" s="1"/>
  <c r="J58" s="1"/>
  <c r="K58" s="1"/>
  <c r="L58" s="1"/>
  <c r="M58" s="1"/>
  <c r="N58" s="1"/>
  <c r="O58" s="1"/>
  <c r="F7" s="1"/>
  <c r="U7" i="34"/>
  <c r="AB7"/>
  <c r="W7" i="37"/>
  <c r="AC7"/>
  <c r="V42" s="1"/>
  <c r="I42" s="1"/>
  <c r="G41" i="36"/>
  <c r="H41" s="1"/>
  <c r="G40"/>
  <c r="H40" s="1"/>
  <c r="I40"/>
  <c r="J40" s="1"/>
  <c r="F58" i="33"/>
  <c r="E65" i="40"/>
  <c r="F63"/>
  <c r="S7" i="34"/>
  <c r="AA7"/>
  <c r="S7" i="37"/>
  <c r="AA7"/>
  <c r="R42" s="1"/>
  <c r="AC7" i="35"/>
  <c r="V38" s="1"/>
  <c r="I38" s="1"/>
  <c r="W7"/>
  <c r="AA7"/>
  <c r="R38" s="1"/>
  <c r="J7" i="21"/>
  <c r="C10" i="15"/>
  <c r="C5" s="1"/>
  <c r="C54"/>
  <c r="C49" s="1"/>
  <c r="J18"/>
  <c r="J24"/>
  <c r="J26"/>
  <c r="G1" i="61"/>
  <c r="T19" i="59" l="1"/>
  <c r="D19"/>
  <c r="M20" i="43" s="1"/>
  <c r="C19" s="1"/>
  <c r="E27" i="1"/>
  <c r="D115" i="57"/>
  <c r="D116" s="1"/>
  <c r="I112" s="1"/>
  <c r="D129" s="1"/>
  <c r="D120"/>
  <c r="I116" s="1"/>
  <c r="N17" i="43"/>
  <c r="G20" s="1"/>
  <c r="C20" s="1"/>
  <c r="C38" s="1"/>
  <c r="E38"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R50" i="34" l="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AC7" i="33"/>
  <c r="V48" s="1"/>
  <c r="I48" s="1"/>
  <c r="W7"/>
  <c r="C62" i="15"/>
  <c r="C60" s="1"/>
  <c r="Q46"/>
  <c r="S7" i="33" l="1"/>
  <c r="C22" i="11"/>
  <c r="C31" s="1"/>
  <c r="C52" s="1"/>
  <c r="B2" i="12"/>
  <c r="B3"/>
  <c r="C13" i="15"/>
  <c r="C36"/>
  <c r="Q47"/>
  <c r="J14"/>
  <c r="C58"/>
  <c r="C65" s="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D20" i="9"/>
  <c r="C20"/>
  <c r="D19"/>
  <c r="C19"/>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<sst xmlns="http://schemas.openxmlformats.org/spreadsheetml/2006/main" count="6925" uniqueCount="2923">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</sst>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估价对象为北京市房地产，为所有。根据《不动产权证书》[]，估价对象建筑面积为1平方米，（分摊）出让国有建设用地使用权面积为平方米。估价对象用途为。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1</v>
      </c>
    </row>
    <row r="19" spans="1:2">
      <c r="A19" s="1693" t="s">
        <v>1125</v>
      </c>
      <c r="B19" s="1680">
        <f ca="1">'预评函-2（1）'!D7</f>
        <v>35302</v>
      </c>
    </row>
    <row r="20" spans="1:2">
      <c r="A20" s="1693" t="s">
        <v>1163</v>
      </c>
      <c r="B20" s="1680" t="str">
        <f>'预评函-2（1）'!C7</f>
        <v>总价（元）</v>
      </c>
    </row>
    <row r="21" spans="1:2">
      <c r="A21" s="1693" t="s">
        <v>1126</v>
      </c>
      <c r="B21" s="1680">
        <f ca="1">'预评函-2（1）'!D9</f>
        <v>35302</v>
      </c>
    </row>
    <row r="22" spans="1:2">
      <c r="A22" s="1693" t="s">
        <v>1127</v>
      </c>
      <c r="B22" s="1680" t="str">
        <f ca="1">'预评函-2（1）'!D8</f>
        <v>叁万伍仟叁佰零贰元整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35302</v>
      </c>
    </row>
    <row r="30" spans="1:2">
      <c r="A30" s="1693" t="s">
        <v>1133</v>
      </c>
      <c r="B30" s="1680" t="str">
        <f ca="1">'预评函-2（1）'!D16</f>
        <v>叁万伍仟叁佰零贰元整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30536</v>
      </c>
    </row>
    <row r="38" spans="1:2">
      <c r="A38" s="1693" t="s">
        <v>1141</v>
      </c>
      <c r="B38" s="1680">
        <f ca="1">'预评函-2（2）'!E4</f>
        <v>30536</v>
      </c>
    </row>
    <row r="39" spans="1:2">
      <c r="A39" s="1693" t="s">
        <v>1142</v>
      </c>
      <c r="B39" s="1680" t="str">
        <f ca="1">'预评函-2（2）'!D5</f>
        <v>叁万零伍佰叁拾陆元整</v>
      </c>
    </row>
    <row r="40" spans="1:2">
      <c r="A40" s="1693" t="s">
        <v>1143</v>
      </c>
      <c r="B40" s="1680">
        <f ca="1">'预评函-2（2）'!F4</f>
        <v>4766</v>
      </c>
    </row>
    <row r="41" spans="1:2">
      <c r="A41" s="1693" t="s">
        <v>1144</v>
      </c>
      <c r="B41" s="1680">
        <f ca="1">'预评函-2（2）'!G4</f>
        <v>4766</v>
      </c>
    </row>
    <row r="42" spans="1:2" s="1690" customFormat="1" ht="15.75" thickBot="1">
      <c r="A42" s="1694" t="s">
        <v>1145</v>
      </c>
      <c r="B42" s="1682" t="str">
        <f ca="1">'预评函-2（2）'!F5</f>
        <v>肆仟柒佰陆拾陆元整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35302</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G18" sqref="G18"/>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16" t="s">
        <v>1556</v>
      </c>
      <c r="B8" s="2010" t="s">
        <v>1557</v>
      </c>
      <c r="C8" s="2928"/>
      <c r="D8" s="2929"/>
      <c r="E8" s="2011" t="s">
        <v>1558</v>
      </c>
      <c r="F8" s="2012" t="s">
        <v>1559</v>
      </c>
      <c r="G8" s="688">
        <f>C6</f>
        <v>0</v>
      </c>
    </row>
    <row r="9" spans="1:10">
      <c r="A9" s="2916"/>
      <c r="B9" s="342" t="s">
        <v>1560</v>
      </c>
      <c r="C9" s="1997"/>
      <c r="D9" s="2013"/>
      <c r="E9" s="1007" t="s">
        <v>1561</v>
      </c>
      <c r="F9" s="993" t="s">
        <v>87</v>
      </c>
      <c r="G9" s="1009"/>
    </row>
    <row r="10" spans="1:10" ht="13.5" thickBot="1">
      <c r="A10" s="2916"/>
      <c r="B10" s="342" t="s">
        <v>1562</v>
      </c>
      <c r="C10" s="2930"/>
      <c r="D10" s="2931"/>
      <c r="E10" s="2014" t="s">
        <v>1563</v>
      </c>
      <c r="F10" s="1010" t="s">
        <v>302</v>
      </c>
      <c r="G10" s="1011"/>
    </row>
    <row r="11" spans="1:10" ht="13.5" thickBot="1">
      <c r="A11" s="2916"/>
      <c r="B11" s="2015" t="s">
        <v>1564</v>
      </c>
      <c r="C11" s="2932"/>
      <c r="D11" s="2933"/>
      <c r="E11" s="1019"/>
      <c r="F11" s="1018"/>
      <c r="G11" s="1071"/>
    </row>
    <row r="12" spans="1:10" ht="24.75" thickBot="1">
      <c r="A12" s="2919" t="s">
        <v>1565</v>
      </c>
      <c r="B12" s="2016" t="s">
        <v>1566</v>
      </c>
      <c r="C12" s="1013">
        <v>1</v>
      </c>
      <c r="D12" s="2016" t="s">
        <v>1567</v>
      </c>
      <c r="E12" s="2017" t="s">
        <v>1568</v>
      </c>
      <c r="F12" s="2018" t="s">
        <v>1569</v>
      </c>
      <c r="G12" s="1071"/>
    </row>
    <row r="13" spans="1:10" ht="21" customHeight="1" thickBot="1">
      <c r="A13" s="2920"/>
      <c r="B13" s="2019" t="s">
        <v>1570</v>
      </c>
      <c r="C13" s="1014"/>
      <c r="D13" s="2019" t="s">
        <v>1571</v>
      </c>
      <c r="E13" s="2020" t="s">
        <v>1568</v>
      </c>
      <c r="F13" s="1018"/>
      <c r="G13" s="1071"/>
      <c r="I13" s="2906"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06"/>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06"/>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34" t="s">
        <v>1579</v>
      </c>
      <c r="C17" s="2935"/>
      <c r="D17" s="2936" t="s">
        <v>1580</v>
      </c>
      <c r="E17" s="2937"/>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22" t="s">
        <v>1596</v>
      </c>
      <c r="D27" s="2923"/>
      <c r="E27" s="1001"/>
      <c r="F27" s="1008" t="s">
        <v>1596</v>
      </c>
      <c r="G27" s="1001"/>
      <c r="I27" s="1068"/>
      <c r="K27" s="1068"/>
    </row>
    <row r="28" spans="1:15">
      <c r="A28" s="1005" t="s">
        <v>1597</v>
      </c>
      <c r="B28" s="976"/>
      <c r="C28" s="2924" t="s">
        <v>1598</v>
      </c>
      <c r="D28" s="2925"/>
      <c r="E28" s="976"/>
      <c r="F28" s="1884" t="s">
        <v>1598</v>
      </c>
      <c r="G28" s="976"/>
      <c r="I28" s="1068"/>
      <c r="K28" s="1068"/>
    </row>
    <row r="29" spans="1:15">
      <c r="A29" s="1005" t="s">
        <v>1599</v>
      </c>
      <c r="B29" s="976"/>
      <c r="C29" s="2924" t="s">
        <v>1599</v>
      </c>
      <c r="D29" s="2925"/>
      <c r="E29" s="976"/>
      <c r="F29" s="1884" t="s">
        <v>1600</v>
      </c>
      <c r="G29" s="976"/>
      <c r="I29" s="1068"/>
      <c r="K29" s="1068"/>
    </row>
    <row r="30" spans="1:15">
      <c r="A30" s="1005" t="s">
        <v>1601</v>
      </c>
      <c r="B30" s="976"/>
      <c r="C30" s="2913" t="s">
        <v>1602</v>
      </c>
      <c r="D30" s="2058"/>
      <c r="E30" s="1020" t="str">
        <f>E31&amp;" "&amp;E32&amp;" "&amp;E33&amp;" "&amp;E34</f>
        <v xml:space="preserve">   </v>
      </c>
      <c r="F30" s="1884" t="s">
        <v>1603</v>
      </c>
      <c r="G30" s="976"/>
    </row>
    <row r="31" spans="1:15">
      <c r="A31" s="1005" t="s">
        <v>1604</v>
      </c>
      <c r="B31" s="976"/>
      <c r="C31" s="2914"/>
      <c r="D31" s="1883" t="s">
        <v>1605</v>
      </c>
      <c r="E31" s="976"/>
      <c r="F31" s="1884" t="s">
        <v>1606</v>
      </c>
      <c r="G31" s="976"/>
    </row>
    <row r="32" spans="1:15" ht="24.75" thickBot="1">
      <c r="A32" s="1006" t="s">
        <v>1607</v>
      </c>
      <c r="B32" s="1002"/>
      <c r="C32" s="2914"/>
      <c r="D32" s="1883" t="s">
        <v>1608</v>
      </c>
      <c r="E32" s="976"/>
      <c r="F32" s="1884" t="s">
        <v>1609</v>
      </c>
      <c r="G32" s="976"/>
    </row>
    <row r="33" spans="1:7">
      <c r="A33" s="1004" t="s">
        <v>1610</v>
      </c>
      <c r="B33" s="1001"/>
      <c r="C33" s="2914"/>
      <c r="D33" s="1883" t="s">
        <v>1611</v>
      </c>
      <c r="E33" s="976"/>
      <c r="F33" s="1884" t="s">
        <v>1612</v>
      </c>
      <c r="G33" s="976"/>
    </row>
    <row r="34" spans="1:7" ht="13.5" thickBot="1">
      <c r="A34" s="1005" t="s">
        <v>1613</v>
      </c>
      <c r="B34" s="976"/>
      <c r="C34" s="2915"/>
      <c r="D34" s="1883" t="s">
        <v>1614</v>
      </c>
      <c r="E34" s="976"/>
      <c r="F34" s="1885" t="s">
        <v>1615</v>
      </c>
      <c r="G34" s="1003"/>
    </row>
    <row r="35" spans="1:7">
      <c r="A35" s="1005" t="s">
        <v>1566</v>
      </c>
      <c r="B35" s="976"/>
      <c r="C35" s="2924" t="s">
        <v>1616</v>
      </c>
      <c r="D35" s="2925"/>
      <c r="E35" s="976"/>
      <c r="F35" s="1016" t="s">
        <v>1617</v>
      </c>
      <c r="G35" s="1001"/>
    </row>
    <row r="36" spans="1:7" ht="13.5" thickBot="1">
      <c r="A36" s="1005" t="s">
        <v>1618</v>
      </c>
      <c r="B36" s="976"/>
      <c r="C36" s="2926" t="s">
        <v>1619</v>
      </c>
      <c r="D36" s="2927"/>
      <c r="E36" s="1002"/>
      <c r="F36" s="1881" t="s">
        <v>1620</v>
      </c>
      <c r="G36" s="976"/>
    </row>
    <row r="37" spans="1:7" ht="13.5" thickBot="1">
      <c r="A37" s="1005" t="s">
        <v>1621</v>
      </c>
      <c r="B37" s="976"/>
      <c r="C37" s="2911" t="s">
        <v>1622</v>
      </c>
      <c r="D37" s="2059" t="s">
        <v>1606</v>
      </c>
      <c r="E37" s="1001"/>
      <c r="F37" s="1885" t="s">
        <v>1623</v>
      </c>
      <c r="G37" s="1002"/>
    </row>
    <row r="38" spans="1:7">
      <c r="A38" s="1005" t="s">
        <v>1624</v>
      </c>
      <c r="B38" s="976"/>
      <c r="C38" s="2917"/>
      <c r="D38" s="1883" t="s">
        <v>1613</v>
      </c>
      <c r="E38" s="976"/>
      <c r="F38" s="1008" t="s">
        <v>1625</v>
      </c>
      <c r="G38" s="1001"/>
    </row>
    <row r="39" spans="1:7">
      <c r="A39" s="1005" t="s">
        <v>1626</v>
      </c>
      <c r="B39" s="976"/>
      <c r="C39" s="2917" t="s">
        <v>1627</v>
      </c>
      <c r="D39" s="1883" t="s">
        <v>1566</v>
      </c>
      <c r="E39" s="976"/>
      <c r="F39" s="1884" t="s">
        <v>1628</v>
      </c>
      <c r="G39" s="976"/>
    </row>
    <row r="40" spans="1:7" ht="24.75" customHeight="1" thickBot="1">
      <c r="A40" s="1006" t="s">
        <v>1629</v>
      </c>
      <c r="B40" s="1002"/>
      <c r="C40" s="2918"/>
      <c r="D40" s="1886" t="s">
        <v>1570</v>
      </c>
      <c r="E40" s="1002"/>
      <c r="F40" s="1885" t="s">
        <v>1630</v>
      </c>
      <c r="G40" s="1002"/>
    </row>
    <row r="41" spans="1:7">
      <c r="A41" s="1007" t="s">
        <v>1631</v>
      </c>
      <c r="B41" s="1057"/>
      <c r="C41" s="2907" t="s">
        <v>1631</v>
      </c>
      <c r="D41" s="2908"/>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09" t="s">
        <v>1634</v>
      </c>
      <c r="D48" s="2910"/>
      <c r="E48" s="1052"/>
      <c r="F48" s="1885" t="s">
        <v>1635</v>
      </c>
      <c r="G48" s="1002"/>
    </row>
    <row r="49" spans="1:15">
      <c r="A49" s="1005" t="s">
        <v>1636</v>
      </c>
      <c r="B49" s="1051"/>
      <c r="C49" s="2911" t="s">
        <v>1637</v>
      </c>
      <c r="D49" s="2912"/>
      <c r="E49" s="1053"/>
      <c r="F49" s="1081"/>
      <c r="G49" s="1082"/>
    </row>
    <row r="50" spans="1:15" ht="13.5" thickBot="1">
      <c r="A50" s="1005" t="s">
        <v>1638</v>
      </c>
      <c r="B50" s="1051"/>
      <c r="C50" s="2918" t="s">
        <v>1639</v>
      </c>
      <c r="D50" s="2921"/>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8" t="s">
        <v>0</v>
      </c>
      <c r="B1" s="2938" t="s">
        <v>2</v>
      </c>
      <c r="C1" s="2938" t="s">
        <v>3</v>
      </c>
      <c r="D1" s="2939" t="s">
        <v>67</v>
      </c>
      <c r="E1" s="2939" t="s">
        <v>68</v>
      </c>
      <c r="F1" s="2939"/>
      <c r="G1" s="2939"/>
      <c r="H1" s="2939"/>
      <c r="I1" s="2939"/>
      <c r="J1" s="2939"/>
      <c r="K1" s="2939"/>
      <c r="L1" s="2939"/>
      <c r="M1" s="2939"/>
    </row>
    <row r="2" spans="1:13" ht="27" customHeight="1">
      <c r="A2" s="2938"/>
      <c r="B2" s="2938"/>
      <c r="C2" s="2938"/>
      <c r="D2" s="2939"/>
      <c r="E2" s="2939" t="s">
        <v>51</v>
      </c>
      <c r="F2" s="2939" t="s">
        <v>52</v>
      </c>
      <c r="G2" s="2939"/>
      <c r="H2" s="2939"/>
      <c r="I2" s="2939"/>
      <c r="J2" s="2939" t="s">
        <v>53</v>
      </c>
      <c r="K2" s="2939"/>
      <c r="L2" s="2939"/>
      <c r="M2" s="2939"/>
    </row>
    <row r="3" spans="1:13" ht="28.5">
      <c r="A3" s="2938"/>
      <c r="B3" s="2938"/>
      <c r="C3" s="2938"/>
      <c r="D3" s="2939"/>
      <c r="E3" s="29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9" t="s">
        <v>69</v>
      </c>
      <c r="B9" s="2939"/>
      <c r="C9" s="29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F15" sqref="F15"/>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1</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160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200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200</v>
      </c>
      <c r="F13" s="1839" t="s">
        <v>1662</v>
      </c>
      <c r="G13" s="1845"/>
      <c r="H13" s="2942" t="s">
        <v>2888</v>
      </c>
      <c r="I13" s="294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3000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4" t="s">
        <v>2895</v>
      </c>
      <c r="I19" s="2945"/>
      <c r="J19" s="2945"/>
      <c r="K19" s="2945"/>
      <c r="L19" s="294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110</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7" t="s">
        <v>1735</v>
      </c>
      <c r="B1" s="2948"/>
      <c r="C1" s="2948"/>
      <c r="D1" s="2948"/>
      <c r="E1" s="2948"/>
      <c r="F1" s="2948"/>
      <c r="G1" s="294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7" sqref="D17:D18"/>
    </sheetView>
  </sheetViews>
  <sheetFormatPr defaultColWidth="14.625" defaultRowHeight="13.5"/>
  <cols>
    <col min="1" max="1" width="24.375" customWidth="1"/>
  </cols>
  <sheetData>
    <row r="1" spans="1:9" ht="16.5">
      <c r="A1" s="1820" t="s">
        <v>1225</v>
      </c>
      <c r="B1" s="1820">
        <f>SUM(B14:B23)</f>
        <v>1</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3.5301999999999998</v>
      </c>
      <c r="C5" s="1820">
        <f ca="1">ROUND(B5*10000/$B$1,0)</f>
        <v>35302</v>
      </c>
      <c r="D5" s="1820" t="e">
        <f ca="1">ROUND(B5*10000/$B$2,0)</f>
        <v>#DIV/0!</v>
      </c>
      <c r="E5" s="1821"/>
      <c r="F5" s="1825"/>
      <c r="G5" s="1825"/>
    </row>
    <row r="6" spans="1:9" ht="16.5">
      <c r="A6" s="1820" t="s">
        <v>1233</v>
      </c>
      <c r="B6" s="1820">
        <f ca="1">SUM(G14:G23)</f>
        <v>3.5301999999999998</v>
      </c>
      <c r="C6" s="1820">
        <f t="shared" ref="C6:C8" ca="1" si="0">ROUND(B6*10000/$B$1,0)</f>
        <v>35302</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1</v>
      </c>
      <c r="C14" s="1824">
        <f>项目基本情况!C13</f>
        <v>0</v>
      </c>
      <c r="D14" s="1824">
        <f ca="1">IF('数据-取费表'!B3="万元",IF(A14="估价对象1（结果表）",结果表!H121,'结果表 (1修多)'!H124),IF(A14="估价对象1（结果表）",结果表!H121,'结果表 (1修多)'!H124)/10000)</f>
        <v>3.5301999999999998</v>
      </c>
      <c r="E14" s="1824">
        <f ca="1">ROUND(D14*10000/B14,0)</f>
        <v>35302</v>
      </c>
      <c r="F14" s="1824" t="e">
        <f ca="1">ROUND(D14*10000/C14,0)</f>
        <v>#DIV/0!</v>
      </c>
      <c r="G14" s="1824">
        <f ca="1">IF('数据-取费表'!B3="万元",IF(A14="估价对象1（结果表）",结果表!D125,'结果表 (1修多)'!D128),IF(A14="估价对象1（结果表）",结果表!D125,'结果表 (1修多)'!D128)/10000)</f>
        <v>3.5301999999999998</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0" zoomScaleNormal="100" zoomScaleSheetLayoutView="100" zoomScalePageLayoutView="80" workbookViewId="0">
      <selection activeCell="J31" sqref="J31"/>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13" t="str">
        <f>项目基本情况!B1</f>
        <v>北京市预评估</v>
      </c>
      <c r="B2" s="3013"/>
      <c r="C2" s="3013"/>
      <c r="D2" s="3013"/>
      <c r="E2" s="3013"/>
      <c r="F2" s="3013"/>
      <c r="G2" s="3013"/>
      <c r="H2" s="3013"/>
      <c r="I2" s="3013"/>
    </row>
    <row r="3" spans="1:12" ht="12.75">
      <c r="A3" s="3016" t="s">
        <v>1771</v>
      </c>
      <c r="B3" s="3017"/>
      <c r="C3" s="3017"/>
      <c r="D3" s="3017"/>
      <c r="E3" s="3017"/>
      <c r="F3" s="3017"/>
      <c r="G3" s="3017"/>
      <c r="H3" s="3017"/>
      <c r="I3" s="3017"/>
    </row>
    <row r="4" spans="1:12" ht="14.25">
      <c r="A4" s="2188" t="s">
        <v>1772</v>
      </c>
      <c r="B4" s="2189" t="s">
        <v>1773</v>
      </c>
      <c r="C4" s="2190" t="s">
        <v>2869</v>
      </c>
      <c r="D4" s="2190" t="s">
        <v>2915</v>
      </c>
      <c r="E4" s="2997" t="s">
        <v>1774</v>
      </c>
      <c r="F4" s="2998"/>
      <c r="G4" s="2998"/>
      <c r="H4" s="2998"/>
      <c r="I4" s="300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2990" t="s">
        <v>1775</v>
      </c>
      <c r="B5" s="2952">
        <v>25</v>
      </c>
      <c r="C5" s="3001">
        <v>5</v>
      </c>
      <c r="D5" s="3015">
        <f>10-C5</f>
        <v>5</v>
      </c>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34299</v>
      </c>
      <c r="D19" s="60">
        <f ca="1">SUMIF(INDIRECT("'"&amp;D4&amp;"'"&amp;"!A:A"),结果表!B19,INDIRECT("'"&amp;D4&amp;"'"&amp;"!B:B"))</f>
        <v>36305</v>
      </c>
      <c r="E19" s="2197" t="s">
        <v>1796</v>
      </c>
      <c r="F19" s="2198" t="s">
        <v>1795</v>
      </c>
      <c r="G19" s="61">
        <f ca="1">ROUND(C19*$C$18+D19*$D$18,0)</f>
        <v>35302</v>
      </c>
      <c r="H19" s="2199" t="str">
        <f>'数据-取费表'!B3</f>
        <v>元</v>
      </c>
      <c r="I19" s="2186"/>
      <c r="J19" s="796">
        <v>49.89</v>
      </c>
    </row>
    <row r="20" spans="1:35" ht="15">
      <c r="A20" s="2200"/>
      <c r="B20" s="2201" t="s">
        <v>1797</v>
      </c>
      <c r="C20" s="62">
        <f ca="1">SUMIF(INDIRECT("'"&amp;C4&amp;"'"&amp;"!A:A"),结果表!B20,INDIRECT("'"&amp;C4&amp;"'"&amp;"!B:B"))</f>
        <v>34299</v>
      </c>
      <c r="D20" s="63">
        <f ca="1">SUMIF(INDIRECT("'"&amp;D4&amp;"'"&amp;"!A:A"),结果表!B20,INDIRECT("'"&amp;D4&amp;"'"&amp;"!B:B"))</f>
        <v>36305</v>
      </c>
      <c r="E20" s="2200"/>
      <c r="F20" s="2201" t="s">
        <v>1797</v>
      </c>
      <c r="G20" s="64">
        <f ca="1">ROUND(C20*$C$18+D20*$D$18,0)</f>
        <v>35302</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5.8485670136155576E-2</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35302</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30536</v>
      </c>
      <c r="D34" s="1088">
        <f ca="1">IF(D33="自定义",ROUND(C34/C32,3),1-D35)</f>
        <v>0.86499999999999999</v>
      </c>
      <c r="E34" s="2224" t="s">
        <v>1810</v>
      </c>
      <c r="F34" s="1818">
        <v>2000</v>
      </c>
      <c r="G34" s="2186"/>
      <c r="H34" s="2186"/>
      <c r="I34" s="2186"/>
    </row>
    <row r="35" spans="1:16" ht="15.75" thickBot="1">
      <c r="A35" s="2225"/>
      <c r="B35" s="2226" t="s">
        <v>1811</v>
      </c>
      <c r="C35" s="73">
        <f ca="1">IF(D33="自定义",F35,ROUND(C32*D35,0))</f>
        <v>4766</v>
      </c>
      <c r="D35" s="1087">
        <f ca="1">IF(D33="自定义",ROUND(C35/C32,3),IF(D33="成本法成本比率",成本法!C56,IF(D33="收益法收益比率",收益法!J38,收益法!J41)))</f>
        <v>0.13500000000000001</v>
      </c>
      <c r="E35" s="2227" t="s">
        <v>1812</v>
      </c>
      <c r="F35" s="79">
        <v>4460</v>
      </c>
      <c r="G35" s="2186"/>
      <c r="H35" s="2186"/>
      <c r="I35" s="2186"/>
    </row>
    <row r="36" spans="1:16" ht="15.75" thickBot="1">
      <c r="A36" s="3003" t="s">
        <v>1813</v>
      </c>
      <c r="B36" s="2228" t="s">
        <v>1814</v>
      </c>
      <c r="C36" s="69">
        <v>0</v>
      </c>
      <c r="D36" s="2229"/>
      <c r="E36" s="2230"/>
      <c r="F36" s="2230"/>
      <c r="G36" s="2186"/>
      <c r="H36" s="2186"/>
      <c r="I36" s="2186"/>
    </row>
    <row r="37" spans="1:16" ht="15.75" thickBot="1">
      <c r="A37" s="3004"/>
      <c r="B37" s="2231" t="s">
        <v>1815</v>
      </c>
      <c r="C37" s="71">
        <v>0</v>
      </c>
      <c r="D37" s="2196"/>
      <c r="E37" s="2196"/>
      <c r="F37" s="2230"/>
      <c r="G37" s="2196"/>
      <c r="H37" s="2196"/>
      <c r="I37" s="2196"/>
    </row>
    <row r="38" spans="1:16" ht="15.75" thickBot="1">
      <c r="A38" s="3005"/>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09" t="s">
        <v>1824</v>
      </c>
      <c r="B45" s="3010"/>
      <c r="C45" s="3011"/>
      <c r="D45" s="80">
        <f ca="1">ROUND(I102*F45,0)</f>
        <v>35302</v>
      </c>
      <c r="E45" s="81" t="s">
        <v>1825</v>
      </c>
      <c r="F45" s="82">
        <v>1</v>
      </c>
      <c r="G45" s="83" t="s">
        <v>1826</v>
      </c>
      <c r="H45" s="2186"/>
      <c r="I45" s="2186"/>
      <c r="J45" s="3071" t="s">
        <v>1827</v>
      </c>
      <c r="K45" s="3071"/>
      <c r="L45" s="3071"/>
      <c r="M45" s="3071"/>
      <c r="N45" s="3071"/>
      <c r="O45" s="3071"/>
      <c r="P45" s="1835"/>
    </row>
    <row r="46" spans="1:16" ht="14.25" customHeight="1">
      <c r="A46" s="2994" t="s">
        <v>1828</v>
      </c>
      <c r="B46" s="2995"/>
      <c r="C46" s="2995"/>
      <c r="D46" s="2995"/>
      <c r="E46" s="2995"/>
      <c r="F46" s="2995"/>
      <c r="G46" s="2996"/>
      <c r="H46" s="2248"/>
      <c r="I46" s="1141"/>
      <c r="J46" s="1873">
        <v>1</v>
      </c>
      <c r="K46" s="3071" t="s">
        <v>1829</v>
      </c>
      <c r="L46" s="3071"/>
      <c r="M46" s="3072" t="str">
        <f>项目基本情况!B1</f>
        <v>北京市预评估</v>
      </c>
      <c r="N46" s="3072"/>
      <c r="O46" s="3072"/>
      <c r="P46" s="1835"/>
    </row>
    <row r="47" spans="1:16" ht="12" customHeight="1">
      <c r="A47" s="85" t="s">
        <v>1830</v>
      </c>
      <c r="B47" s="86"/>
      <c r="C47" s="87"/>
      <c r="D47" s="88" t="s">
        <v>1831</v>
      </c>
      <c r="E47" s="14" t="s">
        <v>1832</v>
      </c>
      <c r="F47" s="89" t="s">
        <v>1833</v>
      </c>
      <c r="G47" s="90" t="s">
        <v>1834</v>
      </c>
      <c r="H47" s="2248"/>
      <c r="I47" s="1141"/>
      <c r="J47" s="1873">
        <v>2</v>
      </c>
      <c r="K47" s="3071" t="s">
        <v>1835</v>
      </c>
      <c r="L47" s="3071"/>
      <c r="M47" s="3073">
        <f>'数据-取费表'!B2</f>
        <v>43276</v>
      </c>
      <c r="N47" s="3073"/>
      <c r="O47" s="3073"/>
      <c r="P47" s="1835"/>
    </row>
    <row r="48" spans="1:16" ht="25.5">
      <c r="A48" s="3006" t="s">
        <v>1836</v>
      </c>
      <c r="B48" s="3007"/>
      <c r="C48" s="3007"/>
      <c r="D48" s="56">
        <f ca="1">IF(H48="情况1",0,IF(H48="情况2",D52,IF(H48="情况3",D53,IF(H48="情况4",D54))))</f>
        <v>1883</v>
      </c>
      <c r="E48" s="1883" t="str">
        <f>IF(H48="情况4","(销售额-原购置价)×税（费）率","销售额×税（费）率")</f>
        <v>销售额×税（费）率</v>
      </c>
      <c r="F48" s="91">
        <f>IF(H48="情况1","免征",'数据-取费表'!E29)</f>
        <v>5.6000000000000001E-2</v>
      </c>
      <c r="G48" s="2249" t="s">
        <v>1837</v>
      </c>
      <c r="H48" s="2250" t="s">
        <v>1838</v>
      </c>
      <c r="I48" s="2248"/>
      <c r="J48" s="1873">
        <v>3</v>
      </c>
      <c r="K48" s="3071" t="s">
        <v>1839</v>
      </c>
      <c r="L48" s="3071"/>
      <c r="M48" s="3072">
        <f ca="1">I102</f>
        <v>35302</v>
      </c>
      <c r="N48" s="3072"/>
      <c r="O48" s="3072"/>
      <c r="P48" s="1835"/>
    </row>
    <row r="49" spans="1:16" ht="25.5" customHeight="1">
      <c r="A49" s="92" t="s">
        <v>1840</v>
      </c>
      <c r="B49" s="2999" t="s">
        <v>1841</v>
      </c>
      <c r="C49" s="2999"/>
      <c r="D49" s="93">
        <v>0</v>
      </c>
      <c r="E49" s="13" t="s">
        <v>1842</v>
      </c>
      <c r="F49" s="18" t="s">
        <v>48</v>
      </c>
      <c r="G49" s="3064"/>
      <c r="H49" s="2186"/>
      <c r="I49" s="2251"/>
      <c r="J49" s="1873">
        <v>4</v>
      </c>
      <c r="K49" s="3071" t="str">
        <f>IF(项目基本情况!F5="房地产抵押价值","房地产抵押价值","抵押担保权已注销时的房地产抵押价值")</f>
        <v>抵押担保权已注销时的房地产抵押价值</v>
      </c>
      <c r="L49" s="3071"/>
      <c r="M49" s="3072" t="str">
        <f>IF(项目基本情况!F5="房地产抵押价值",I110,I112)</f>
        <v>——</v>
      </c>
      <c r="N49" s="3072"/>
      <c r="O49" s="3072"/>
      <c r="P49" s="1835"/>
    </row>
    <row r="50" spans="1:16" ht="25.5" customHeight="1">
      <c r="A50" s="94"/>
      <c r="B50" s="2999" t="s">
        <v>1843</v>
      </c>
      <c r="C50" s="2999"/>
      <c r="D50" s="95"/>
      <c r="E50" s="21"/>
      <c r="F50" s="96"/>
      <c r="G50" s="3065"/>
      <c r="H50" s="2186"/>
      <c r="I50" s="2251"/>
      <c r="J50" s="3071" t="s">
        <v>1844</v>
      </c>
      <c r="K50" s="3071"/>
      <c r="L50" s="3071"/>
      <c r="M50" s="3071"/>
      <c r="N50" s="3071"/>
      <c r="O50" s="3071"/>
      <c r="P50" s="1835"/>
    </row>
    <row r="51" spans="1:16" ht="12" customHeight="1">
      <c r="A51" s="97"/>
      <c r="B51" s="2999" t="s">
        <v>1845</v>
      </c>
      <c r="C51" s="2999"/>
      <c r="D51" s="98"/>
      <c r="E51" s="20"/>
      <c r="F51" s="96"/>
      <c r="G51" s="3066"/>
      <c r="H51" s="2186"/>
      <c r="I51" s="2251"/>
      <c r="J51" s="2252" t="s">
        <v>1846</v>
      </c>
      <c r="K51" s="3071" t="s">
        <v>1847</v>
      </c>
      <c r="L51" s="3071"/>
      <c r="M51" s="2252" t="s">
        <v>1848</v>
      </c>
      <c r="N51" s="2252" t="s">
        <v>1849</v>
      </c>
      <c r="O51" s="2252" t="s">
        <v>1850</v>
      </c>
      <c r="P51" s="1835"/>
    </row>
    <row r="52" spans="1:16" ht="24" customHeight="1">
      <c r="A52" s="99" t="s">
        <v>1851</v>
      </c>
      <c r="B52" s="2999" t="s">
        <v>1852</v>
      </c>
      <c r="C52" s="2999"/>
      <c r="D52" s="98">
        <f ca="1">ROUND(D45*'数据-取费表'!E29/(1+'数据-取费表'!F30),0)</f>
        <v>1883</v>
      </c>
      <c r="E52" s="10" t="s">
        <v>1853</v>
      </c>
      <c r="F52" s="100">
        <f>'数据-取费表'!E29</f>
        <v>5.6000000000000001E-2</v>
      </c>
      <c r="G52" s="2253"/>
      <c r="H52" s="2186"/>
      <c r="I52" s="2251"/>
      <c r="J52" s="1873">
        <v>1</v>
      </c>
      <c r="K52" s="3031" t="s">
        <v>1854</v>
      </c>
      <c r="L52" s="3031"/>
      <c r="M52" s="776">
        <f ca="1">D48</f>
        <v>1883</v>
      </c>
      <c r="N52" s="1873" t="str">
        <f>E48</f>
        <v>销售额×税（费）率</v>
      </c>
      <c r="O52" s="777">
        <f>F48</f>
        <v>5.6000000000000001E-2</v>
      </c>
      <c r="P52" s="1835"/>
    </row>
    <row r="53" spans="1:16" ht="12" customHeight="1">
      <c r="A53" s="99" t="s">
        <v>1855</v>
      </c>
      <c r="B53" s="3000" t="s">
        <v>1856</v>
      </c>
      <c r="C53" s="2925"/>
      <c r="D53" s="98">
        <f ca="1">ROUND(D45*'数据-取费表'!E29/(1+'数据-取费表'!F30),0)</f>
        <v>1883</v>
      </c>
      <c r="E53" s="10" t="s">
        <v>1853</v>
      </c>
      <c r="F53" s="100">
        <f>'数据-取费表'!E29</f>
        <v>5.6000000000000001E-2</v>
      </c>
      <c r="G53" s="2253"/>
      <c r="H53" s="2186"/>
      <c r="I53" s="2251"/>
      <c r="J53" s="1873">
        <v>2</v>
      </c>
      <c r="K53" s="3031" t="s">
        <v>1857</v>
      </c>
      <c r="L53" s="3031"/>
      <c r="M53" s="776">
        <f t="shared" ref="M53:O54" ca="1" si="1">D55</f>
        <v>18</v>
      </c>
      <c r="N53" s="1873" t="str">
        <f t="shared" si="1"/>
        <v>销售额×税（费）率</v>
      </c>
      <c r="O53" s="777">
        <f t="shared" si="1"/>
        <v>5.0000000000000001E-4</v>
      </c>
      <c r="P53" s="1835"/>
    </row>
    <row r="54" spans="1:16" ht="12" customHeight="1">
      <c r="A54" s="99" t="s">
        <v>1858</v>
      </c>
      <c r="B54" s="3000" t="s">
        <v>1859</v>
      </c>
      <c r="C54" s="2925"/>
      <c r="D54" s="98">
        <f ca="1">C68</f>
        <v>1883</v>
      </c>
      <c r="E54" s="20" t="s">
        <v>1860</v>
      </c>
      <c r="F54" s="100">
        <f>'数据-取费表'!E29</f>
        <v>5.6000000000000001E-2</v>
      </c>
      <c r="G54" s="2253"/>
      <c r="H54" s="2254"/>
      <c r="I54" s="2251"/>
      <c r="J54" s="1873">
        <v>3</v>
      </c>
      <c r="K54" s="3031" t="s">
        <v>1861</v>
      </c>
      <c r="L54" s="3031"/>
      <c r="M54" s="776">
        <f t="shared" ca="1" si="1"/>
        <v>19981</v>
      </c>
      <c r="N54" s="1873" t="str">
        <f t="shared" si="1"/>
        <v>增值额×税（费）率</v>
      </c>
      <c r="O54" s="778" t="str">
        <f t="shared" si="1"/>
        <v>——</v>
      </c>
      <c r="P54" s="1835"/>
    </row>
    <row r="55" spans="1:16" ht="24" customHeight="1">
      <c r="A55" s="2917" t="s">
        <v>1862</v>
      </c>
      <c r="B55" s="3007"/>
      <c r="C55" s="3007"/>
      <c r="D55" s="101">
        <f ca="1">IF(H55="个人住宅",0,ROUND(D45*I55,0))</f>
        <v>18</v>
      </c>
      <c r="E55" s="10" t="s">
        <v>1863</v>
      </c>
      <c r="F55" s="100">
        <f>IF(H55="正常",I55,"免征")</f>
        <v>5.0000000000000001E-4</v>
      </c>
      <c r="G55" s="2253"/>
      <c r="H55" s="2250" t="s">
        <v>1864</v>
      </c>
      <c r="I55" s="102">
        <f>'数据-取费表'!E37</f>
        <v>5.0000000000000001E-4</v>
      </c>
      <c r="J55" s="1873">
        <f>IF(H59="非个人房产","",4)</f>
        <v>4</v>
      </c>
      <c r="K55" s="3031" t="str">
        <f>IF(H59="非个人房产","——","个人所得税")</f>
        <v>个人所得税</v>
      </c>
      <c r="L55" s="3031"/>
      <c r="M55" s="779">
        <f ca="1">D59</f>
        <v>353</v>
      </c>
      <c r="N55" s="1876" t="str">
        <f>E59</f>
        <v>销售额×税（费）率</v>
      </c>
      <c r="O55" s="780">
        <f>F59</f>
        <v>0.01</v>
      </c>
      <c r="P55" s="1835"/>
    </row>
    <row r="56" spans="1:16" ht="24.75">
      <c r="A56" s="2917" t="s">
        <v>1865</v>
      </c>
      <c r="B56" s="3007"/>
      <c r="C56" s="3007"/>
      <c r="D56" s="101">
        <f ca="1">IF(H56="个人住宅",D57,D58)</f>
        <v>19981</v>
      </c>
      <c r="E56" s="10" t="s">
        <v>1866</v>
      </c>
      <c r="F56" s="100" t="str">
        <f>IF(H56="正常",F58,"免征")</f>
        <v>——</v>
      </c>
      <c r="G56" s="2255" t="s">
        <v>1867</v>
      </c>
      <c r="H56" s="2256" t="s">
        <v>1864</v>
      </c>
      <c r="I56" s="1019"/>
      <c r="J56" s="1873" t="str">
        <f>IF(项目基本情况!I6="上海银行",IF(J55="",4,J55+1),"")</f>
        <v/>
      </c>
      <c r="K56" s="3049" t="str">
        <f>IF(项目基本情况!I6="上海银行","其他处置费用","")</f>
        <v/>
      </c>
      <c r="L56" s="3050"/>
      <c r="M56" s="776" t="str">
        <f>IF(项目基本情况!I6="上海银行",M69,"")</f>
        <v/>
      </c>
      <c r="N56" s="3062" t="str">
        <f>IF(项目基本情况!I6="上海银行","包含处置中涉及的律师、诉讼、拍卖、评估等费用","")</f>
        <v/>
      </c>
      <c r="O56" s="3063"/>
      <c r="P56" s="1835"/>
    </row>
    <row r="57" spans="1:16" ht="12.75">
      <c r="A57" s="99" t="s">
        <v>1840</v>
      </c>
      <c r="B57" s="2997" t="s">
        <v>1868</v>
      </c>
      <c r="C57" s="3008"/>
      <c r="D57" s="103">
        <v>0</v>
      </c>
      <c r="E57" s="13" t="s">
        <v>1842</v>
      </c>
      <c r="F57" s="70"/>
      <c r="G57" s="2253"/>
      <c r="H57" s="1019"/>
      <c r="I57" s="1019"/>
      <c r="J57" s="3031">
        <f>IF(AND(J55="",J56=""),4,IF(项目基本情况!I6="上海银行",J56+1,J55+1))</f>
        <v>5</v>
      </c>
      <c r="K57" s="3031" t="s">
        <v>1869</v>
      </c>
      <c r="L57" s="2257" t="s">
        <v>1870</v>
      </c>
      <c r="M57" s="781"/>
      <c r="N57" s="782">
        <f ca="1">SUMIF(M52:M56,"&lt;9e307")</f>
        <v>22235</v>
      </c>
      <c r="O57" s="2258"/>
      <c r="P57" s="1831" t="e">
        <f ca="1">N57/M49</f>
        <v>#VALUE!</v>
      </c>
    </row>
    <row r="58" spans="1:16" ht="24.75">
      <c r="A58" s="99" t="s">
        <v>1851</v>
      </c>
      <c r="B58" s="2997" t="s">
        <v>1871</v>
      </c>
      <c r="C58" s="2998"/>
      <c r="D58" s="101">
        <f ca="1">IF(H58="转让取得",C81,C97)</f>
        <v>19981</v>
      </c>
      <c r="E58" s="10" t="s">
        <v>1866</v>
      </c>
      <c r="F58" s="14" t="s">
        <v>48</v>
      </c>
      <c r="G58" s="2253"/>
      <c r="H58" s="2256" t="s">
        <v>1872</v>
      </c>
      <c r="I58" s="1019"/>
      <c r="J58" s="3031"/>
      <c r="K58" s="3031"/>
      <c r="L58" s="2257" t="s">
        <v>1873</v>
      </c>
      <c r="M58" s="783"/>
      <c r="N58" s="2259" t="str">
        <f ca="1">IF(H19="元",NUMBERSTRING(INT(N57),2)&amp;"元整",NUMBERSTRING(INT(N57*10000),2)&amp;"元整")</f>
        <v>贰万贰仟贰佰叁拾伍元整</v>
      </c>
      <c r="O58" s="2260"/>
      <c r="P58" s="1835"/>
    </row>
    <row r="59" spans="1:16" ht="26.25" thickBot="1">
      <c r="A59" s="2918" t="s">
        <v>1874</v>
      </c>
      <c r="B59" s="2921"/>
      <c r="C59" s="2921"/>
      <c r="D59" s="104">
        <f ca="1">IF(H59="非个人房产","——",IF(H59="个人住宅",0,ROUND(D45*I59,0)))</f>
        <v>353</v>
      </c>
      <c r="E59" s="105" t="str">
        <f>IF(H59="非个人房产","——","销售额×税（费）率")</f>
        <v>销售额×税（费）率</v>
      </c>
      <c r="F59" s="106">
        <f>IF(H59="非个人房产","——",IF(H59="个人住宅","免征",I59))</f>
        <v>0.01</v>
      </c>
      <c r="G59" s="2261" t="s">
        <v>1867</v>
      </c>
      <c r="H59" s="2256" t="s">
        <v>1875</v>
      </c>
      <c r="I59" s="107">
        <v>0.01</v>
      </c>
      <c r="J59" s="3029">
        <f>J57+1</f>
        <v>6</v>
      </c>
      <c r="K59" s="303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30"/>
      <c r="K60" s="3031"/>
      <c r="L60" s="2257" t="s">
        <v>1873</v>
      </c>
      <c r="M60" s="783"/>
      <c r="N60" s="2259" t="e">
        <f ca="1">IF(H19="元",NUMBERSTRING(INT(N59),2)&amp;"元整",NUMBERSTRING(INT(N59*10000),2)&amp;"元整")</f>
        <v>#VALUE!</v>
      </c>
      <c r="O60" s="2260"/>
      <c r="P60" s="1835"/>
    </row>
    <row r="61" spans="1:16" ht="13.5" thickBot="1">
      <c r="A61" s="3012" t="s">
        <v>1877</v>
      </c>
      <c r="B61" s="3012"/>
      <c r="C61" s="3012"/>
      <c r="D61" s="3012"/>
      <c r="E61" s="3012"/>
      <c r="F61" s="1019"/>
      <c r="G61" s="1019"/>
      <c r="H61" s="2239"/>
      <c r="I61" s="2186"/>
      <c r="J61" s="1873">
        <f>J59+1</f>
        <v>7</v>
      </c>
      <c r="K61" s="3031" t="s">
        <v>1878</v>
      </c>
      <c r="L61" s="3031"/>
      <c r="M61" s="786"/>
      <c r="N61" s="787" t="e">
        <f ca="1">IF(H19="元",ROUND(N59/项目基本情况!C12,0),ROUND(N59*10000/项目基本情况!C12,0))</f>
        <v>#VALUE!</v>
      </c>
      <c r="O61" s="2263"/>
      <c r="P61" s="1835"/>
    </row>
    <row r="62" spans="1:16" ht="12.75">
      <c r="A62" s="3019" t="s">
        <v>1879</v>
      </c>
      <c r="B62" s="302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33621</v>
      </c>
      <c r="D63" s="112"/>
      <c r="E63" s="113"/>
      <c r="F63" s="1019"/>
      <c r="G63" s="1019"/>
      <c r="H63" s="2239"/>
      <c r="I63" s="2186"/>
      <c r="J63" s="3051"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35302</v>
      </c>
      <c r="D64" s="117" t="s">
        <v>41</v>
      </c>
      <c r="E64" s="118"/>
      <c r="F64" s="1019"/>
      <c r="G64" s="1019"/>
      <c r="H64" s="2239"/>
      <c r="I64" s="2186"/>
      <c r="J64" s="3051"/>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3051"/>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3051"/>
      <c r="K66" s="2264" t="s">
        <v>1892</v>
      </c>
      <c r="L66" s="1834" t="e">
        <f>M49*0.5%</f>
        <v>#VALUE!</v>
      </c>
      <c r="M66" s="14" t="e">
        <f>IF(L66&gt;0.5,0.5,ROUND(L66,0))</f>
        <v>#VALUE!</v>
      </c>
      <c r="N66" s="1835" t="s">
        <v>1893</v>
      </c>
      <c r="O66" s="1835"/>
      <c r="P66" s="1835"/>
    </row>
    <row r="67" spans="1:35" ht="12.75">
      <c r="A67" s="120" t="s">
        <v>42</v>
      </c>
      <c r="B67" s="121" t="s">
        <v>1894</v>
      </c>
      <c r="C67" s="124">
        <f ca="1">C63-C66</f>
        <v>33621</v>
      </c>
      <c r="D67" s="117" t="s">
        <v>41</v>
      </c>
      <c r="E67" s="118"/>
      <c r="F67" s="1019"/>
      <c r="G67" s="1019"/>
      <c r="H67" s="2239"/>
      <c r="I67" s="2186"/>
      <c r="J67" s="3051"/>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1883</v>
      </c>
      <c r="D68" s="128">
        <f>'数据-取费表'!E29</f>
        <v>5.6000000000000001E-2</v>
      </c>
      <c r="E68" s="129"/>
      <c r="F68" s="1019"/>
      <c r="G68" s="1019"/>
      <c r="H68" s="2239"/>
      <c r="I68" s="2186"/>
      <c r="J68" s="3051"/>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3051"/>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3023" t="s">
        <v>1899</v>
      </c>
      <c r="B70" s="3024"/>
      <c r="C70" s="3024"/>
      <c r="D70" s="3024"/>
      <c r="E70" s="3024"/>
      <c r="F70" s="3024"/>
      <c r="G70" s="3024"/>
      <c r="H70" s="3024"/>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3019" t="s">
        <v>1879</v>
      </c>
      <c r="B71" s="302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33621</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202</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00" t="s">
        <v>1909</v>
      </c>
      <c r="F76" s="2999"/>
      <c r="G76" s="2999"/>
      <c r="H76" s="3014"/>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202</v>
      </c>
      <c r="D78" s="145">
        <f>'数据-取费表'!E31</f>
        <v>6.000000000000001E-3</v>
      </c>
      <c r="E78" s="2991" t="s">
        <v>1914</v>
      </c>
      <c r="F78" s="2992"/>
      <c r="G78" s="2992"/>
      <c r="H78" s="2993"/>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33419</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165.44059405940595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19981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3023" t="s">
        <v>1918</v>
      </c>
      <c r="B83" s="3024"/>
      <c r="C83" s="3024"/>
      <c r="D83" s="3024"/>
      <c r="E83" s="3024"/>
      <c r="F83" s="3024"/>
      <c r="G83" s="3024"/>
      <c r="H83" s="3024"/>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3019" t="s">
        <v>1879</v>
      </c>
      <c r="B84" s="302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33621</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202</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91" t="s">
        <v>1926</v>
      </c>
      <c r="F91" s="2992"/>
      <c r="G91" s="2992"/>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91" t="s">
        <v>1929</v>
      </c>
      <c r="F92" s="2992"/>
      <c r="G92" s="2992"/>
      <c r="H92" s="2993"/>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202</v>
      </c>
      <c r="D93" s="145">
        <f>'数据-取费表'!E31</f>
        <v>6.000000000000001E-3</v>
      </c>
      <c r="E93" s="2991" t="s">
        <v>1914</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91" t="s">
        <v>1931</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33419</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165.44059405940595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19981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3046" t="s">
        <v>1933</v>
      </c>
      <c r="B99" s="3047"/>
      <c r="C99" s="3047"/>
      <c r="D99" s="3048"/>
      <c r="E99" s="2186"/>
      <c r="F99" s="3057" t="s">
        <v>1934</v>
      </c>
      <c r="G99" s="3058"/>
      <c r="H99" s="3058"/>
      <c r="I99" s="3059"/>
    </row>
    <row r="100" spans="1:35" ht="15.75">
      <c r="A100" s="3060" t="s">
        <v>1935</v>
      </c>
      <c r="B100" s="3061"/>
      <c r="C100" s="718" t="str">
        <f>C4</f>
        <v>收益法</v>
      </c>
      <c r="D100" s="719" t="str">
        <f>D4</f>
        <v>成本法</v>
      </c>
      <c r="E100" s="2186"/>
      <c r="F100" s="2956" t="s">
        <v>1936</v>
      </c>
      <c r="G100" s="2957"/>
      <c r="H100" s="2956" t="s">
        <v>1937</v>
      </c>
      <c r="I100" s="2955"/>
    </row>
    <row r="101" spans="1:35" ht="15.75">
      <c r="A101" s="3038" t="s">
        <v>1938</v>
      </c>
      <c r="B101" s="2281" t="str">
        <f>IF(H19="元","总价（元）","总价（万元）")</f>
        <v>总价（元）</v>
      </c>
      <c r="C101" s="718">
        <f ca="1">C19</f>
        <v>34299</v>
      </c>
      <c r="D101" s="719">
        <f ca="1">D19</f>
        <v>36305</v>
      </c>
      <c r="E101" s="2186"/>
      <c r="F101" s="2956" t="str">
        <f>项目基本情况!I1</f>
        <v>北京市房地产</v>
      </c>
      <c r="G101" s="2957"/>
      <c r="H101" s="2954">
        <f>项目基本情况!C12</f>
        <v>1</v>
      </c>
      <c r="I101" s="2955"/>
    </row>
    <row r="102" spans="1:35" ht="15.75">
      <c r="A102" s="3038"/>
      <c r="B102" s="2281" t="s">
        <v>1939</v>
      </c>
      <c r="C102" s="720">
        <f ca="1">C20</f>
        <v>34299</v>
      </c>
      <c r="D102" s="721">
        <f ca="1">D20</f>
        <v>36305</v>
      </c>
      <c r="E102" s="2186"/>
      <c r="F102" s="2983" t="s">
        <v>1940</v>
      </c>
      <c r="G102" s="2984"/>
      <c r="H102" s="2282" t="str">
        <f>C106</f>
        <v>总价（元）</v>
      </c>
      <c r="I102" s="1852">
        <f ca="1">H121</f>
        <v>35302</v>
      </c>
    </row>
    <row r="103" spans="1:35" ht="15">
      <c r="A103" s="3038" t="s">
        <v>1941</v>
      </c>
      <c r="B103" s="2283" t="str">
        <f>B101</f>
        <v>总价（元）</v>
      </c>
      <c r="C103" s="722">
        <f ca="1">H121</f>
        <v>35302</v>
      </c>
      <c r="D103" s="723"/>
      <c r="E103" s="2186"/>
      <c r="F103" s="2983"/>
      <c r="G103" s="2984"/>
      <c r="H103" s="2282" t="s">
        <v>1939</v>
      </c>
      <c r="I103" s="1047">
        <f ca="1">I121</f>
        <v>35302</v>
      </c>
    </row>
    <row r="104" spans="1:35" ht="16.5" thickBot="1">
      <c r="A104" s="3039"/>
      <c r="B104" s="2284" t="s">
        <v>1939</v>
      </c>
      <c r="C104" s="724">
        <f ca="1">I121</f>
        <v>35302</v>
      </c>
      <c r="D104" s="725"/>
      <c r="E104" s="2186"/>
      <c r="F104" s="3055"/>
      <c r="G104" s="3056"/>
      <c r="H104" s="3040"/>
      <c r="I104" s="3041"/>
    </row>
    <row r="105" spans="1:35" ht="15.75">
      <c r="A105" s="3046" t="s">
        <v>1942</v>
      </c>
      <c r="B105" s="3047"/>
      <c r="C105" s="3047"/>
      <c r="D105" s="3048"/>
      <c r="E105" s="2186"/>
      <c r="F105" s="3044" t="s">
        <v>1943</v>
      </c>
      <c r="G105" s="3045"/>
      <c r="H105" s="2285" t="str">
        <f>C108</f>
        <v>总额（元）</v>
      </c>
      <c r="I105" s="1852">
        <f>SUMIF(I106:I108,"&lt;9E307")</f>
        <v>0</v>
      </c>
    </row>
    <row r="106" spans="1:35" ht="15">
      <c r="A106" s="2970" t="s">
        <v>1944</v>
      </c>
      <c r="B106" s="2971"/>
      <c r="C106" s="2282" t="str">
        <f>B101</f>
        <v>总价（元）</v>
      </c>
      <c r="D106" s="1048">
        <f ca="1">H121</f>
        <v>35302</v>
      </c>
      <c r="E106" s="2186"/>
      <c r="F106" s="2972" t="s">
        <v>1945</v>
      </c>
      <c r="G106" s="2973"/>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70"/>
      <c r="B107" s="2971"/>
      <c r="C107" s="2282" t="s">
        <v>1939</v>
      </c>
      <c r="D107" s="1049">
        <f ca="1">I121</f>
        <v>35302</v>
      </c>
      <c r="E107" s="2186"/>
      <c r="F107" s="2972" t="s">
        <v>1946</v>
      </c>
      <c r="G107" s="2973"/>
      <c r="H107" s="2285" t="str">
        <f>C110</f>
        <v>总额（元）</v>
      </c>
      <c r="I107" s="1047">
        <f>C37</f>
        <v>0</v>
      </c>
      <c r="K107" s="2286"/>
    </row>
    <row r="108" spans="1:35" ht="15">
      <c r="A108" s="2977" t="s">
        <v>1947</v>
      </c>
      <c r="B108" s="2978"/>
      <c r="C108" s="2285" t="str">
        <f>IF(H19="元","总额（元）","总额（万元）")</f>
        <v>总额（元）</v>
      </c>
      <c r="D108" s="1048">
        <f>IF(D36="正常操作",I106+I107+I108,I107+I108)</f>
        <v>0</v>
      </c>
      <c r="E108" s="2186"/>
      <c r="F108" s="2972" t="s">
        <v>1948</v>
      </c>
      <c r="G108" s="2973"/>
      <c r="H108" s="2285" t="str">
        <f>C111</f>
        <v>总额（元）</v>
      </c>
      <c r="I108" s="1047">
        <f>C38</f>
        <v>0</v>
      </c>
    </row>
    <row r="109" spans="1:35" ht="15.75">
      <c r="A109" s="2972" t="s">
        <v>1945</v>
      </c>
      <c r="B109" s="2973"/>
      <c r="C109" s="2285" t="str">
        <f>C108</f>
        <v>总额（元）</v>
      </c>
      <c r="D109" s="635">
        <f>IF(D36="同一抵押权人同一抵押物续贷",C36&amp;"（未扣减，详见特别提示）",C36)</f>
        <v>0</v>
      </c>
      <c r="E109" s="2186"/>
      <c r="F109" s="3055"/>
      <c r="G109" s="3056"/>
      <c r="H109" s="3042"/>
      <c r="I109" s="3043"/>
    </row>
    <row r="110" spans="1:35" ht="28.5" customHeight="1">
      <c r="A110" s="2972" t="s">
        <v>1946</v>
      </c>
      <c r="B110" s="2973"/>
      <c r="C110" s="2285" t="str">
        <f>C108</f>
        <v>总额（元）</v>
      </c>
      <c r="D110" s="635">
        <f>C37</f>
        <v>0</v>
      </c>
      <c r="E110" s="2186"/>
      <c r="F110" s="2958" t="str">
        <f>IF(项目基本情况!F5="已注销","——","3.房地产抵押价值")</f>
        <v>3.房地产抵押价值</v>
      </c>
      <c r="G110" s="2959"/>
      <c r="H110" s="2287" t="str">
        <f>C112</f>
        <v>总价（元）</v>
      </c>
      <c r="I110" s="1853">
        <f ca="1">IF(F110="——","——",I102-I105)</f>
        <v>35302</v>
      </c>
    </row>
    <row r="111" spans="1:35" ht="15">
      <c r="A111" s="2972" t="s">
        <v>1948</v>
      </c>
      <c r="B111" s="2973"/>
      <c r="C111" s="2285" t="str">
        <f>C108</f>
        <v>总额（元）</v>
      </c>
      <c r="D111" s="635">
        <f>C38</f>
        <v>0</v>
      </c>
      <c r="E111" s="2186"/>
      <c r="F111" s="3074"/>
      <c r="G111" s="3075"/>
      <c r="H111" s="2282" t="s">
        <v>1939</v>
      </c>
      <c r="I111" s="2288">
        <f ca="1">D113</f>
        <v>35302</v>
      </c>
    </row>
    <row r="112" spans="1:35" ht="26.25" customHeight="1">
      <c r="A112" s="2970" t="str">
        <f>IF(项目基本情况!F5="已注销","——","3.房地产抵押价值")</f>
        <v>3.房地产抵押价值</v>
      </c>
      <c r="B112" s="2971"/>
      <c r="C112" s="2282" t="str">
        <f>B101</f>
        <v>总价（元）</v>
      </c>
      <c r="D112" s="1048">
        <f ca="1">IF(A112="——","——",D106-D108)</f>
        <v>35302</v>
      </c>
      <c r="E112" s="2186"/>
      <c r="F112" s="2958" t="str">
        <f>IF(项目基本情况!F5="已注销及未注销","4.抵押担保权已注销时的房地产抵押价值",IF(项目基本情况!F5="已注销","3.抵押担保权已注销时的房地产抵押价值","——"))</f>
        <v>——</v>
      </c>
      <c r="G112" s="2959"/>
      <c r="H112" s="2287" t="str">
        <f>C114</f>
        <v>总价（元）</v>
      </c>
      <c r="I112" s="1853" t="str">
        <f>IF(F112="——","——",I102-I107-I108)</f>
        <v>——</v>
      </c>
    </row>
    <row r="113" spans="1:15" ht="15">
      <c r="A113" s="2970"/>
      <c r="B113" s="2971"/>
      <c r="C113" s="2282" t="s">
        <v>1939</v>
      </c>
      <c r="D113" s="1049">
        <f ca="1">ROUND(IF(D112=D106,D107,IF(H19="元",D112/项目基本情况!C12,D112*10000/项目基本情况!C12)),0)</f>
        <v>35302</v>
      </c>
      <c r="E113" s="2186"/>
      <c r="F113" s="3074"/>
      <c r="G113" s="3075"/>
      <c r="H113" s="2282" t="s">
        <v>1939</v>
      </c>
      <c r="I113" s="2289" t="str">
        <f>D115</f>
        <v>——</v>
      </c>
    </row>
    <row r="114" spans="1:15" ht="15.75">
      <c r="A114" s="2970" t="str">
        <f>IF(项目基本情况!F5="已注销及未注销","4.抵押担保权已注销时的房地产抵押价值",IF(项目基本情况!F5="已注销","3.抵押担保权已注销时的房地产抵押价值","——"))</f>
        <v>——</v>
      </c>
      <c r="B114" s="2971"/>
      <c r="C114" s="2282" t="str">
        <f>B101</f>
        <v>总价（元）</v>
      </c>
      <c r="D114" s="1048" t="str">
        <f>IF(A114="——","——",D106-D110-D111)</f>
        <v>——</v>
      </c>
      <c r="E114" s="2186"/>
      <c r="F114" s="2958" t="str">
        <f>IF(项目基本情况!G5="抵押净值",IF(OR(项目基本情况!F5="已注销",项目基本情况!F5="房地产抵押价值"),"4.抵押净值","5.抵押净值"),"——")</f>
        <v>——</v>
      </c>
      <c r="G114" s="2959"/>
      <c r="H114" s="2282" t="str">
        <f>C116</f>
        <v>总价（元）</v>
      </c>
      <c r="I114" s="1852" t="str">
        <f>IF(F114="——","——",N59)</f>
        <v>——</v>
      </c>
    </row>
    <row r="115" spans="1:15" ht="15.75" thickBot="1">
      <c r="A115" s="2970"/>
      <c r="B115" s="2971"/>
      <c r="C115" s="2282" t="s">
        <v>1939</v>
      </c>
      <c r="D115" s="1049" t="str">
        <f>IF(A114="——","——",ROUND(IF(D114=D106,D107,IF(H19="元",D114/项目基本情况!C12,D114*10000/项目基本情况!C12)),0))</f>
        <v>——</v>
      </c>
      <c r="E115" s="2186"/>
      <c r="F115" s="2960"/>
      <c r="G115" s="2961"/>
      <c r="H115" s="2290" t="s">
        <v>1939</v>
      </c>
      <c r="I115" s="1854" t="str">
        <f ca="1">D117</f>
        <v>——</v>
      </c>
    </row>
    <row r="116" spans="1:15" ht="15.75">
      <c r="A116" s="2970" t="str">
        <f>IF(项目基本情况!G5="抵押净值",IF(OR(项目基本情况!F5="已注销",项目基本情况!F5="房地产抵押价值"),"4.抵押净值","5.抵押净值"),"——")</f>
        <v>——</v>
      </c>
      <c r="B116" s="2971"/>
      <c r="C116" s="2282" t="str">
        <f>B101</f>
        <v>总价（元）</v>
      </c>
      <c r="D116" s="1048" t="str">
        <f>IF(A116="——","——",N59)</f>
        <v>——</v>
      </c>
      <c r="E116" s="2186"/>
      <c r="F116" s="3070"/>
      <c r="G116" s="3070"/>
      <c r="H116" s="3026"/>
      <c r="I116" s="3026"/>
      <c r="N116" s="55"/>
      <c r="O116" s="55"/>
    </row>
    <row r="117" spans="1:15" ht="15.75" thickBot="1">
      <c r="A117" s="2975"/>
      <c r="B117" s="2976"/>
      <c r="C117" s="2290" t="s">
        <v>1939</v>
      </c>
      <c r="D117" s="1050" t="str">
        <f ca="1">IF(D116=D112,D113,IF(A116="——","——",N61))</f>
        <v>——</v>
      </c>
      <c r="E117" s="2186"/>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3027" t="s">
        <v>1949</v>
      </c>
      <c r="B118" s="3028"/>
      <c r="C118" s="3028"/>
      <c r="D118" s="3028"/>
      <c r="E118" s="3028"/>
      <c r="F118" s="3028"/>
      <c r="G118" s="3028"/>
      <c r="H118" s="3028"/>
      <c r="I118" s="3028"/>
    </row>
    <row r="119" spans="1:15" ht="14.25">
      <c r="A119" s="2951" t="s">
        <v>1950</v>
      </c>
      <c r="B119" s="2981" t="s">
        <v>1951</v>
      </c>
      <c r="C119" s="2981" t="s">
        <v>1952</v>
      </c>
      <c r="D119" s="3053" t="s">
        <v>1953</v>
      </c>
      <c r="E119" s="3054"/>
      <c r="F119" s="2952" t="s">
        <v>1811</v>
      </c>
      <c r="G119" s="2952"/>
      <c r="H119" s="2952" t="s">
        <v>1954</v>
      </c>
      <c r="I119" s="3052"/>
    </row>
    <row r="120" spans="1:15" ht="14.25">
      <c r="A120" s="2951"/>
      <c r="B120" s="2982"/>
      <c r="C120" s="2982"/>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1</v>
      </c>
      <c r="C121" s="1877">
        <f>项目基本情况!C13</f>
        <v>0</v>
      </c>
      <c r="D121" s="1877">
        <f ca="1">ROUND(IF(B32="总价",C34,IF('数据-取费表'!B3="万元",E121*B121/10000,E121*B121)),0)</f>
        <v>30536</v>
      </c>
      <c r="E121" s="1877">
        <f ca="1">ROUND(IF(B32="楼面单价",C34,IF(H19="元",D121/B121,D121*10000/B121)),0)</f>
        <v>30536</v>
      </c>
      <c r="F121" s="1877">
        <f ca="1">ROUND(IF(B32="总价",C35,IF('数据-取费表'!B3="万元",G121*B121/10000,G121*B121)),0)</f>
        <v>4766</v>
      </c>
      <c r="G121" s="1877">
        <f ca="1">ROUND(IF(B32="楼面单价",C35,IF(H19="元",F121/B121,F121*10000/B121)),0)</f>
        <v>4766</v>
      </c>
      <c r="H121" s="1877">
        <f ca="1">ROUND(IF(B32="总价",C32,IF('数据-取费表'!B3="万元",I121*B121/10000,I121*B121)),0)</f>
        <v>35302</v>
      </c>
      <c r="I121" s="635">
        <f ca="1">ROUND(IF(B32="楼面单价",C32,IF(H19="元",H121/B121,H121*10000/B121)),0)</f>
        <v>35302</v>
      </c>
    </row>
    <row r="122" spans="1:15" ht="14.25">
      <c r="A122" s="2951" t="s">
        <v>1958</v>
      </c>
      <c r="B122" s="2952"/>
      <c r="C122" s="2952"/>
      <c r="D122" s="2985" t="str">
        <f ca="1">IF(H19="元",NUMBERSTRING(INT(D121),2)&amp;"元整",NUMBERSTRING(INT(D121*10000),2)&amp;"元整")</f>
        <v>叁万零伍佰叁拾陆元整</v>
      </c>
      <c r="E122" s="3032"/>
      <c r="F122" s="2985" t="str">
        <f ca="1">IF(H19="元",NUMBERSTRING(INT(F121),2)&amp;"元整",NUMBERSTRING(INT(F121*10000),2)&amp;"元整")</f>
        <v>肆仟柒佰陆拾陆元整</v>
      </c>
      <c r="G122" s="3032"/>
      <c r="H122" s="2985" t="str">
        <f ca="1">IF(H19="元",NUMBERSTRING(INT(H121),2)&amp;"元整",NUMBERSTRING(INT(H121*10000),2)&amp;"元整")</f>
        <v>叁万伍仟叁佰零贰元整</v>
      </c>
      <c r="I122" s="2986"/>
    </row>
    <row r="123" spans="1:15" ht="15">
      <c r="A123" s="3033" t="str">
        <f>IF(项目基本情况!D5="房地产市场价值","——",MID(A108,3,LEN(A108)-2))</f>
        <v>估价师所知悉的法定优先受偿款</v>
      </c>
      <c r="B123" s="2963"/>
      <c r="C123" s="3034"/>
      <c r="D123" s="2962">
        <f>I105</f>
        <v>0</v>
      </c>
      <c r="E123" s="2963"/>
      <c r="F123" s="2963"/>
      <c r="G123" s="2963"/>
      <c r="H123" s="2963"/>
      <c r="I123" s="2964"/>
    </row>
    <row r="124" spans="1:15" ht="14.25">
      <c r="A124" s="3035" t="s">
        <v>1958</v>
      </c>
      <c r="B124" s="3036"/>
      <c r="C124" s="3037"/>
      <c r="D124" s="2965">
        <f>H109</f>
        <v>0</v>
      </c>
      <c r="E124" s="2966"/>
      <c r="F124" s="2966"/>
      <c r="G124" s="2966"/>
      <c r="H124" s="2966"/>
      <c r="I124" s="2967"/>
    </row>
    <row r="125" spans="1:15" ht="15">
      <c r="A125" s="2968" t="str">
        <f>IF(项目基本情况!D5="房地产市场价值","——",MID(A112,3,LEN(A112)-2))</f>
        <v>房地产抵押价值</v>
      </c>
      <c r="B125" s="2969"/>
      <c r="C125" s="2969"/>
      <c r="D125" s="2962">
        <f ca="1">I110</f>
        <v>35302</v>
      </c>
      <c r="E125" s="2963"/>
      <c r="F125" s="2963"/>
      <c r="G125" s="2963"/>
      <c r="H125" s="2963"/>
      <c r="I125" s="2964"/>
    </row>
    <row r="126" spans="1:15" ht="14.25">
      <c r="A126" s="2951" t="s">
        <v>1958</v>
      </c>
      <c r="B126" s="2952"/>
      <c r="C126" s="2952"/>
      <c r="D126" s="2965">
        <f ca="1">I111</f>
        <v>35302</v>
      </c>
      <c r="E126" s="2966"/>
      <c r="F126" s="2966"/>
      <c r="G126" s="2966"/>
      <c r="H126" s="2966"/>
      <c r="I126" s="2967"/>
    </row>
    <row r="127" spans="1:15" ht="15.75" thickBot="1">
      <c r="A127" s="2968" t="str">
        <f>IF(项目基本情况!D5="房地产市场价值","——",MID(A114,3,LEN(A114)-2))</f>
        <v/>
      </c>
      <c r="B127" s="2969"/>
      <c r="C127" s="2969"/>
      <c r="D127" s="3067" t="str">
        <f>I112</f>
        <v>——</v>
      </c>
      <c r="E127" s="3068"/>
      <c r="F127" s="3068"/>
      <c r="G127" s="3068"/>
      <c r="H127" s="3068"/>
      <c r="I127" s="3069"/>
    </row>
    <row r="128" spans="1:15" ht="15.75" thickTop="1" thickBot="1">
      <c r="A128" s="2951" t="s">
        <v>1958</v>
      </c>
      <c r="B128" s="2952"/>
      <c r="C128" s="2953"/>
      <c r="D128" s="3025" t="str">
        <f>I113</f>
        <v>——</v>
      </c>
      <c r="E128" s="3025"/>
      <c r="F128" s="3025"/>
      <c r="G128" s="3025"/>
      <c r="H128" s="3025"/>
      <c r="I128" s="3025"/>
    </row>
    <row r="129" spans="1:9" ht="16.5" thickTop="1" thickBot="1">
      <c r="A129" s="2968" t="str">
        <f>IF(项目基本情况!D5="房地产市场价值","——",MID(F114,3,LEN(F114)-2))</f>
        <v/>
      </c>
      <c r="B129" s="2969"/>
      <c r="C129" s="2962"/>
      <c r="D129" s="2974" t="str">
        <f>I114</f>
        <v>——</v>
      </c>
      <c r="E129" s="2974"/>
      <c r="F129" s="2974"/>
      <c r="G129" s="2974"/>
      <c r="H129" s="2974"/>
      <c r="I129" s="2974"/>
    </row>
    <row r="130" spans="1:9" ht="15.75" thickTop="1" thickBot="1">
      <c r="A130" s="2979" t="s">
        <v>1958</v>
      </c>
      <c r="B130" s="2980"/>
      <c r="C130" s="2980"/>
      <c r="D130" s="2987">
        <f>H116</f>
        <v>0</v>
      </c>
      <c r="E130" s="2988"/>
      <c r="F130" s="2988"/>
      <c r="G130" s="2988"/>
      <c r="H130" s="2988"/>
      <c r="I130" s="2989"/>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86" t="s">
        <v>1967</v>
      </c>
      <c r="B2" s="3086"/>
      <c r="C2" s="3086"/>
      <c r="D2" s="3086"/>
      <c r="E2" s="3086"/>
      <c r="F2" s="3086"/>
      <c r="G2" s="3086"/>
      <c r="H2" s="3086"/>
      <c r="I2" s="3086"/>
    </row>
    <row r="3" spans="1:12" ht="12.75">
      <c r="A3" s="3016" t="s">
        <v>1771</v>
      </c>
      <c r="B3" s="3017"/>
      <c r="C3" s="3017"/>
      <c r="D3" s="3017"/>
      <c r="E3" s="3017"/>
      <c r="F3" s="3017"/>
      <c r="G3" s="3017"/>
      <c r="H3" s="3017"/>
      <c r="I3" s="3017"/>
    </row>
    <row r="4" spans="1:12" ht="14.25">
      <c r="A4" s="2188" t="s">
        <v>1772</v>
      </c>
      <c r="B4" s="2189" t="s">
        <v>1773</v>
      </c>
      <c r="C4" s="2190"/>
      <c r="D4" s="2190"/>
      <c r="E4" s="2997" t="s">
        <v>1968</v>
      </c>
      <c r="F4" s="2998"/>
      <c r="G4" s="2998"/>
      <c r="H4" s="2998"/>
      <c r="I4" s="300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90" t="s">
        <v>1775</v>
      </c>
      <c r="B5" s="2952">
        <v>25</v>
      </c>
      <c r="C5" s="3001"/>
      <c r="D5" s="3015"/>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77" t="s">
        <v>1971</v>
      </c>
      <c r="B31" s="3077"/>
      <c r="C31" s="3077"/>
      <c r="D31" s="3077"/>
      <c r="E31" s="3077"/>
      <c r="F31" s="3077"/>
      <c r="G31" s="3077"/>
      <c r="H31" s="3077"/>
      <c r="I31" s="307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03" t="s">
        <v>1980</v>
      </c>
      <c r="B37" s="2228" t="s">
        <v>1981</v>
      </c>
      <c r="C37" s="69"/>
      <c r="D37" s="2229"/>
      <c r="E37" s="2230"/>
      <c r="F37" s="2230"/>
      <c r="G37" s="2186"/>
      <c r="H37" s="2186"/>
      <c r="I37" s="2186"/>
    </row>
    <row r="38" spans="1:16" ht="15.75" thickBot="1">
      <c r="A38" s="3004"/>
      <c r="B38" s="2231" t="s">
        <v>1982</v>
      </c>
      <c r="C38" s="71"/>
      <c r="D38" s="2196"/>
      <c r="E38" s="2196"/>
      <c r="F38" s="2230"/>
      <c r="G38" s="2196"/>
      <c r="H38" s="2196"/>
      <c r="I38" s="2196"/>
    </row>
    <row r="39" spans="1:16" ht="15.75" thickBot="1">
      <c r="A39" s="3005"/>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09" t="s">
        <v>1993</v>
      </c>
      <c r="B46" s="3010"/>
      <c r="C46" s="3011"/>
      <c r="D46" s="80">
        <f>ROUND(I103*F46,0)</f>
        <v>0</v>
      </c>
      <c r="E46" s="81" t="s">
        <v>1994</v>
      </c>
      <c r="F46" s="82">
        <v>1</v>
      </c>
      <c r="G46" s="83" t="s">
        <v>1995</v>
      </c>
      <c r="H46" s="2186"/>
      <c r="I46" s="2186"/>
      <c r="J46" s="3071" t="s">
        <v>1827</v>
      </c>
      <c r="K46" s="3071"/>
      <c r="L46" s="3071"/>
      <c r="M46" s="3071"/>
      <c r="N46" s="3071"/>
      <c r="O46" s="3071"/>
      <c r="P46" s="1835"/>
    </row>
    <row r="47" spans="1:16" ht="14.25" customHeight="1">
      <c r="A47" s="2994" t="s">
        <v>1828</v>
      </c>
      <c r="B47" s="2995"/>
      <c r="C47" s="2995"/>
      <c r="D47" s="2995"/>
      <c r="E47" s="2995"/>
      <c r="F47" s="2995"/>
      <c r="G47" s="2996"/>
      <c r="H47" s="2248"/>
      <c r="I47" s="1141"/>
      <c r="J47" s="1873">
        <v>1</v>
      </c>
      <c r="K47" s="3071" t="s">
        <v>1829</v>
      </c>
      <c r="L47" s="3071"/>
      <c r="M47" s="3087"/>
      <c r="N47" s="3087"/>
      <c r="O47" s="3087"/>
      <c r="P47" s="1835"/>
    </row>
    <row r="48" spans="1:16" ht="12" customHeight="1">
      <c r="A48" s="85" t="s">
        <v>1830</v>
      </c>
      <c r="B48" s="86"/>
      <c r="C48" s="87"/>
      <c r="D48" s="88" t="s">
        <v>1831</v>
      </c>
      <c r="E48" s="14" t="s">
        <v>1832</v>
      </c>
      <c r="F48" s="89" t="s">
        <v>1833</v>
      </c>
      <c r="G48" s="90" t="s">
        <v>1834</v>
      </c>
      <c r="H48" s="2248"/>
      <c r="I48" s="1141"/>
      <c r="J48" s="1873">
        <v>2</v>
      </c>
      <c r="K48" s="3071" t="s">
        <v>1835</v>
      </c>
      <c r="L48" s="3071"/>
      <c r="M48" s="3073">
        <f>'数据-取费表'!B2</f>
        <v>43276</v>
      </c>
      <c r="N48" s="3073"/>
      <c r="O48" s="3073"/>
      <c r="P48" s="1835"/>
    </row>
    <row r="49" spans="1:16" ht="25.5">
      <c r="A49" s="3006" t="s">
        <v>1836</v>
      </c>
      <c r="B49" s="3007"/>
      <c r="C49" s="3007"/>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3071" t="s">
        <v>1839</v>
      </c>
      <c r="L49" s="3071"/>
      <c r="M49" s="3072">
        <f>I103</f>
        <v>0</v>
      </c>
      <c r="N49" s="3072"/>
      <c r="O49" s="3072"/>
      <c r="P49" s="1835"/>
    </row>
    <row r="50" spans="1:16" ht="25.5" customHeight="1">
      <c r="A50" s="92" t="s">
        <v>1840</v>
      </c>
      <c r="B50" s="2999" t="s">
        <v>1841</v>
      </c>
      <c r="C50" s="2999"/>
      <c r="D50" s="93">
        <v>0</v>
      </c>
      <c r="E50" s="13" t="s">
        <v>1842</v>
      </c>
      <c r="F50" s="18" t="s">
        <v>48</v>
      </c>
      <c r="G50" s="3064"/>
      <c r="H50" s="2186"/>
      <c r="I50" s="2251"/>
      <c r="J50" s="1873">
        <v>4</v>
      </c>
      <c r="K50" s="3071" t="str">
        <f>IF(项目基本情况!F5="房地产抵押价值","房地产抵押价值","抵押担保权已注销时的房地产抵押价值")</f>
        <v>抵押担保权已注销时的房地产抵押价值</v>
      </c>
      <c r="L50" s="3071"/>
      <c r="M50" s="3072" t="str">
        <f>IF(项目基本情况!F5="房地产抵押价值",I111,I113)</f>
        <v>——</v>
      </c>
      <c r="N50" s="3072"/>
      <c r="O50" s="3072"/>
      <c r="P50" s="1835"/>
    </row>
    <row r="51" spans="1:16" ht="25.5" customHeight="1">
      <c r="A51" s="94"/>
      <c r="B51" s="2999" t="s">
        <v>1843</v>
      </c>
      <c r="C51" s="2999"/>
      <c r="D51" s="95"/>
      <c r="E51" s="21"/>
      <c r="F51" s="96"/>
      <c r="G51" s="3065"/>
      <c r="H51" s="2186"/>
      <c r="I51" s="2251"/>
      <c r="J51" s="3071" t="s">
        <v>1844</v>
      </c>
      <c r="K51" s="3071"/>
      <c r="L51" s="3071"/>
      <c r="M51" s="3071"/>
      <c r="N51" s="3071"/>
      <c r="O51" s="3071"/>
      <c r="P51" s="1835"/>
    </row>
    <row r="52" spans="1:16" ht="12" customHeight="1">
      <c r="A52" s="97"/>
      <c r="B52" s="2999" t="s">
        <v>1845</v>
      </c>
      <c r="C52" s="2999"/>
      <c r="D52" s="98"/>
      <c r="E52" s="20"/>
      <c r="F52" s="96"/>
      <c r="G52" s="3066"/>
      <c r="H52" s="2186"/>
      <c r="I52" s="2251"/>
      <c r="J52" s="2252" t="s">
        <v>1846</v>
      </c>
      <c r="K52" s="3071" t="s">
        <v>1847</v>
      </c>
      <c r="L52" s="3071"/>
      <c r="M52" s="2252" t="s">
        <v>1848</v>
      </c>
      <c r="N52" s="2252" t="s">
        <v>1849</v>
      </c>
      <c r="O52" s="2252" t="s">
        <v>1850</v>
      </c>
      <c r="P52" s="1835"/>
    </row>
    <row r="53" spans="1:16" ht="24" customHeight="1">
      <c r="A53" s="99" t="s">
        <v>1851</v>
      </c>
      <c r="B53" s="2999" t="s">
        <v>1852</v>
      </c>
      <c r="C53" s="2999"/>
      <c r="D53" s="98">
        <f>ROUND(D46*'数据-取费表'!E29/(1+'数据-取费表'!F30),0)</f>
        <v>0</v>
      </c>
      <c r="E53" s="10" t="s">
        <v>1853</v>
      </c>
      <c r="F53" s="100">
        <f>'数据-取费表'!E29</f>
        <v>5.6000000000000001E-2</v>
      </c>
      <c r="G53" s="2253"/>
      <c r="H53" s="2186"/>
      <c r="I53" s="2251"/>
      <c r="J53" s="1873">
        <v>1</v>
      </c>
      <c r="K53" s="3031" t="s">
        <v>1854</v>
      </c>
      <c r="L53" s="3031"/>
      <c r="M53" s="776">
        <f>D49</f>
        <v>0</v>
      </c>
      <c r="N53" s="1873" t="str">
        <f>E49</f>
        <v>销售额×税（费）率</v>
      </c>
      <c r="O53" s="777">
        <f>F49</f>
        <v>5.6000000000000001E-2</v>
      </c>
      <c r="P53" s="1835"/>
    </row>
    <row r="54" spans="1:16" ht="12" customHeight="1">
      <c r="A54" s="99" t="s">
        <v>1855</v>
      </c>
      <c r="B54" s="3000" t="s">
        <v>1856</v>
      </c>
      <c r="C54" s="2925"/>
      <c r="D54" s="98">
        <f>ROUND(D46*'数据-取费表'!E29/(1+'数据-取费表'!F30),0)</f>
        <v>0</v>
      </c>
      <c r="E54" s="10" t="s">
        <v>1853</v>
      </c>
      <c r="F54" s="100">
        <f>'数据-取费表'!E29</f>
        <v>5.6000000000000001E-2</v>
      </c>
      <c r="G54" s="2253"/>
      <c r="H54" s="2186"/>
      <c r="I54" s="2251"/>
      <c r="J54" s="1873">
        <v>2</v>
      </c>
      <c r="K54" s="3031" t="s">
        <v>1857</v>
      </c>
      <c r="L54" s="3031"/>
      <c r="M54" s="776">
        <f t="shared" ref="M54:O55" si="1">D56</f>
        <v>0</v>
      </c>
      <c r="N54" s="1873" t="str">
        <f t="shared" si="1"/>
        <v>销售额×税（费）率</v>
      </c>
      <c r="O54" s="777">
        <f t="shared" si="1"/>
        <v>5.0000000000000001E-4</v>
      </c>
      <c r="P54" s="1835"/>
    </row>
    <row r="55" spans="1:16" ht="12" customHeight="1">
      <c r="A55" s="99" t="s">
        <v>1858</v>
      </c>
      <c r="B55" s="3000" t="s">
        <v>1859</v>
      </c>
      <c r="C55" s="2925"/>
      <c r="D55" s="98">
        <f>C69</f>
        <v>0</v>
      </c>
      <c r="E55" s="20" t="s">
        <v>1860</v>
      </c>
      <c r="F55" s="100">
        <f>'数据-取费表'!E29</f>
        <v>5.6000000000000001E-2</v>
      </c>
      <c r="G55" s="2253"/>
      <c r="H55" s="2254"/>
      <c r="I55" s="2251"/>
      <c r="J55" s="1873">
        <v>3</v>
      </c>
      <c r="K55" s="3031" t="s">
        <v>1861</v>
      </c>
      <c r="L55" s="3031"/>
      <c r="M55" s="776">
        <f t="shared" si="1"/>
        <v>0</v>
      </c>
      <c r="N55" s="1873" t="str">
        <f t="shared" si="1"/>
        <v>增值额×税（费）率</v>
      </c>
      <c r="O55" s="778" t="str">
        <f t="shared" si="1"/>
        <v>——</v>
      </c>
      <c r="P55" s="1835"/>
    </row>
    <row r="56" spans="1:16" ht="24" customHeight="1">
      <c r="A56" s="2917" t="s">
        <v>1862</v>
      </c>
      <c r="B56" s="3007"/>
      <c r="C56" s="3007"/>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3031" t="str">
        <f>IF(H60="非个人房产","——","个人所得税")</f>
        <v>——</v>
      </c>
      <c r="L56" s="3031"/>
      <c r="M56" s="779" t="str">
        <f>D60</f>
        <v>——</v>
      </c>
      <c r="N56" s="1876" t="str">
        <f>E60</f>
        <v>——</v>
      </c>
      <c r="O56" s="780" t="str">
        <f>F60</f>
        <v>——</v>
      </c>
      <c r="P56" s="1835"/>
    </row>
    <row r="57" spans="1:16" ht="24.75">
      <c r="A57" s="2917" t="s">
        <v>1865</v>
      </c>
      <c r="B57" s="3007"/>
      <c r="C57" s="3007"/>
      <c r="D57" s="101">
        <f>IF(H57="个人住宅",D58,D59)</f>
        <v>0</v>
      </c>
      <c r="E57" s="10" t="s">
        <v>1866</v>
      </c>
      <c r="F57" s="100" t="str">
        <f>IF(H57="正常",F59,"免征")</f>
        <v>——</v>
      </c>
      <c r="G57" s="2255" t="s">
        <v>1867</v>
      </c>
      <c r="H57" s="2256" t="s">
        <v>1864</v>
      </c>
      <c r="I57" s="1019"/>
      <c r="J57" s="1873" t="str">
        <f>IF(项目基本情况!I6="上海银行",IF(J56="",4,J56+1),"")</f>
        <v/>
      </c>
      <c r="K57" s="3049" t="str">
        <f>IF(项目基本情况!I6="上海银行","其他处置费用","")</f>
        <v/>
      </c>
      <c r="L57" s="3050"/>
      <c r="M57" s="776" t="str">
        <f>IF(项目基本情况!I6="上海银行",M70,"")</f>
        <v/>
      </c>
      <c r="N57" s="3062" t="str">
        <f>IF(项目基本情况!I6="上海银行","包含处置中涉及的律师、诉讼、拍卖、评估等费用","")</f>
        <v/>
      </c>
      <c r="O57" s="3063"/>
      <c r="P57" s="1835"/>
    </row>
    <row r="58" spans="1:16" ht="12.75">
      <c r="A58" s="99" t="s">
        <v>1840</v>
      </c>
      <c r="B58" s="2997" t="s">
        <v>1868</v>
      </c>
      <c r="C58" s="3008"/>
      <c r="D58" s="103">
        <v>0</v>
      </c>
      <c r="E58" s="13" t="s">
        <v>1842</v>
      </c>
      <c r="F58" s="70"/>
      <c r="G58" s="2253"/>
      <c r="H58" s="1019"/>
      <c r="I58" s="1019"/>
      <c r="J58" s="3031">
        <f>IF(AND(J56="",J57=""),4,IF(项目基本情况!I6="上海银行",J57+1,J56+1))</f>
        <v>4</v>
      </c>
      <c r="K58" s="3031" t="s">
        <v>1869</v>
      </c>
      <c r="L58" s="2257" t="s">
        <v>1870</v>
      </c>
      <c r="M58" s="781"/>
      <c r="N58" s="782">
        <f>SUMIF(M53:M57,"&lt;9e307")</f>
        <v>0</v>
      </c>
      <c r="O58" s="2258"/>
      <c r="P58" s="1831" t="e">
        <f>N58/M50</f>
        <v>#VALUE!</v>
      </c>
    </row>
    <row r="59" spans="1:16" ht="24.75">
      <c r="A59" s="99" t="s">
        <v>1851</v>
      </c>
      <c r="B59" s="2997" t="s">
        <v>1871</v>
      </c>
      <c r="C59" s="2998"/>
      <c r="D59" s="101">
        <f>IF(H59="转让取得",C82,C98)</f>
        <v>0</v>
      </c>
      <c r="E59" s="10" t="s">
        <v>1866</v>
      </c>
      <c r="F59" s="14" t="s">
        <v>48</v>
      </c>
      <c r="G59" s="2253"/>
      <c r="H59" s="2256" t="s">
        <v>1872</v>
      </c>
      <c r="I59" s="1019"/>
      <c r="J59" s="3031"/>
      <c r="K59" s="3031"/>
      <c r="L59" s="2257" t="s">
        <v>1873</v>
      </c>
      <c r="M59" s="783"/>
      <c r="N59" s="2259" t="str">
        <f>IF(H19="元",NUMBERSTRING(INT(N58),2)&amp;"元整",NUMBERSTRING(INT(N58*10000),2)&amp;"元整")</f>
        <v>零元整</v>
      </c>
      <c r="O59" s="2260"/>
      <c r="P59" s="1835"/>
    </row>
    <row r="60" spans="1:16" ht="24.75" thickBot="1">
      <c r="A60" s="2918" t="s">
        <v>1874</v>
      </c>
      <c r="B60" s="2921"/>
      <c r="C60" s="2921"/>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29">
        <f>J58+1</f>
        <v>5</v>
      </c>
      <c r="K60" s="3031" t="s">
        <v>1876</v>
      </c>
      <c r="L60" s="1873" t="s">
        <v>1870</v>
      </c>
      <c r="M60" s="784"/>
      <c r="N60" s="785" t="e">
        <f>M50-N58</f>
        <v>#VALUE!</v>
      </c>
      <c r="O60" s="2262"/>
      <c r="P60" s="1835"/>
    </row>
    <row r="61" spans="1:16" ht="12" customHeight="1">
      <c r="A61" s="2058"/>
      <c r="B61" s="2186"/>
      <c r="C61" s="2186"/>
      <c r="D61" s="2186"/>
      <c r="E61" s="1019"/>
      <c r="F61" s="1019"/>
      <c r="G61" s="1019"/>
      <c r="H61" s="2239"/>
      <c r="I61" s="2186"/>
      <c r="J61" s="3030"/>
      <c r="K61" s="3031"/>
      <c r="L61" s="2257" t="s">
        <v>1873</v>
      </c>
      <c r="M61" s="783"/>
      <c r="N61" s="2259" t="e">
        <f>IF(H19="元",NUMBERSTRING(INT(N60),2)&amp;"元整",NUMBERSTRING(INT(N60*10000),2)&amp;"元整")</f>
        <v>#VALUE!</v>
      </c>
      <c r="O61" s="2260"/>
      <c r="P61" s="1835"/>
    </row>
    <row r="62" spans="1:16" ht="13.5" thickBot="1">
      <c r="A62" s="3012" t="s">
        <v>1877</v>
      </c>
      <c r="B62" s="3012"/>
      <c r="C62" s="3012"/>
      <c r="D62" s="3012"/>
      <c r="E62" s="3012"/>
      <c r="F62" s="1019"/>
      <c r="G62" s="1019"/>
      <c r="H62" s="2239"/>
      <c r="I62" s="2186"/>
      <c r="J62" s="1873">
        <f>J60+1</f>
        <v>6</v>
      </c>
      <c r="K62" s="3031" t="s">
        <v>1878</v>
      </c>
      <c r="L62" s="3031"/>
      <c r="M62" s="786"/>
      <c r="N62" s="787" t="e">
        <f>IF(H19="元",ROUND(N60/项目基本情况!C12,0),ROUND(N60*10000/项目基本情况!C12,0))</f>
        <v>#VALUE!</v>
      </c>
      <c r="O62" s="2263"/>
      <c r="P62" s="1835"/>
    </row>
    <row r="63" spans="1:16" ht="12.75">
      <c r="A63" s="3019" t="s">
        <v>1879</v>
      </c>
      <c r="B63" s="302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3051"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3051"/>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3051"/>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3051"/>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3051"/>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3051"/>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3051"/>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3023" t="s">
        <v>1899</v>
      </c>
      <c r="B71" s="3024"/>
      <c r="C71" s="3024"/>
      <c r="D71" s="3024"/>
      <c r="E71" s="3024"/>
      <c r="F71" s="3024"/>
      <c r="G71" s="3024"/>
      <c r="H71" s="3024"/>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3019" t="s">
        <v>1879</v>
      </c>
      <c r="B72" s="302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00" t="s">
        <v>1909</v>
      </c>
      <c r="F77" s="2999"/>
      <c r="G77" s="2999"/>
      <c r="H77" s="3014"/>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91" t="s">
        <v>1914</v>
      </c>
      <c r="F79" s="2992"/>
      <c r="G79" s="2992"/>
      <c r="H79" s="2993"/>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3023" t="s">
        <v>1918</v>
      </c>
      <c r="B84" s="3024"/>
      <c r="C84" s="3024"/>
      <c r="D84" s="3024"/>
      <c r="E84" s="3024"/>
      <c r="F84" s="3024"/>
      <c r="G84" s="3024"/>
      <c r="H84" s="302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3019" t="s">
        <v>1879</v>
      </c>
      <c r="B85" s="302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91" t="s">
        <v>1926</v>
      </c>
      <c r="F92" s="2992"/>
      <c r="G92" s="2992"/>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91" t="s">
        <v>1929</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91" t="s">
        <v>1914</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91" t="s">
        <v>1931</v>
      </c>
      <c r="F95" s="2992"/>
      <c r="G95" s="2992"/>
      <c r="H95" s="2993"/>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3046" t="s">
        <v>1933</v>
      </c>
      <c r="B100" s="3047"/>
      <c r="C100" s="3047"/>
      <c r="D100" s="3048"/>
      <c r="E100" s="2186"/>
      <c r="F100" s="3057" t="s">
        <v>1934</v>
      </c>
      <c r="G100" s="3058"/>
      <c r="H100" s="3058"/>
      <c r="I100" s="3059"/>
    </row>
    <row r="101" spans="1:35" ht="15.75">
      <c r="A101" s="3060" t="s">
        <v>1935</v>
      </c>
      <c r="B101" s="3061"/>
      <c r="C101" s="718">
        <f>C4</f>
        <v>0</v>
      </c>
      <c r="D101" s="719">
        <f>D4</f>
        <v>0</v>
      </c>
      <c r="E101" s="2186"/>
      <c r="F101" s="2956" t="s">
        <v>1936</v>
      </c>
      <c r="G101" s="2957"/>
      <c r="H101" s="3082" t="s">
        <v>1937</v>
      </c>
      <c r="I101" s="2955"/>
    </row>
    <row r="102" spans="1:35" ht="15.75">
      <c r="A102" s="3083" t="s">
        <v>1997</v>
      </c>
      <c r="B102" s="2281" t="str">
        <f>IF(H19="元","总价（元）","总价（万元）")</f>
        <v>总价（元）</v>
      </c>
      <c r="C102" s="718" t="e">
        <f ca="1">C19</f>
        <v>#REF!</v>
      </c>
      <c r="D102" s="719" t="e">
        <f ca="1">D19</f>
        <v>#REF!</v>
      </c>
      <c r="E102" s="2186"/>
      <c r="F102" s="3084"/>
      <c r="G102" s="3085"/>
      <c r="H102" s="2954">
        <f>典型户型修正!B25</f>
        <v>0</v>
      </c>
      <c r="I102" s="2955"/>
    </row>
    <row r="103" spans="1:35" ht="15.75">
      <c r="A103" s="3083"/>
      <c r="B103" s="2281" t="s">
        <v>1939</v>
      </c>
      <c r="C103" s="720" t="e">
        <f ca="1">C20</f>
        <v>#REF!</v>
      </c>
      <c r="D103" s="721" t="e">
        <f ca="1">D20</f>
        <v>#REF!</v>
      </c>
      <c r="E103" s="2186"/>
      <c r="F103" s="2983" t="s">
        <v>1940</v>
      </c>
      <c r="G103" s="2984"/>
      <c r="H103" s="2282" t="str">
        <f>C109</f>
        <v>总价（元）</v>
      </c>
      <c r="I103" s="1852">
        <f>H124</f>
        <v>0</v>
      </c>
    </row>
    <row r="104" spans="1:35" ht="15">
      <c r="A104" s="3083" t="s">
        <v>1998</v>
      </c>
      <c r="B104" s="2283" t="str">
        <f>B102</f>
        <v>总价（元）</v>
      </c>
      <c r="C104" s="1187" t="e">
        <f ca="1">ROUND(IF('数据-取费表'!B4="总价",G19,IF(H19="元",G20*'数据-取费表'!E5,G20*'数据-取费表'!E5/10000)),0)</f>
        <v>#REF!</v>
      </c>
      <c r="D104" s="723"/>
      <c r="E104" s="2186"/>
      <c r="F104" s="2983"/>
      <c r="G104" s="2984"/>
      <c r="H104" s="2282" t="s">
        <v>1939</v>
      </c>
      <c r="I104" s="1047" t="e">
        <f>I124</f>
        <v>#DIV/0!</v>
      </c>
    </row>
    <row r="105" spans="1:35" ht="15.75">
      <c r="A105" s="3083"/>
      <c r="B105" s="2281" t="s">
        <v>1939</v>
      </c>
      <c r="C105" s="1188" t="e">
        <f ca="1">ROUND(IF('数据-取费表'!B4="楼面单价",G20,IF(H19="元",G19/'数据-取费表'!E5,G19*10000/'数据-取费表'!E5)),0)</f>
        <v>#REF!</v>
      </c>
      <c r="D105" s="723"/>
      <c r="E105" s="2186"/>
      <c r="F105" s="3055"/>
      <c r="G105" s="3056"/>
      <c r="H105" s="3040"/>
      <c r="I105" s="3041"/>
    </row>
    <row r="106" spans="1:35" ht="15.75">
      <c r="A106" s="3076" t="s">
        <v>1999</v>
      </c>
      <c r="B106" s="2321" t="str">
        <f>B102</f>
        <v>总价（元）</v>
      </c>
      <c r="C106" s="722">
        <f>H124</f>
        <v>0</v>
      </c>
      <c r="D106" s="1186"/>
      <c r="E106" s="2186"/>
      <c r="F106" s="3044" t="s">
        <v>1943</v>
      </c>
      <c r="G106" s="3045"/>
      <c r="H106" s="2285" t="str">
        <f>C111</f>
        <v>总额（元）</v>
      </c>
      <c r="I106" s="1852">
        <f>SUMIF(I107:I109,"&lt;9E307")</f>
        <v>0</v>
      </c>
    </row>
    <row r="107" spans="1:35" ht="15.75" thickBot="1">
      <c r="A107" s="3039"/>
      <c r="B107" s="2284" t="s">
        <v>1939</v>
      </c>
      <c r="C107" s="724" t="e">
        <f>I124</f>
        <v>#DIV/0!</v>
      </c>
      <c r="D107" s="725"/>
      <c r="E107" s="2186"/>
      <c r="F107" s="2972" t="s">
        <v>1945</v>
      </c>
      <c r="G107" s="2973"/>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79" t="s">
        <v>1942</v>
      </c>
      <c r="B108" s="3080"/>
      <c r="C108" s="3080"/>
      <c r="D108" s="3081"/>
      <c r="E108" s="2186"/>
      <c r="F108" s="2972" t="s">
        <v>1946</v>
      </c>
      <c r="G108" s="2973"/>
      <c r="H108" s="2285" t="str">
        <f>C113</f>
        <v>总额（元）</v>
      </c>
      <c r="I108" s="1047">
        <f>C38</f>
        <v>0</v>
      </c>
      <c r="K108" s="2286"/>
    </row>
    <row r="109" spans="1:35" ht="15">
      <c r="A109" s="2970" t="s">
        <v>2000</v>
      </c>
      <c r="B109" s="2971"/>
      <c r="C109" s="2282" t="str">
        <f>B102</f>
        <v>总价（元）</v>
      </c>
      <c r="D109" s="1048">
        <f>H124</f>
        <v>0</v>
      </c>
      <c r="E109" s="2186"/>
      <c r="F109" s="2972" t="s">
        <v>1948</v>
      </c>
      <c r="G109" s="2973"/>
      <c r="H109" s="2285" t="str">
        <f>C114</f>
        <v>总额（元）</v>
      </c>
      <c r="I109" s="1047">
        <f>C39</f>
        <v>0</v>
      </c>
    </row>
    <row r="110" spans="1:35" ht="15.75">
      <c r="A110" s="2970"/>
      <c r="B110" s="2971"/>
      <c r="C110" s="2282" t="s">
        <v>1939</v>
      </c>
      <c r="D110" s="1049" t="e">
        <f>I124</f>
        <v>#DIV/0!</v>
      </c>
      <c r="E110" s="2186"/>
      <c r="F110" s="3055"/>
      <c r="G110" s="3056"/>
      <c r="H110" s="3042"/>
      <c r="I110" s="3043"/>
    </row>
    <row r="111" spans="1:35" ht="28.5" customHeight="1">
      <c r="A111" s="2977" t="s">
        <v>1947</v>
      </c>
      <c r="B111" s="2978"/>
      <c r="C111" s="2285" t="str">
        <f>IF(H19="元","总额（元）","总额（万元）")</f>
        <v>总额（元）</v>
      </c>
      <c r="D111" s="1048">
        <f>IF(D37="正常操作",I107+I108+I109,I108+I109)</f>
        <v>0</v>
      </c>
      <c r="E111" s="2186"/>
      <c r="F111" s="2958" t="str">
        <f>IF(项目基本情况!F5="已注销","——","3.房地产抵押价值")</f>
        <v>3.房地产抵押价值</v>
      </c>
      <c r="G111" s="2959"/>
      <c r="H111" s="2322" t="str">
        <f>C115</f>
        <v>总价（元）</v>
      </c>
      <c r="I111" s="1852">
        <f>IF(F111="——","——",I103-I106)</f>
        <v>0</v>
      </c>
    </row>
    <row r="112" spans="1:35" ht="15">
      <c r="A112" s="2972" t="s">
        <v>1945</v>
      </c>
      <c r="B112" s="2973"/>
      <c r="C112" s="2285" t="str">
        <f>C111</f>
        <v>总额（元）</v>
      </c>
      <c r="D112" s="635">
        <f>IF(D37="同一抵押权人同一抵押物续贷",C37&amp;"（未扣减，详见特别提示）",C37)</f>
        <v>0</v>
      </c>
      <c r="E112" s="2186"/>
      <c r="F112" s="3074"/>
      <c r="G112" s="3075"/>
      <c r="H112" s="2282" t="s">
        <v>1939</v>
      </c>
      <c r="I112" s="2288" t="e">
        <f>D116</f>
        <v>#DIV/0!</v>
      </c>
    </row>
    <row r="113" spans="1:26" ht="15.75">
      <c r="A113" s="2972" t="s">
        <v>1946</v>
      </c>
      <c r="B113" s="2973"/>
      <c r="C113" s="2285" t="str">
        <f>C111</f>
        <v>总额（元）</v>
      </c>
      <c r="D113" s="635">
        <f>C38</f>
        <v>0</v>
      </c>
      <c r="E113" s="2186"/>
      <c r="F113" s="2958" t="str">
        <f>IF(项目基本情况!F5="已注销及未注销","4.抵押担保权已注销时的房地产抵押价值",IF(项目基本情况!F5="已注销","3.抵押担保权已注销时的房地产抵押价值","——"))</f>
        <v>——</v>
      </c>
      <c r="G113" s="2959"/>
      <c r="H113" s="2322" t="str">
        <f>C117</f>
        <v>总价（元）</v>
      </c>
      <c r="I113" s="1852" t="str">
        <f>IF(F113="——","——",I103-I108-I109)</f>
        <v>——</v>
      </c>
    </row>
    <row r="114" spans="1:26" ht="15">
      <c r="A114" s="2972" t="s">
        <v>1948</v>
      </c>
      <c r="B114" s="2973"/>
      <c r="C114" s="2285" t="str">
        <f>C111</f>
        <v>总额（元）</v>
      </c>
      <c r="D114" s="635">
        <f>C39</f>
        <v>0</v>
      </c>
      <c r="E114" s="2186"/>
      <c r="F114" s="3074"/>
      <c r="G114" s="3075"/>
      <c r="H114" s="2282" t="s">
        <v>1939</v>
      </c>
      <c r="I114" s="1047" t="str">
        <f>D118</f>
        <v>——</v>
      </c>
    </row>
    <row r="115" spans="1:26" ht="15.75">
      <c r="A115" s="2970" t="str">
        <f>IF(项目基本情况!F5="已注销","——","3.房地产抵押价值")</f>
        <v>3.房地产抵押价值</v>
      </c>
      <c r="B115" s="2971"/>
      <c r="C115" s="2282" t="str">
        <f>B102</f>
        <v>总价（元）</v>
      </c>
      <c r="D115" s="1048">
        <f>IF(A115="——","——",D109-D111)</f>
        <v>0</v>
      </c>
      <c r="E115" s="2186"/>
      <c r="F115" s="2958" t="str">
        <f>IF(项目基本情况!G5="抵押净值",IF(OR(项目基本情况!F5="已注销",项目基本情况!F5="房地产抵押价值"),"4.抵押净值","5.抵押净值"),"——")</f>
        <v>——</v>
      </c>
      <c r="G115" s="2959"/>
      <c r="H115" s="2282" t="str">
        <f>C119</f>
        <v>总价（元）</v>
      </c>
      <c r="I115" s="1852" t="str">
        <f>IF(F115="——","——",N60)</f>
        <v>——</v>
      </c>
    </row>
    <row r="116" spans="1:26" ht="15.75" thickBot="1">
      <c r="A116" s="2970"/>
      <c r="B116" s="2971"/>
      <c r="C116" s="2282" t="s">
        <v>2001</v>
      </c>
      <c r="D116" s="1049" t="e">
        <f>ROUND(IF(D115=D109,D110,IF(H19="元",D115/B124,D115*10000/B124)),0)</f>
        <v>#DIV/0!</v>
      </c>
      <c r="E116" s="2186"/>
      <c r="F116" s="2960"/>
      <c r="G116" s="2961"/>
      <c r="H116" s="2290" t="s">
        <v>2001</v>
      </c>
      <c r="I116" s="1854" t="str">
        <f>D120</f>
        <v>——</v>
      </c>
    </row>
    <row r="117" spans="1:26" ht="15.75">
      <c r="A117" s="2970" t="str">
        <f>IF(项目基本情况!F5="已注销及未注销","4.抵押担保权已注销时的房地产抵押价值",IF(项目基本情况!F5="已注销","3.抵押担保权已注销时的房地产抵押价值","——"))</f>
        <v>——</v>
      </c>
      <c r="B117" s="2971"/>
      <c r="C117" s="2282" t="str">
        <f>B102</f>
        <v>总价（元）</v>
      </c>
      <c r="D117" s="1048" t="str">
        <f>IF(A117="——","——",D109-D113-D114)</f>
        <v>——</v>
      </c>
      <c r="E117" s="2186"/>
      <c r="F117" s="3070"/>
      <c r="G117" s="3070"/>
      <c r="H117" s="3026"/>
      <c r="I117" s="3026"/>
      <c r="N117" s="55"/>
      <c r="O117" s="55"/>
    </row>
    <row r="118" spans="1:26" s="1835" customFormat="1" ht="15">
      <c r="A118" s="2970"/>
      <c r="B118" s="2971"/>
      <c r="C118" s="2282" t="s">
        <v>2001</v>
      </c>
      <c r="D118" s="1049" t="str">
        <f>IF(A117="——","——",IF(H19="元",ROUND(D117/B124,0),ROUND(D117*10000/B124,0)))</f>
        <v>——</v>
      </c>
      <c r="E118" s="2186"/>
      <c r="F118" s="3078" t="str">
        <f>IF(B32="总价","（以上估价结果中楼面单价为总价除以建筑面积得出）","（以上估价结果中总价为楼面单价乘以建筑面积得出）")</f>
        <v>（以上估价结果中总价为楼面单价乘以建筑面积得出）</v>
      </c>
      <c r="G118" s="3078"/>
      <c r="H118" s="3078"/>
      <c r="I118" s="3078"/>
      <c r="J118" s="796"/>
      <c r="K118" s="796"/>
      <c r="L118" s="796"/>
      <c r="M118" s="796"/>
      <c r="N118" s="55"/>
      <c r="O118" s="55"/>
      <c r="P118" s="796"/>
      <c r="Q118" s="796"/>
      <c r="R118" s="796"/>
      <c r="S118" s="796"/>
      <c r="T118" s="796"/>
      <c r="U118" s="796"/>
      <c r="V118" s="796"/>
      <c r="W118" s="796"/>
      <c r="X118" s="796"/>
      <c r="Y118" s="796"/>
      <c r="Z118" s="796"/>
    </row>
    <row r="119" spans="1:26" s="1835" customFormat="1" ht="15">
      <c r="A119" s="2970" t="str">
        <f>IF(项目基本情况!G5="抵押净值",IF(OR(项目基本情况!F5="已注销",项目基本情况!F5="房地产抵押价值"),"4.抵押净值","5.抵押净值"),"——")</f>
        <v>——</v>
      </c>
      <c r="B119" s="2971"/>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975"/>
      <c r="B120" s="2976"/>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27" t="s">
        <v>2002</v>
      </c>
      <c r="B121" s="3028"/>
      <c r="C121" s="3028"/>
      <c r="D121" s="3028"/>
      <c r="E121" s="3028"/>
      <c r="F121" s="3028"/>
      <c r="G121" s="3028"/>
      <c r="H121" s="3028"/>
      <c r="I121" s="3028"/>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51" t="s">
        <v>1950</v>
      </c>
      <c r="B122" s="2981" t="s">
        <v>2003</v>
      </c>
      <c r="C122" s="2981" t="s">
        <v>2004</v>
      </c>
      <c r="D122" s="3053" t="s">
        <v>1953</v>
      </c>
      <c r="E122" s="3054"/>
      <c r="F122" s="2952" t="s">
        <v>2005</v>
      </c>
      <c r="G122" s="2952"/>
      <c r="H122" s="2952" t="s">
        <v>1954</v>
      </c>
      <c r="I122" s="305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51"/>
      <c r="B123" s="2982"/>
      <c r="C123" s="2982"/>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51" t="s">
        <v>1958</v>
      </c>
      <c r="B125" s="2952"/>
      <c r="C125" s="2952"/>
      <c r="D125" s="2985" t="str">
        <f>IF(H19="元",NUMBERSTRING(INT(D124),2)&amp;"元整",NUMBERSTRING(INT(D124*10000),2)&amp;"元整")</f>
        <v>零元整</v>
      </c>
      <c r="E125" s="3032"/>
      <c r="F125" s="2985" t="str">
        <f>IF(H19="元",NUMBERSTRING(INT(F124),2)&amp;"元整",NUMBERSTRING(INT(F124*10000),2)&amp;"元整")</f>
        <v>零元整</v>
      </c>
      <c r="G125" s="3032"/>
      <c r="H125" s="2985" t="str">
        <f>IF(H19="元",NUMBERSTRING(INT(H124),2)&amp;"元整",NUMBERSTRING(INT(H124*10000),2)&amp;"元整")</f>
        <v>零元整</v>
      </c>
      <c r="I125" s="2986"/>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33" t="str">
        <f>IF(项目基本情况!D5="房地产市场价值","——",MID(A111,3,LEN(A111)-2))</f>
        <v>估价师所知悉的法定优先受偿款</v>
      </c>
      <c r="B126" s="2963"/>
      <c r="C126" s="3034"/>
      <c r="D126" s="2962">
        <f>I106</f>
        <v>0</v>
      </c>
      <c r="E126" s="2963"/>
      <c r="F126" s="2963"/>
      <c r="G126" s="2963"/>
      <c r="H126" s="2963"/>
      <c r="I126" s="2964"/>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35" t="s">
        <v>1958</v>
      </c>
      <c r="B127" s="3036"/>
      <c r="C127" s="3037"/>
      <c r="D127" s="2965">
        <f>H110</f>
        <v>0</v>
      </c>
      <c r="E127" s="2966"/>
      <c r="F127" s="2966"/>
      <c r="G127" s="2966"/>
      <c r="H127" s="2966"/>
      <c r="I127" s="2967"/>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68" t="str">
        <f>IF(项目基本情况!D5="房地产市场价值","——",MID(A115,3,LEN(A115)-2))</f>
        <v>房地产抵押价值</v>
      </c>
      <c r="B128" s="2969"/>
      <c r="C128" s="2969"/>
      <c r="D128" s="2962">
        <f>I111</f>
        <v>0</v>
      </c>
      <c r="E128" s="2963"/>
      <c r="F128" s="2963"/>
      <c r="G128" s="2963"/>
      <c r="H128" s="2963"/>
      <c r="I128" s="2964"/>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51" t="s">
        <v>1958</v>
      </c>
      <c r="B129" s="2952"/>
      <c r="C129" s="2952"/>
      <c r="D129" s="2965" t="e">
        <f>I112</f>
        <v>#DIV/0!</v>
      </c>
      <c r="E129" s="2966"/>
      <c r="F129" s="2966"/>
      <c r="G129" s="2966"/>
      <c r="H129" s="2966"/>
      <c r="I129" s="2967"/>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68" t="str">
        <f>IF(项目基本情况!D5="房地产市场价值","——",MID(A117,3,LEN(A117)-2))</f>
        <v/>
      </c>
      <c r="B130" s="2969"/>
      <c r="C130" s="2969"/>
      <c r="D130" s="3067" t="str">
        <f>I113</f>
        <v>——</v>
      </c>
      <c r="E130" s="3068"/>
      <c r="F130" s="3068"/>
      <c r="G130" s="3068"/>
      <c r="H130" s="3068"/>
      <c r="I130" s="3069"/>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51" t="s">
        <v>1958</v>
      </c>
      <c r="B131" s="2952"/>
      <c r="C131" s="2953"/>
      <c r="D131" s="3025" t="str">
        <f>I114</f>
        <v>——</v>
      </c>
      <c r="E131" s="3025"/>
      <c r="F131" s="3025"/>
      <c r="G131" s="3025"/>
      <c r="H131" s="3025"/>
      <c r="I131" s="3025"/>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68" t="str">
        <f>IF(项目基本情况!D5="房地产市场价值","——",MID(F115,3,LEN(F115)-2))</f>
        <v/>
      </c>
      <c r="B132" s="2969"/>
      <c r="C132" s="2962"/>
      <c r="D132" s="2974" t="str">
        <f>I115</f>
        <v>——</v>
      </c>
      <c r="E132" s="2974"/>
      <c r="F132" s="2974"/>
      <c r="G132" s="2974"/>
      <c r="H132" s="2974"/>
      <c r="I132" s="2974"/>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979" t="s">
        <v>1958</v>
      </c>
      <c r="B133" s="2980"/>
      <c r="C133" s="2980"/>
      <c r="D133" s="2987">
        <f>H117</f>
        <v>0</v>
      </c>
      <c r="E133" s="2988"/>
      <c r="F133" s="2988"/>
      <c r="G133" s="2988"/>
      <c r="H133" s="2988"/>
      <c r="I133" s="2989"/>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36305</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36305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19970</v>
      </c>
      <c r="D5" s="195" t="s">
        <v>2013</v>
      </c>
      <c r="E5" s="1523" t="s">
        <v>2014</v>
      </c>
      <c r="F5" s="1523" t="s">
        <v>2015</v>
      </c>
      <c r="G5" s="174"/>
    </row>
    <row r="6" spans="1:7" s="175" customFormat="1" ht="13.5" customHeight="1">
      <c r="A6" s="176" t="s">
        <v>2016</v>
      </c>
      <c r="B6" s="177" t="s">
        <v>2017</v>
      </c>
      <c r="C6" s="1522">
        <f ca="1">基准地价修正!E29</f>
        <v>19185</v>
      </c>
      <c r="D6" s="1524"/>
      <c r="E6" s="1525"/>
      <c r="F6" s="1525"/>
      <c r="G6" s="179"/>
    </row>
    <row r="7" spans="1:7" s="175" customFormat="1" ht="13.5" customHeight="1">
      <c r="A7" s="176" t="s">
        <v>2018</v>
      </c>
      <c r="B7" s="177" t="s">
        <v>2019</v>
      </c>
      <c r="C7" s="199">
        <f ca="1">ROUND(C6*F7,0)</f>
        <v>585</v>
      </c>
      <c r="D7" s="199"/>
      <c r="E7" s="1525"/>
      <c r="F7" s="1526">
        <f>'数据-取费表'!E36+'数据-取费表'!E37</f>
        <v>3.0499999999999999E-2</v>
      </c>
      <c r="G7" s="179"/>
    </row>
    <row r="8" spans="1:7" s="180" customFormat="1">
      <c r="A8" s="176" t="s">
        <v>2020</v>
      </c>
      <c r="B8" s="177" t="s">
        <v>2021</v>
      </c>
      <c r="C8" s="199">
        <f>IF(G8="已包含在土地购买价格中","0",'数据-取费表'!E13)</f>
        <v>200</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160</v>
      </c>
      <c r="F9" s="1526"/>
      <c r="G9" s="182"/>
    </row>
    <row r="10" spans="1:7" s="175" customFormat="1" ht="13.5" customHeight="1">
      <c r="A10" s="1301" t="s">
        <v>954</v>
      </c>
      <c r="B10" s="181" t="s">
        <v>2023</v>
      </c>
      <c r="C10" s="1528">
        <f>ROUND(D10*E10,0)</f>
        <v>200</v>
      </c>
      <c r="D10" s="1529">
        <f>IF('数据-取费表'!B10&lt;&gt;"住宅",IF(B1="仅计算典型户型",'数据-取费表'!E5,'数据-取费表'!B5),0)</f>
        <v>1</v>
      </c>
      <c r="E10" s="1528">
        <f>'数据-取费表'!E12</f>
        <v>200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1</v>
      </c>
      <c r="E19" s="195">
        <f>'数据-取费表'!E15</f>
        <v>200</v>
      </c>
      <c r="F19" s="196"/>
      <c r="G19" s="2326" t="s">
        <v>2914</v>
      </c>
    </row>
    <row r="20" spans="1:7" s="175" customFormat="1" ht="13.5" customHeight="1">
      <c r="A20" s="204" t="s">
        <v>2035</v>
      </c>
      <c r="B20" s="173" t="s">
        <v>2036</v>
      </c>
      <c r="C20" s="183">
        <f ca="1">ROUND((C5+C19)*F20,0)</f>
        <v>599</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1970</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1942</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28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6171</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6171</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31678</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3395</v>
      </c>
      <c r="D33" s="183"/>
      <c r="E33" s="1523"/>
      <c r="F33" s="191"/>
      <c r="G33" s="184"/>
    </row>
    <row r="34" spans="1:7" s="206" customFormat="1" ht="13.5" customHeight="1">
      <c r="A34" s="176" t="s">
        <v>2044</v>
      </c>
      <c r="B34" s="177" t="s">
        <v>2066</v>
      </c>
      <c r="C34" s="199">
        <f>IF(B1="仅计算典型户型",'数据-取费表'!F18,'数据-取费表'!E18)</f>
        <v>3000</v>
      </c>
      <c r="D34" s="1524"/>
      <c r="E34" s="199"/>
      <c r="F34" s="1535" t="str">
        <f>IF('数据-取费表'!B25=0,"",'数据-取费表'!E20)</f>
        <v/>
      </c>
      <c r="G34" s="179"/>
    </row>
    <row r="35" spans="1:7" ht="13.5" customHeight="1">
      <c r="A35" s="176" t="s">
        <v>2018</v>
      </c>
      <c r="B35" s="177" t="s">
        <v>2067</v>
      </c>
      <c r="C35" s="199">
        <f>ROUND(C34*F35,0)</f>
        <v>150</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200</v>
      </c>
      <c r="D37" s="1524">
        <f>IF(B1="仅计算典型户型",'数据-取费表'!E5,'数据-取费表'!B5)</f>
        <v>1</v>
      </c>
      <c r="E37" s="199">
        <f>'数据-取费表'!E23</f>
        <v>200</v>
      </c>
      <c r="F37" s="1536"/>
      <c r="G37" s="208" t="s">
        <v>2072</v>
      </c>
    </row>
    <row r="38" spans="1:7" ht="13.5" customHeight="1">
      <c r="A38" s="176" t="s">
        <v>2073</v>
      </c>
      <c r="B38" s="177" t="s">
        <v>2074</v>
      </c>
      <c r="C38" s="199">
        <f>ROUND(C34*F38,0)</f>
        <v>45</v>
      </c>
      <c r="D38" s="199"/>
      <c r="E38" s="199"/>
      <c r="F38" s="1536">
        <f>'数据-取费表'!E24</f>
        <v>1.4999999999999999E-2</v>
      </c>
      <c r="G38" s="179" t="s">
        <v>2068</v>
      </c>
    </row>
    <row r="39" spans="1:7" s="175" customFormat="1" ht="13.5" customHeight="1">
      <c r="A39" s="204" t="s">
        <v>2033</v>
      </c>
      <c r="B39" s="173" t="s">
        <v>2036</v>
      </c>
      <c r="C39" s="183">
        <f>ROUND(C33*F20,0)</f>
        <v>102</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166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161</v>
      </c>
      <c r="D42" s="188"/>
      <c r="E42" s="188"/>
      <c r="F42" s="189"/>
      <c r="G42" s="3088" t="s">
        <v>2078</v>
      </c>
    </row>
    <row r="43" spans="1:7" ht="13.5" customHeight="1">
      <c r="A43" s="176" t="s">
        <v>2018</v>
      </c>
      <c r="B43" s="177" t="s">
        <v>2047</v>
      </c>
      <c r="C43" s="188">
        <f ca="1">ROUND(IF('数据-取费表'!B23&lt;=1,C39*F22*'数据-取费表'!B22/2,C39*(POWER((1+F22),'数据-取费表'!B22/2)-1)),0)</f>
        <v>5</v>
      </c>
      <c r="D43" s="188"/>
      <c r="E43" s="188"/>
      <c r="F43" s="189"/>
      <c r="G43" s="3089"/>
    </row>
    <row r="44" spans="1:7" ht="13.5" customHeight="1">
      <c r="A44" s="176" t="s">
        <v>2020</v>
      </c>
      <c r="B44" s="177" t="s">
        <v>2049</v>
      </c>
      <c r="C44" s="188">
        <f ca="1">ROUND(IF('数据-取费表'!B23&lt;=1,C40*F22*'数据-取费表'!B22/2,C40*(POWER((1+F22),'数据-取费表'!B22/2)-1)),4)</f>
        <v>1.4E-3</v>
      </c>
      <c r="D44" s="188"/>
      <c r="E44" s="188"/>
      <c r="F44" s="189"/>
      <c r="G44" s="3090"/>
    </row>
    <row r="45" spans="1:7" s="175" customFormat="1" ht="13.5" customHeight="1">
      <c r="A45" s="204" t="s">
        <v>2042</v>
      </c>
      <c r="B45" s="194" t="s">
        <v>2054</v>
      </c>
      <c r="C45" s="195">
        <f>C46</f>
        <v>1049</v>
      </c>
      <c r="D45" s="185">
        <f>C47</f>
        <v>8.9999999999999993E-3</v>
      </c>
      <c r="E45" s="186" t="s">
        <v>2076</v>
      </c>
      <c r="F45" s="196"/>
      <c r="G45" s="197" t="s">
        <v>2079</v>
      </c>
    </row>
    <row r="46" spans="1:7" s="175" customFormat="1" ht="13.5" customHeight="1">
      <c r="A46" s="176" t="s">
        <v>2044</v>
      </c>
      <c r="B46" s="198" t="s">
        <v>2080</v>
      </c>
      <c r="C46" s="199">
        <f>ROUND((C33+C39)*F27,0)</f>
        <v>1049</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5199</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4627</v>
      </c>
      <c r="D51" s="183"/>
      <c r="E51" s="183"/>
      <c r="F51" s="210"/>
      <c r="G51" s="184" t="s">
        <v>2092</v>
      </c>
    </row>
    <row r="52" spans="1:7" s="172" customFormat="1" ht="16.5" thickBot="1">
      <c r="A52" s="211" t="s">
        <v>2093</v>
      </c>
      <c r="B52" s="212"/>
      <c r="C52" s="213">
        <f ca="1">C31+C51</f>
        <v>36305</v>
      </c>
      <c r="D52" s="212"/>
      <c r="E52" s="212"/>
      <c r="F52" s="212"/>
      <c r="G52" s="214"/>
    </row>
    <row r="55" spans="1:7" ht="15">
      <c r="B55" s="216" t="s">
        <v>2094</v>
      </c>
      <c r="C55" s="217"/>
    </row>
    <row r="56" spans="1:7">
      <c r="B56" s="219" t="s">
        <v>2095</v>
      </c>
      <c r="C56" s="220">
        <f ca="1">ROUND(C51/C52,3)</f>
        <v>0.127</v>
      </c>
    </row>
    <row r="57" spans="1:7">
      <c r="B57" s="219" t="s">
        <v>2096</v>
      </c>
      <c r="C57" s="221">
        <f ca="1">1-C56</f>
        <v>0.873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200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-200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-200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-6</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-62</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-62</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200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F12" sqref="F12"/>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34299</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34299</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1256</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1254</v>
      </c>
      <c r="D6" s="2778" t="s">
        <v>2803</v>
      </c>
      <c r="E6" s="2779" t="s">
        <v>2109</v>
      </c>
      <c r="F6" s="2780">
        <f>'数据-取费表'!B29</f>
        <v>110</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2</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4627</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3000</v>
      </c>
      <c r="D14" s="2808" t="s">
        <v>2128</v>
      </c>
      <c r="E14" s="2809"/>
      <c r="F14" s="2810"/>
      <c r="G14" s="1236"/>
      <c r="H14" s="337" t="s">
        <v>2107</v>
      </c>
      <c r="I14" s="319" t="s">
        <v>2129</v>
      </c>
      <c r="J14" s="14">
        <f ca="1">C29</f>
        <v>5199</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150</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78</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200</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45</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3395</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102</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78</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166</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-78</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1049</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5199</v>
      </c>
      <c r="D29" s="2825"/>
      <c r="E29" s="2799"/>
      <c r="F29" s="2826"/>
      <c r="G29" s="789"/>
      <c r="H29" s="354" t="s">
        <v>24</v>
      </c>
      <c r="I29" s="355" t="s">
        <v>2203</v>
      </c>
      <c r="J29" s="356">
        <f ca="1">ROUND(J26/(1+F40)^F41,0)</f>
        <v>0</v>
      </c>
      <c r="K29" s="357" t="s">
        <v>2204</v>
      </c>
      <c r="L29" s="358"/>
      <c r="M29" s="359">
        <f>IF(D1="仅计算典型户型",'数据-取费表'!E5,'数据-取费表'!B5)</f>
        <v>1</v>
      </c>
    </row>
    <row r="30" spans="1:37" ht="18" customHeight="1" thickTop="1">
      <c r="A30" s="2801" t="s">
        <v>14</v>
      </c>
      <c r="B30" s="2802" t="s">
        <v>2205</v>
      </c>
      <c r="C30" s="2803">
        <f ca="1">ROUND(C31+C36+C37+C38,0)</f>
        <v>186</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87.9</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278</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78</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7</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13</v>
      </c>
      <c r="D38" s="2825" t="s">
        <v>2180</v>
      </c>
      <c r="E38" s="2799" t="s">
        <v>2176</v>
      </c>
      <c r="F38" s="2800">
        <f>'数据-取费表'!B46</f>
        <v>0.01</v>
      </c>
      <c r="G38" s="789"/>
      <c r="H38" s="1227"/>
      <c r="I38" s="363" t="s">
        <v>2218</v>
      </c>
      <c r="J38" s="220">
        <f ca="1">ROUND(J34/C39,3)</f>
        <v>0.26</v>
      </c>
      <c r="K38" s="1232"/>
      <c r="L38" s="1227"/>
      <c r="M38" s="1227"/>
    </row>
    <row r="39" spans="1:18" ht="18" customHeight="1" thickTop="1">
      <c r="A39" s="2801" t="s">
        <v>22</v>
      </c>
      <c r="B39" s="2840" t="s">
        <v>2219</v>
      </c>
      <c r="C39" s="2803">
        <f ca="1">C5-C30</f>
        <v>1070</v>
      </c>
      <c r="D39" s="2841" t="s">
        <v>2220</v>
      </c>
      <c r="E39" s="2842"/>
      <c r="F39" s="2843"/>
      <c r="G39" s="789"/>
      <c r="H39" s="1227"/>
      <c r="I39" s="363" t="s">
        <v>2221</v>
      </c>
      <c r="J39" s="220">
        <f ca="1">1-J38</f>
        <v>0.74</v>
      </c>
      <c r="K39" s="1232"/>
      <c r="L39" s="1227"/>
      <c r="M39" s="1227"/>
    </row>
    <row r="40" spans="1:18" s="789" customFormat="1" ht="18" customHeight="1">
      <c r="A40" s="2770" t="s">
        <v>23</v>
      </c>
      <c r="B40" s="2771" t="s">
        <v>2222</v>
      </c>
      <c r="C40" s="2772">
        <f ca="1">ROUND(C39*(1-((1+F42)/(1+F40))^F41)/(F40-F42),0)</f>
        <v>34299</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0.13500000000000001</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0.86499999999999999</v>
      </c>
      <c r="K42" s="1231"/>
      <c r="L42" s="1234"/>
      <c r="M42" s="1234"/>
      <c r="Q42" s="793"/>
    </row>
    <row r="43" spans="1:18" s="789" customFormat="1" ht="18" customHeight="1" thickBot="1">
      <c r="A43" s="2850" t="s">
        <v>24</v>
      </c>
      <c r="B43" s="2851" t="s">
        <v>2225</v>
      </c>
      <c r="C43" s="2852">
        <f ca="1">ROUND(C40/F43,0)</f>
        <v>34299</v>
      </c>
      <c r="D43" s="2853" t="s">
        <v>2226</v>
      </c>
      <c r="E43" s="2854" t="s">
        <v>2227</v>
      </c>
      <c r="F43" s="2855">
        <f>IF(D1="仅计算典型户型",'数据-取费表'!E5,'数据-取费表'!B5)</f>
        <v>1</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34299</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-35981</v>
      </c>
      <c r="D47" s="2335" t="str">
        <f>C2</f>
        <v>元</v>
      </c>
      <c r="E47" s="774"/>
      <c r="F47" s="774"/>
      <c r="I47" s="2336" t="s">
        <v>2238</v>
      </c>
      <c r="J47" s="1340"/>
      <c r="K47" s="1341"/>
      <c r="L47" s="1354" t="str">
        <f>IF(M48="住宅",0,IF(L49&gt;J52,L61,J61))</f>
        <v>0</v>
      </c>
      <c r="O47" s="1368" t="s">
        <v>959</v>
      </c>
      <c r="P47" s="1365" t="s">
        <v>2239</v>
      </c>
      <c r="Q47" s="1366">
        <f ca="1">C29</f>
        <v>5199</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34299</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726529</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1" t="s">
        <v>2802</v>
      </c>
      <c r="L54" s="3092"/>
      <c r="O54" s="1364" t="s">
        <v>957</v>
      </c>
      <c r="P54" s="1365" t="s">
        <v>2233</v>
      </c>
      <c r="Q54" s="1366">
        <f ca="1">C40+J29</f>
        <v>34299</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4627</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5199</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85</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34299</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34299</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78</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726529</v>
      </c>
      <c r="R65" s="1371" t="s">
        <v>2296</v>
      </c>
    </row>
    <row r="66" spans="1:18" s="789" customFormat="1" ht="20.25" thickBot="1">
      <c r="A66" s="337" t="s">
        <v>20</v>
      </c>
      <c r="B66" s="319" t="s">
        <v>2174</v>
      </c>
      <c r="C66" s="14">
        <f ca="1">ROUND(C57*F66,0)</f>
        <v>7</v>
      </c>
      <c r="D66" s="1883" t="s">
        <v>2175</v>
      </c>
      <c r="E66" s="319" t="s">
        <v>2176</v>
      </c>
      <c r="F66" s="349">
        <f t="shared" si="0"/>
        <v>1.5E-3</v>
      </c>
      <c r="I66" s="2358" t="s">
        <v>2297</v>
      </c>
      <c r="J66" s="1864">
        <v>40</v>
      </c>
      <c r="K66" s="1864">
        <v>30</v>
      </c>
      <c r="L66" s="1864">
        <v>50</v>
      </c>
      <c r="M66" s="1862">
        <v>0.02</v>
      </c>
      <c r="O66" s="1368" t="s">
        <v>960</v>
      </c>
      <c r="P66" s="1372" t="s">
        <v>2298</v>
      </c>
      <c r="Q66" s="1366">
        <f ca="1">ROUND(Q67-Q68*Q69,0)</f>
        <v>792</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1070</v>
      </c>
      <c r="R67" s="1367" t="s">
        <v>2234</v>
      </c>
    </row>
    <row r="68" spans="1:18" ht="15.75" thickBot="1">
      <c r="A68" s="332" t="s">
        <v>22</v>
      </c>
      <c r="B68" s="89" t="s">
        <v>2184</v>
      </c>
      <c r="C68" s="334">
        <f ca="1">C49-C59</f>
        <v>-85</v>
      </c>
      <c r="D68" s="1878" t="s">
        <v>2185</v>
      </c>
      <c r="E68" s="1882"/>
      <c r="F68" s="351"/>
      <c r="H68" s="789"/>
      <c r="I68" s="789"/>
      <c r="J68" s="789"/>
      <c r="K68" s="789"/>
      <c r="L68" s="789"/>
      <c r="M68" s="789"/>
      <c r="O68" s="1368" t="s">
        <v>966</v>
      </c>
      <c r="P68" s="1372" t="s">
        <v>2300</v>
      </c>
      <c r="Q68" s="1366">
        <f ca="1">C13</f>
        <v>4627</v>
      </c>
      <c r="R68" s="1367" t="s">
        <v>2234</v>
      </c>
    </row>
    <row r="69" spans="1:18" ht="15.75" thickBot="1">
      <c r="A69" s="316" t="s">
        <v>23</v>
      </c>
      <c r="B69" s="317" t="s">
        <v>2222</v>
      </c>
      <c r="C69" s="318">
        <f ca="1">ROUND(C68*(1-((1+F71)/(1+F69))^F70)/(F69-F71),0)</f>
        <v>-1682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-1682</v>
      </c>
      <c r="D72" s="357" t="s">
        <v>2226</v>
      </c>
      <c r="E72" s="358" t="s">
        <v>2227</v>
      </c>
      <c r="F72" s="359">
        <f>F43</f>
        <v>1</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34299</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09" t="s">
        <v>1024</v>
      </c>
      <c r="B1" s="3110"/>
      <c r="C1" s="3111"/>
      <c r="D1" s="3112">
        <f>SUM(I10,I15,I20,I21,I23)</f>
        <v>0</v>
      </c>
      <c r="E1" s="3112"/>
      <c r="F1" s="3112"/>
      <c r="G1" s="3112"/>
      <c r="H1" s="3112"/>
      <c r="I1" s="3113"/>
    </row>
    <row r="2" spans="1:9">
      <c r="A2" s="3099" t="s">
        <v>1025</v>
      </c>
      <c r="B2" s="3100" t="s">
        <v>974</v>
      </c>
      <c r="C2" s="3100"/>
      <c r="D2" s="1384" t="s">
        <v>975</v>
      </c>
      <c r="E2" s="1384" t="s">
        <v>976</v>
      </c>
      <c r="F2" s="1384" t="s">
        <v>977</v>
      </c>
      <c r="G2" s="1384" t="s">
        <v>978</v>
      </c>
      <c r="H2" s="1384" t="s">
        <v>979</v>
      </c>
      <c r="I2" s="1385" t="s">
        <v>980</v>
      </c>
    </row>
    <row r="3" spans="1:9">
      <c r="A3" s="3099"/>
      <c r="B3" s="3100" t="s">
        <v>981</v>
      </c>
      <c r="C3" s="3100"/>
      <c r="D3" s="1386"/>
      <c r="E3" s="1384"/>
      <c r="F3" s="1387"/>
      <c r="G3" s="1387"/>
      <c r="H3" s="1388"/>
      <c r="I3" s="1389">
        <f>ROUND(D3*E3*F3*G3*H3/10000,0)</f>
        <v>0</v>
      </c>
    </row>
    <row r="4" spans="1:9">
      <c r="A4" s="3099"/>
      <c r="B4" s="3100" t="s">
        <v>982</v>
      </c>
      <c r="C4" s="3100"/>
      <c r="D4" s="1386"/>
      <c r="E4" s="1384"/>
      <c r="F4" s="1387"/>
      <c r="G4" s="1387"/>
      <c r="H4" s="1388"/>
      <c r="I4" s="1389">
        <f t="shared" ref="I4:I9" si="0">ROUND(D4*E4*F4*G4*H4/10000,0)</f>
        <v>0</v>
      </c>
    </row>
    <row r="5" spans="1:9">
      <c r="A5" s="3099"/>
      <c r="B5" s="3100" t="s">
        <v>983</v>
      </c>
      <c r="C5" s="3100"/>
      <c r="D5" s="1386"/>
      <c r="E5" s="1384"/>
      <c r="F5" s="1387"/>
      <c r="G5" s="1387"/>
      <c r="H5" s="1388"/>
      <c r="I5" s="1389">
        <f t="shared" si="0"/>
        <v>0</v>
      </c>
    </row>
    <row r="6" spans="1:9">
      <c r="A6" s="3099"/>
      <c r="B6" s="3100" t="s">
        <v>984</v>
      </c>
      <c r="C6" s="3100"/>
      <c r="D6" s="1386"/>
      <c r="E6" s="1384"/>
      <c r="F6" s="1387"/>
      <c r="G6" s="1387"/>
      <c r="H6" s="1388"/>
      <c r="I6" s="1389">
        <f t="shared" si="0"/>
        <v>0</v>
      </c>
    </row>
    <row r="7" spans="1:9">
      <c r="A7" s="3099"/>
      <c r="B7" s="3100" t="s">
        <v>985</v>
      </c>
      <c r="C7" s="3100"/>
      <c r="D7" s="1386"/>
      <c r="E7" s="1384"/>
      <c r="F7" s="1387"/>
      <c r="G7" s="1387"/>
      <c r="H7" s="1388"/>
      <c r="I7" s="1389">
        <f t="shared" si="0"/>
        <v>0</v>
      </c>
    </row>
    <row r="8" spans="1:9">
      <c r="A8" s="3099"/>
      <c r="B8" s="3100" t="s">
        <v>986</v>
      </c>
      <c r="C8" s="3100"/>
      <c r="D8" s="1386"/>
      <c r="E8" s="1384"/>
      <c r="F8" s="1387"/>
      <c r="G8" s="1387"/>
      <c r="H8" s="1388"/>
      <c r="I8" s="1389">
        <f t="shared" si="0"/>
        <v>0</v>
      </c>
    </row>
    <row r="9" spans="1:9">
      <c r="A9" s="3099"/>
      <c r="B9" s="3100" t="s">
        <v>987</v>
      </c>
      <c r="C9" s="3100"/>
      <c r="D9" s="1386"/>
      <c r="E9" s="1384"/>
      <c r="F9" s="1387"/>
      <c r="G9" s="1387"/>
      <c r="H9" s="1388"/>
      <c r="I9" s="1389">
        <f t="shared" si="0"/>
        <v>0</v>
      </c>
    </row>
    <row r="10" spans="1:9">
      <c r="A10" s="3099"/>
      <c r="B10" s="3101" t="s">
        <v>988</v>
      </c>
      <c r="C10" s="3101"/>
      <c r="D10" s="1390">
        <v>527</v>
      </c>
      <c r="E10" s="1390" t="e">
        <f>ROUND(D1*10000/D10/H9,0)</f>
        <v>#DIV/0!</v>
      </c>
      <c r="F10" s="1391"/>
      <c r="G10" s="1391"/>
      <c r="H10" s="1392"/>
      <c r="I10" s="1393">
        <f>SUM(I3:I9)</f>
        <v>0</v>
      </c>
    </row>
    <row r="11" spans="1:9" ht="14.25">
      <c r="A11" s="3099" t="s">
        <v>1026</v>
      </c>
      <c r="B11" s="3100" t="s">
        <v>989</v>
      </c>
      <c r="C11" s="3100"/>
      <c r="D11" s="1386" t="s">
        <v>990</v>
      </c>
      <c r="E11" s="1386" t="s">
        <v>991</v>
      </c>
      <c r="F11" s="1387" t="s">
        <v>992</v>
      </c>
      <c r="G11" s="1387" t="s">
        <v>979</v>
      </c>
      <c r="H11" s="1394" t="s">
        <v>993</v>
      </c>
      <c r="I11" s="1385" t="s">
        <v>980</v>
      </c>
    </row>
    <row r="12" spans="1:9">
      <c r="A12" s="3099"/>
      <c r="B12" s="3100" t="s">
        <v>994</v>
      </c>
      <c r="C12" s="3100"/>
      <c r="D12" s="1386"/>
      <c r="E12" s="1386"/>
      <c r="F12" s="1387"/>
      <c r="G12" s="1388"/>
      <c r="H12" s="1395"/>
      <c r="I12" s="1385">
        <f>ROUND(D12*E12*F12*G12/10000,0)</f>
        <v>0</v>
      </c>
    </row>
    <row r="13" spans="1:9">
      <c r="A13" s="3099"/>
      <c r="B13" s="3100" t="s">
        <v>995</v>
      </c>
      <c r="C13" s="3100"/>
      <c r="D13" s="1386"/>
      <c r="E13" s="1386"/>
      <c r="F13" s="1387"/>
      <c r="G13" s="1388"/>
      <c r="H13" s="1395"/>
      <c r="I13" s="1385">
        <f>ROUND(D13*E13*F13*G13/10000,0)</f>
        <v>0</v>
      </c>
    </row>
    <row r="14" spans="1:9">
      <c r="A14" s="3099"/>
      <c r="B14" s="3100" t="s">
        <v>996</v>
      </c>
      <c r="C14" s="3100"/>
      <c r="D14" s="1386"/>
      <c r="E14" s="1386"/>
      <c r="F14" s="1387"/>
      <c r="G14" s="1388"/>
      <c r="H14" s="1395"/>
      <c r="I14" s="1385">
        <f>ROUND(D14*E14*F14*G14/10000,0)</f>
        <v>0</v>
      </c>
    </row>
    <row r="15" spans="1:9">
      <c r="A15" s="3099"/>
      <c r="B15" s="3101" t="s">
        <v>988</v>
      </c>
      <c r="C15" s="3101"/>
      <c r="D15" s="1390"/>
      <c r="E15" s="1390">
        <f>SUM(E12:E14)</f>
        <v>0</v>
      </c>
      <c r="F15" s="1391"/>
      <c r="G15" s="1388"/>
      <c r="H15" s="1395"/>
      <c r="I15" s="1396">
        <f>SUM(I12:I14)</f>
        <v>0</v>
      </c>
    </row>
    <row r="16" spans="1:9" ht="24">
      <c r="A16" s="3099" t="s">
        <v>1027</v>
      </c>
      <c r="B16" s="3100" t="s">
        <v>997</v>
      </c>
      <c r="C16" s="3100"/>
      <c r="D16" s="1386" t="s">
        <v>975</v>
      </c>
      <c r="E16" s="1397" t="s">
        <v>998</v>
      </c>
      <c r="F16" s="1387" t="s">
        <v>999</v>
      </c>
      <c r="G16" s="1388" t="s">
        <v>979</v>
      </c>
      <c r="H16" s="1394" t="s">
        <v>993</v>
      </c>
      <c r="I16" s="1385" t="s">
        <v>980</v>
      </c>
    </row>
    <row r="17" spans="1:9" ht="14.25">
      <c r="A17" s="3099"/>
      <c r="B17" s="3100" t="s">
        <v>1000</v>
      </c>
      <c r="C17" s="3100"/>
      <c r="D17" s="1386"/>
      <c r="E17" s="1386"/>
      <c r="F17" s="1387"/>
      <c r="G17" s="1388"/>
      <c r="H17" s="1398"/>
      <c r="I17" s="1399">
        <f>ROUND(D17*E17*F17*G17/10000,0)</f>
        <v>0</v>
      </c>
    </row>
    <row r="18" spans="1:9" ht="14.25">
      <c r="A18" s="3099"/>
      <c r="B18" s="3100" t="s">
        <v>1001</v>
      </c>
      <c r="C18" s="3100"/>
      <c r="D18" s="1386"/>
      <c r="E18" s="1386"/>
      <c r="F18" s="1387"/>
      <c r="G18" s="1388"/>
      <c r="H18" s="1398"/>
      <c r="I18" s="1399">
        <f>ROUND(D18*E18*F18*G18/10000,0)</f>
        <v>0</v>
      </c>
    </row>
    <row r="19" spans="1:9" ht="14.25">
      <c r="A19" s="3099"/>
      <c r="B19" s="3100" t="s">
        <v>1002</v>
      </c>
      <c r="C19" s="3100"/>
      <c r="D19" s="1386"/>
      <c r="E19" s="1386"/>
      <c r="F19" s="1387"/>
      <c r="G19" s="1388"/>
      <c r="H19" s="1398"/>
      <c r="I19" s="1399">
        <f>ROUND(D19*E19*F19*G19/10000,0)</f>
        <v>0</v>
      </c>
    </row>
    <row r="20" spans="1:9">
      <c r="A20" s="3099"/>
      <c r="B20" s="3101" t="s">
        <v>988</v>
      </c>
      <c r="C20" s="3101"/>
      <c r="D20" s="1390">
        <f>SUM(D17:D19)</f>
        <v>0</v>
      </c>
      <c r="E20" s="1390"/>
      <c r="F20" s="1391"/>
      <c r="G20" s="1388"/>
      <c r="H20" s="1395"/>
      <c r="I20" s="1396">
        <f>SUM(I17:I19)</f>
        <v>0</v>
      </c>
    </row>
    <row r="21" spans="1:9">
      <c r="A21" s="3099" t="s">
        <v>1028</v>
      </c>
      <c r="B21" s="3102"/>
      <c r="C21" s="3102"/>
      <c r="D21" s="3102"/>
      <c r="E21" s="3102"/>
      <c r="F21" s="3102"/>
      <c r="G21" s="3102"/>
      <c r="H21" s="1400">
        <v>0.1</v>
      </c>
      <c r="I21" s="1393">
        <f>ROUND(I10*H21,0)</f>
        <v>0</v>
      </c>
    </row>
    <row r="22" spans="1:9" ht="14.25">
      <c r="A22" s="3103" t="s">
        <v>1029</v>
      </c>
      <c r="B22" s="3104"/>
      <c r="C22" s="3105"/>
      <c r="D22" s="1401" t="s">
        <v>1003</v>
      </c>
      <c r="E22" s="1401" t="s">
        <v>1004</v>
      </c>
      <c r="F22" s="1402" t="s">
        <v>979</v>
      </c>
      <c r="G22" s="1402" t="s">
        <v>1005</v>
      </c>
      <c r="H22" s="1394" t="s">
        <v>993</v>
      </c>
      <c r="I22" s="1385" t="s">
        <v>980</v>
      </c>
    </row>
    <row r="23" spans="1:9" ht="14.25" thickBot="1">
      <c r="A23" s="3106"/>
      <c r="B23" s="3107"/>
      <c r="C23" s="3108"/>
      <c r="D23" s="1403"/>
      <c r="E23" s="1403"/>
      <c r="F23" s="1403"/>
      <c r="G23" s="1404"/>
      <c r="H23" s="1405"/>
      <c r="I23" s="1406">
        <f>ROUND(E23*D23*F23*(1-G23)/10000,0)</f>
        <v>0</v>
      </c>
    </row>
    <row r="26" spans="1:9">
      <c r="A26" s="1407" t="s">
        <v>1006</v>
      </c>
      <c r="B26" s="1407"/>
      <c r="C26" s="1407"/>
      <c r="D26" s="1407"/>
      <c r="E26" s="3096">
        <f>C27-C30-C31-C32</f>
        <v>0</v>
      </c>
      <c r="F26" s="3096"/>
      <c r="G26" s="3096"/>
      <c r="H26" s="1819" t="s">
        <v>1219</v>
      </c>
    </row>
    <row r="27" spans="1:9">
      <c r="A27" s="1408">
        <v>1</v>
      </c>
      <c r="B27" s="1409" t="s">
        <v>1007</v>
      </c>
      <c r="C27" s="1409">
        <f>C28+C29</f>
        <v>0</v>
      </c>
      <c r="D27" s="1409"/>
      <c r="E27" s="3097"/>
      <c r="F27" s="3097"/>
      <c r="G27" s="3097"/>
    </row>
    <row r="28" spans="1:9">
      <c r="A28" s="1410" t="s">
        <v>1008</v>
      </c>
      <c r="B28" s="1409" t="s">
        <v>1009</v>
      </c>
      <c r="C28" s="1409"/>
      <c r="D28" s="1409"/>
      <c r="E28" s="3097"/>
      <c r="F28" s="3097"/>
      <c r="G28" s="3097"/>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098"/>
      <c r="F32" s="3098"/>
      <c r="G32" s="3098"/>
    </row>
    <row r="33" spans="1:7" hidden="1">
      <c r="A33" s="3093" t="s">
        <v>1018</v>
      </c>
      <c r="B33" s="3094"/>
      <c r="C33" s="3094"/>
      <c r="D33" s="3095"/>
      <c r="E33" s="3096"/>
      <c r="F33" s="3096"/>
      <c r="G33" s="3096"/>
    </row>
    <row r="34" spans="1:7" hidden="1">
      <c r="A34" s="1412">
        <v>1</v>
      </c>
      <c r="B34" s="1409" t="s">
        <v>1019</v>
      </c>
      <c r="C34" s="1409"/>
      <c r="D34" s="1409"/>
      <c r="E34" s="3097"/>
      <c r="F34" s="3097"/>
      <c r="G34" s="3097"/>
    </row>
    <row r="35" spans="1:7" hidden="1">
      <c r="A35" s="1412">
        <v>2</v>
      </c>
      <c r="B35" s="1409" t="s">
        <v>1020</v>
      </c>
      <c r="C35" s="1409"/>
      <c r="D35" s="1409"/>
      <c r="E35" s="3097"/>
      <c r="F35" s="3097"/>
      <c r="G35" s="3097"/>
    </row>
    <row r="36" spans="1:7" hidden="1">
      <c r="A36" s="1412">
        <v>3</v>
      </c>
      <c r="B36" s="1409" t="s">
        <v>1021</v>
      </c>
      <c r="C36" s="1409"/>
      <c r="D36" s="1409"/>
      <c r="E36" s="3097"/>
      <c r="F36" s="3097"/>
      <c r="G36" s="3097"/>
    </row>
    <row r="37" spans="1:7" hidden="1">
      <c r="A37" s="1412">
        <v>4</v>
      </c>
      <c r="B37" s="1409" t="s">
        <v>1022</v>
      </c>
      <c r="C37" s="1409"/>
      <c r="D37" s="1409"/>
      <c r="E37" s="3097"/>
      <c r="F37" s="3097"/>
      <c r="G37" s="3097"/>
    </row>
    <row r="38" spans="1:7" hidden="1">
      <c r="A38" s="3093" t="s">
        <v>1023</v>
      </c>
      <c r="B38" s="3094"/>
      <c r="C38" s="3094"/>
      <c r="D38" s="3095"/>
      <c r="E38" s="3096"/>
      <c r="F38" s="3096"/>
      <c r="G38" s="30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7" t="s">
        <v>2307</v>
      </c>
      <c r="D4" s="3118"/>
      <c r="E4" s="3118"/>
      <c r="F4" s="3118"/>
      <c r="G4" s="3118"/>
      <c r="H4" s="3118"/>
      <c r="I4" s="3118"/>
      <c r="J4" s="3118"/>
      <c r="K4" s="3118"/>
      <c r="L4" s="3118"/>
      <c r="M4" s="3118"/>
      <c r="N4" s="3118"/>
      <c r="O4" s="3118"/>
      <c r="P4" s="3118"/>
      <c r="Q4" s="3118"/>
      <c r="R4" s="3118"/>
      <c r="S4" s="311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4" t="s">
        <v>45</v>
      </c>
      <c r="D25" s="3115"/>
      <c r="E25" s="3115"/>
      <c r="F25" s="3115"/>
      <c r="G25" s="3115"/>
      <c r="H25" s="3115"/>
      <c r="I25" s="3115"/>
      <c r="J25" s="3115"/>
      <c r="K25" s="3115"/>
      <c r="L25" s="3115"/>
      <c r="M25" s="3115"/>
      <c r="N25" s="3115"/>
      <c r="O25" s="3115"/>
      <c r="P25" s="3115"/>
      <c r="Q25" s="311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1</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53" t="s">
        <v>2341</v>
      </c>
      <c r="D4" s="3154"/>
      <c r="E4" s="3155" t="s">
        <v>2342</v>
      </c>
      <c r="F4" s="3156"/>
      <c r="G4" s="3153" t="s">
        <v>2343</v>
      </c>
      <c r="H4" s="3154"/>
      <c r="I4" s="3153" t="s">
        <v>2344</v>
      </c>
      <c r="J4" s="3154"/>
      <c r="K4" s="2385"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38" t="s">
        <v>2347</v>
      </c>
      <c r="D5" s="3139"/>
      <c r="E5" s="3164" t="s">
        <v>2348</v>
      </c>
      <c r="F5" s="3165"/>
      <c r="G5" s="3138" t="s">
        <v>2349</v>
      </c>
      <c r="H5" s="3139"/>
      <c r="I5" s="3138" t="s">
        <v>2350</v>
      </c>
      <c r="J5" s="3139"/>
      <c r="K5" s="2386"/>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2386"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40" t="s">
        <v>2354</v>
      </c>
      <c r="Q7" s="3148"/>
      <c r="R7" s="747" t="s">
        <v>34</v>
      </c>
      <c r="S7" s="748">
        <f t="shared" ref="S7:S15" si="0">F7</f>
        <v>0</v>
      </c>
      <c r="T7" s="747" t="s">
        <v>34</v>
      </c>
      <c r="U7" s="748">
        <f t="shared" ref="U7:U15" si="1">H7</f>
        <v>0</v>
      </c>
      <c r="V7" s="747" t="s">
        <v>34</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40" t="s">
        <v>2357</v>
      </c>
      <c r="Q8" s="3141"/>
      <c r="R8" s="747" t="s">
        <v>34</v>
      </c>
      <c r="S8" s="748">
        <f t="shared" si="0"/>
        <v>0</v>
      </c>
      <c r="T8" s="747" t="s">
        <v>34</v>
      </c>
      <c r="U8" s="748">
        <f t="shared" si="1"/>
        <v>0</v>
      </c>
      <c r="V8" s="747" t="s">
        <v>34</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49"/>
      <c r="Q11" s="1877" t="str">
        <f t="shared" si="6"/>
        <v>容积率</v>
      </c>
      <c r="R11" s="747" t="s">
        <v>28</v>
      </c>
      <c r="S11" s="748" t="e">
        <f t="shared" si="0"/>
        <v>#N/A</v>
      </c>
      <c r="T11" s="747" t="s">
        <v>28</v>
      </c>
      <c r="U11" s="748" t="e">
        <f t="shared" si="1"/>
        <v>#N/A</v>
      </c>
      <c r="V11" s="747" t="s">
        <v>28</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49"/>
      <c r="Q12" s="1877">
        <f t="shared" si="6"/>
        <v>111</v>
      </c>
      <c r="R12" s="747" t="s">
        <v>28</v>
      </c>
      <c r="S12" s="748">
        <f t="shared" si="0"/>
        <v>100</v>
      </c>
      <c r="T12" s="747" t="s">
        <v>28</v>
      </c>
      <c r="U12" s="748">
        <f t="shared" si="1"/>
        <v>100</v>
      </c>
      <c r="V12" s="747" t="s">
        <v>28</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49"/>
      <c r="Q13" s="1877">
        <f t="shared" si="6"/>
        <v>111</v>
      </c>
      <c r="R13" s="747" t="s">
        <v>28</v>
      </c>
      <c r="S13" s="748">
        <f t="shared" si="0"/>
        <v>100</v>
      </c>
      <c r="T13" s="747" t="s">
        <v>28</v>
      </c>
      <c r="U13" s="748">
        <f t="shared" si="1"/>
        <v>100</v>
      </c>
      <c r="V13" s="747" t="s">
        <v>28</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49"/>
      <c r="Q14" s="1877">
        <f t="shared" si="6"/>
        <v>111</v>
      </c>
      <c r="R14" s="747" t="s">
        <v>28</v>
      </c>
      <c r="S14" s="748">
        <f t="shared" si="0"/>
        <v>100</v>
      </c>
      <c r="T14" s="747" t="s">
        <v>28</v>
      </c>
      <c r="U14" s="748">
        <f t="shared" si="1"/>
        <v>100</v>
      </c>
      <c r="V14" s="747" t="s">
        <v>28</v>
      </c>
      <c r="W14" s="748">
        <f t="shared" si="2"/>
        <v>100</v>
      </c>
      <c r="X14" s="749"/>
      <c r="Y14" s="2952"/>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27" t="s">
        <v>2365</v>
      </c>
      <c r="Q15" s="1889" t="str">
        <f t="shared" si="6"/>
        <v>居住社区成熟度</v>
      </c>
      <c r="R15" s="751" t="s">
        <v>28</v>
      </c>
      <c r="S15" s="752">
        <f t="shared" si="0"/>
        <v>100</v>
      </c>
      <c r="T15" s="751" t="s">
        <v>28</v>
      </c>
      <c r="U15" s="752">
        <f t="shared" si="1"/>
        <v>100</v>
      </c>
      <c r="V15" s="751" t="s">
        <v>28</v>
      </c>
      <c r="W15" s="752">
        <f t="shared" si="2"/>
        <v>100</v>
      </c>
      <c r="X15" s="1890"/>
      <c r="Y15" s="3129"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28"/>
      <c r="Q17" s="1889" t="str">
        <f>B17</f>
        <v>交通便捷度</v>
      </c>
      <c r="R17" s="751" t="s">
        <v>28</v>
      </c>
      <c r="S17" s="752">
        <f>F17</f>
        <v>100</v>
      </c>
      <c r="T17" s="751" t="s">
        <v>28</v>
      </c>
      <c r="U17" s="752">
        <f>H17</f>
        <v>100</v>
      </c>
      <c r="V17" s="751" t="s">
        <v>28</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28"/>
      <c r="Q19" s="1889" t="str">
        <f>B19</f>
        <v>公共配套设施</v>
      </c>
      <c r="R19" s="751" t="s">
        <v>28</v>
      </c>
      <c r="S19" s="752">
        <f>F19</f>
        <v>100</v>
      </c>
      <c r="T19" s="751" t="s">
        <v>28</v>
      </c>
      <c r="U19" s="752">
        <f>H19</f>
        <v>100</v>
      </c>
      <c r="V19" s="751" t="s">
        <v>28</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28"/>
      <c r="Q21" s="1889" t="str">
        <f>B21</f>
        <v>基础设施水平</v>
      </c>
      <c r="R21" s="751" t="s">
        <v>28</v>
      </c>
      <c r="S21" s="752">
        <f>F21</f>
        <v>100</v>
      </c>
      <c r="T21" s="751" t="s">
        <v>28</v>
      </c>
      <c r="U21" s="752">
        <f>H21</f>
        <v>100</v>
      </c>
      <c r="V21" s="751" t="s">
        <v>28</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28"/>
      <c r="Q23" s="1889" t="str">
        <f>B23</f>
        <v>自然及人文环境</v>
      </c>
      <c r="R23" s="751" t="s">
        <v>28</v>
      </c>
      <c r="S23" s="752">
        <f>F23</f>
        <v>100</v>
      </c>
      <c r="T23" s="751" t="s">
        <v>28</v>
      </c>
      <c r="U23" s="752">
        <f>H23</f>
        <v>100</v>
      </c>
      <c r="V23" s="751" t="s">
        <v>28</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28"/>
      <c r="Q25" s="1889" t="str">
        <f t="shared" ref="Q25:Q46" si="11">B25</f>
        <v>楼层-1</v>
      </c>
      <c r="R25" s="751" t="s">
        <v>28</v>
      </c>
      <c r="S25" s="752">
        <f>F25</f>
        <v>100</v>
      </c>
      <c r="T25" s="751" t="s">
        <v>28</v>
      </c>
      <c r="U25" s="752">
        <f>H25</f>
        <v>100</v>
      </c>
      <c r="V25" s="751" t="s">
        <v>28</v>
      </c>
      <c r="W25" s="752">
        <f>J25</f>
        <v>100</v>
      </c>
      <c r="X25" s="1890"/>
      <c r="Y25" s="3130"/>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28"/>
      <c r="Q26" s="1889" t="str">
        <f t="shared" si="11"/>
        <v>朝向</v>
      </c>
      <c r="R26" s="751" t="s">
        <v>28</v>
      </c>
      <c r="S26" s="752">
        <f>F26</f>
        <v>100</v>
      </c>
      <c r="T26" s="751" t="s">
        <v>28</v>
      </c>
      <c r="U26" s="752">
        <f>H26</f>
        <v>100</v>
      </c>
      <c r="V26" s="751" t="s">
        <v>28</v>
      </c>
      <c r="W26" s="752">
        <f>J26</f>
        <v>100</v>
      </c>
      <c r="X26" s="1890"/>
      <c r="Y26" s="3130"/>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28"/>
      <c r="Q27" s="1877" t="str">
        <f t="shared" si="11"/>
        <v>道路级别</v>
      </c>
      <c r="R27" s="747" t="s">
        <v>28</v>
      </c>
      <c r="S27" s="748">
        <f>F27</f>
        <v>100</v>
      </c>
      <c r="T27" s="747" t="s">
        <v>28</v>
      </c>
      <c r="U27" s="748">
        <f>H27</f>
        <v>100</v>
      </c>
      <c r="V27" s="747" t="s">
        <v>28</v>
      </c>
      <c r="W27" s="748">
        <f>J27</f>
        <v>100</v>
      </c>
      <c r="X27" s="749"/>
      <c r="Y27" s="3130"/>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28"/>
      <c r="Q28" s="1889">
        <f t="shared" si="11"/>
        <v>111</v>
      </c>
      <c r="R28" s="751" t="s">
        <v>28</v>
      </c>
      <c r="S28" s="752">
        <f t="shared" ref="S28:S46" si="12">F28</f>
        <v>100</v>
      </c>
      <c r="T28" s="751" t="s">
        <v>28</v>
      </c>
      <c r="U28" s="752">
        <f t="shared" ref="U28:U46" si="13">H28</f>
        <v>100</v>
      </c>
      <c r="V28" s="751" t="s">
        <v>28</v>
      </c>
      <c r="W28" s="752">
        <f t="shared" ref="W28:W46" si="14">J28</f>
        <v>100</v>
      </c>
      <c r="X28" s="1890"/>
      <c r="Y28" s="3130"/>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28"/>
      <c r="Q29" s="1889">
        <f t="shared" si="11"/>
        <v>111</v>
      </c>
      <c r="R29" s="751" t="s">
        <v>28</v>
      </c>
      <c r="S29" s="752">
        <f t="shared" si="12"/>
        <v>100</v>
      </c>
      <c r="T29" s="751" t="s">
        <v>28</v>
      </c>
      <c r="U29" s="752">
        <f t="shared" si="13"/>
        <v>100</v>
      </c>
      <c r="V29" s="751" t="s">
        <v>28</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28"/>
      <c r="Q30" s="1889">
        <f t="shared" si="11"/>
        <v>111</v>
      </c>
      <c r="R30" s="751" t="s">
        <v>28</v>
      </c>
      <c r="S30" s="752">
        <f t="shared" si="12"/>
        <v>100</v>
      </c>
      <c r="T30" s="751" t="s">
        <v>28</v>
      </c>
      <c r="U30" s="752">
        <f t="shared" si="13"/>
        <v>100</v>
      </c>
      <c r="V30" s="751" t="s">
        <v>28</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28"/>
      <c r="Q31" s="1889">
        <f t="shared" si="11"/>
        <v>111</v>
      </c>
      <c r="R31" s="751" t="s">
        <v>28</v>
      </c>
      <c r="S31" s="752">
        <f t="shared" si="12"/>
        <v>100</v>
      </c>
      <c r="T31" s="751" t="s">
        <v>28</v>
      </c>
      <c r="U31" s="752">
        <f t="shared" si="13"/>
        <v>100</v>
      </c>
      <c r="V31" s="751" t="s">
        <v>28</v>
      </c>
      <c r="W31" s="752">
        <f t="shared" si="14"/>
        <v>100</v>
      </c>
      <c r="X31" s="1890"/>
      <c r="Y31" s="3130"/>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31" t="s">
        <v>2371</v>
      </c>
      <c r="Q32" s="1889" t="str">
        <f t="shared" si="11"/>
        <v>建筑类型</v>
      </c>
      <c r="R32" s="751" t="s">
        <v>28</v>
      </c>
      <c r="S32" s="752">
        <f t="shared" si="12"/>
        <v>100</v>
      </c>
      <c r="T32" s="751" t="s">
        <v>28</v>
      </c>
      <c r="U32" s="752">
        <f t="shared" si="13"/>
        <v>100</v>
      </c>
      <c r="V32" s="751" t="s">
        <v>28</v>
      </c>
      <c r="W32" s="752">
        <f t="shared" si="14"/>
        <v>100</v>
      </c>
      <c r="X32" s="1890"/>
      <c r="Y32" s="3134"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32"/>
      <c r="Q33" s="753" t="str">
        <f t="shared" si="11"/>
        <v>项目建筑规模</v>
      </c>
      <c r="R33" s="754" t="s">
        <v>28</v>
      </c>
      <c r="S33" s="755" t="e">
        <f t="shared" si="12"/>
        <v>#N/A</v>
      </c>
      <c r="T33" s="754" t="s">
        <v>28</v>
      </c>
      <c r="U33" s="755" t="e">
        <f t="shared" si="13"/>
        <v>#N/A</v>
      </c>
      <c r="V33" s="754" t="s">
        <v>28</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32"/>
      <c r="Q34" s="1889" t="str">
        <f t="shared" si="11"/>
        <v>建筑结构</v>
      </c>
      <c r="R34" s="751" t="s">
        <v>28</v>
      </c>
      <c r="S34" s="752">
        <f t="shared" si="12"/>
        <v>100</v>
      </c>
      <c r="T34" s="751" t="s">
        <v>28</v>
      </c>
      <c r="U34" s="752">
        <f t="shared" si="13"/>
        <v>100</v>
      </c>
      <c r="V34" s="751" t="s">
        <v>28</v>
      </c>
      <c r="W34" s="752">
        <f t="shared" si="14"/>
        <v>100</v>
      </c>
      <c r="X34" s="1890"/>
      <c r="Y34" s="3134"/>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32"/>
      <c r="Q35" s="1889" t="str">
        <f t="shared" si="11"/>
        <v>建筑品质</v>
      </c>
      <c r="R35" s="751" t="s">
        <v>28</v>
      </c>
      <c r="S35" s="752">
        <f t="shared" si="12"/>
        <v>100</v>
      </c>
      <c r="T35" s="751" t="s">
        <v>28</v>
      </c>
      <c r="U35" s="752">
        <f t="shared" si="13"/>
        <v>100</v>
      </c>
      <c r="V35" s="751" t="s">
        <v>28</v>
      </c>
      <c r="W35" s="752">
        <f t="shared" si="14"/>
        <v>100</v>
      </c>
      <c r="X35" s="1890"/>
      <c r="Y35" s="3134"/>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32"/>
      <c r="Q36" s="1889" t="str">
        <f t="shared" si="11"/>
        <v>公共部分装修</v>
      </c>
      <c r="R36" s="751" t="s">
        <v>28</v>
      </c>
      <c r="S36" s="752">
        <f t="shared" si="12"/>
        <v>100</v>
      </c>
      <c r="T36" s="751" t="s">
        <v>28</v>
      </c>
      <c r="U36" s="752">
        <f t="shared" si="13"/>
        <v>100</v>
      </c>
      <c r="V36" s="751" t="s">
        <v>28</v>
      </c>
      <c r="W36" s="752">
        <f t="shared" si="14"/>
        <v>100</v>
      </c>
      <c r="X36" s="1890"/>
      <c r="Y36" s="3134"/>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32"/>
      <c r="Q37" s="1877" t="str">
        <f t="shared" si="11"/>
        <v>成新度</v>
      </c>
      <c r="R37" s="747" t="s">
        <v>28</v>
      </c>
      <c r="S37" s="748" t="e">
        <f t="shared" si="12"/>
        <v>#N/A</v>
      </c>
      <c r="T37" s="747" t="s">
        <v>28</v>
      </c>
      <c r="U37" s="748" t="e">
        <f t="shared" si="13"/>
        <v>#N/A</v>
      </c>
      <c r="V37" s="747" t="s">
        <v>28</v>
      </c>
      <c r="W37" s="748" t="e">
        <f t="shared" si="14"/>
        <v>#N/A</v>
      </c>
      <c r="X37" s="749"/>
      <c r="Y37" s="3134"/>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32" t="s">
        <v>2371</v>
      </c>
      <c r="Q38" s="1889" t="str">
        <f t="shared" si="11"/>
        <v>物业管理</v>
      </c>
      <c r="R38" s="751" t="s">
        <v>28</v>
      </c>
      <c r="S38" s="752">
        <f t="shared" si="12"/>
        <v>100</v>
      </c>
      <c r="T38" s="751" t="s">
        <v>28</v>
      </c>
      <c r="U38" s="752">
        <f t="shared" si="13"/>
        <v>100</v>
      </c>
      <c r="V38" s="751" t="s">
        <v>28</v>
      </c>
      <c r="W38" s="752">
        <f t="shared" si="14"/>
        <v>100</v>
      </c>
      <c r="X38" s="1890"/>
      <c r="Y38" s="3134"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32"/>
      <c r="Q39" s="1889" t="str">
        <f t="shared" si="11"/>
        <v>市政基础设施</v>
      </c>
      <c r="R39" s="751" t="s">
        <v>28</v>
      </c>
      <c r="S39" s="752">
        <f t="shared" si="12"/>
        <v>100</v>
      </c>
      <c r="T39" s="751" t="s">
        <v>28</v>
      </c>
      <c r="U39" s="752">
        <f t="shared" si="13"/>
        <v>100</v>
      </c>
      <c r="V39" s="751" t="s">
        <v>28</v>
      </c>
      <c r="W39" s="752">
        <f t="shared" si="14"/>
        <v>100</v>
      </c>
      <c r="X39" s="1890"/>
      <c r="Y39" s="3134"/>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32"/>
      <c r="Q40" s="1889" t="str">
        <f t="shared" si="11"/>
        <v>房型</v>
      </c>
      <c r="R40" s="751" t="s">
        <v>28</v>
      </c>
      <c r="S40" s="752">
        <f t="shared" si="12"/>
        <v>100</v>
      </c>
      <c r="T40" s="751" t="s">
        <v>28</v>
      </c>
      <c r="U40" s="752">
        <f t="shared" si="13"/>
        <v>100</v>
      </c>
      <c r="V40" s="751" t="s">
        <v>28</v>
      </c>
      <c r="W40" s="752">
        <f t="shared" si="14"/>
        <v>100</v>
      </c>
      <c r="X40" s="1890"/>
      <c r="Y40" s="3134"/>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32"/>
      <c r="Q41" s="753" t="str">
        <f t="shared" si="11"/>
        <v>单套/主力户型建筑面积</v>
      </c>
      <c r="R41" s="754" t="s">
        <v>28</v>
      </c>
      <c r="S41" s="755">
        <f t="shared" si="12"/>
        <v>100</v>
      </c>
      <c r="T41" s="754" t="s">
        <v>28</v>
      </c>
      <c r="U41" s="755">
        <f t="shared" si="13"/>
        <v>100</v>
      </c>
      <c r="V41" s="754" t="s">
        <v>28</v>
      </c>
      <c r="W41" s="755">
        <f t="shared" si="14"/>
        <v>100</v>
      </c>
      <c r="X41" s="756"/>
      <c r="Y41" s="3134"/>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32"/>
      <c r="Q42" s="1889" t="str">
        <f t="shared" si="11"/>
        <v>内部装修</v>
      </c>
      <c r="R42" s="751" t="s">
        <v>28</v>
      </c>
      <c r="S42" s="752">
        <f t="shared" si="12"/>
        <v>100</v>
      </c>
      <c r="T42" s="751" t="s">
        <v>28</v>
      </c>
      <c r="U42" s="752">
        <f t="shared" si="13"/>
        <v>100</v>
      </c>
      <c r="V42" s="751" t="s">
        <v>28</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32"/>
      <c r="Q43" s="1889" t="str">
        <f t="shared" si="11"/>
        <v>内部装修维护情况</v>
      </c>
      <c r="R43" s="751" t="s">
        <v>28</v>
      </c>
      <c r="S43" s="752">
        <f t="shared" si="12"/>
        <v>100</v>
      </c>
      <c r="T43" s="751" t="s">
        <v>28</v>
      </c>
      <c r="U43" s="752">
        <f t="shared" si="13"/>
        <v>100</v>
      </c>
      <c r="V43" s="751" t="s">
        <v>28</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32"/>
      <c r="Q44" s="1877">
        <f t="shared" si="11"/>
        <v>111</v>
      </c>
      <c r="R44" s="747" t="s">
        <v>28</v>
      </c>
      <c r="S44" s="748">
        <f t="shared" si="12"/>
        <v>100</v>
      </c>
      <c r="T44" s="747" t="s">
        <v>28</v>
      </c>
      <c r="U44" s="748">
        <f t="shared" si="13"/>
        <v>100</v>
      </c>
      <c r="V44" s="747" t="s">
        <v>28</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32"/>
      <c r="Q45" s="1889">
        <f t="shared" si="11"/>
        <v>111</v>
      </c>
      <c r="R45" s="751" t="s">
        <v>28</v>
      </c>
      <c r="S45" s="752">
        <f t="shared" si="12"/>
        <v>100</v>
      </c>
      <c r="T45" s="751" t="s">
        <v>28</v>
      </c>
      <c r="U45" s="752">
        <f t="shared" si="13"/>
        <v>100</v>
      </c>
      <c r="V45" s="751" t="s">
        <v>28</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33"/>
      <c r="Q46" s="1889">
        <f t="shared" si="11"/>
        <v>111</v>
      </c>
      <c r="R46" s="751" t="s">
        <v>27</v>
      </c>
      <c r="S46" s="752">
        <f t="shared" si="12"/>
        <v>100</v>
      </c>
      <c r="T46" s="751" t="s">
        <v>27</v>
      </c>
      <c r="U46" s="752">
        <f t="shared" si="13"/>
        <v>100</v>
      </c>
      <c r="V46" s="751" t="s">
        <v>27</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26" t="str">
        <f>A48</f>
        <v>比较价值（元/平方米）</v>
      </c>
      <c r="Q48" s="3126"/>
      <c r="R48" s="3122" t="e">
        <f>IF(E1="售价",ROUND(PRODUCT(R47,AA7:AA46),0),ROUND(PRODUCT(R47,AA7:AA46),1))</f>
        <v>#DIV/0!</v>
      </c>
      <c r="S48" s="3122"/>
      <c r="T48" s="3120" t="e">
        <f>IF(E1="售价",ROUND(PRODUCT(T47,AB7:AB46),0),ROUND(PRODUCT(T47,AB7:AB46),1))</f>
        <v>#DIV/0!</v>
      </c>
      <c r="U48" s="3121"/>
      <c r="V48" s="3122" t="e">
        <f>IF(E1="售价",ROUND(PRODUCT(V47,AC7:AC46),0),ROUND(PRODUCT(V47,AC7:AC46),1))</f>
        <v>#DIV/0!</v>
      </c>
      <c r="W48" s="3122"/>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1</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63"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63"/>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63"/>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49"/>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49"/>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49"/>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49"/>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27" t="s">
        <v>2365</v>
      </c>
      <c r="Q15" s="1889" t="str">
        <f t="shared" si="6"/>
        <v>商业繁华度</v>
      </c>
      <c r="R15" s="751" t="s">
        <v>25</v>
      </c>
      <c r="S15" s="752">
        <f t="shared" si="0"/>
        <v>100</v>
      </c>
      <c r="T15" s="751" t="s">
        <v>25</v>
      </c>
      <c r="U15" s="752">
        <f t="shared" si="1"/>
        <v>100</v>
      </c>
      <c r="V15" s="751" t="s">
        <v>25</v>
      </c>
      <c r="W15" s="752">
        <f t="shared" si="2"/>
        <v>100</v>
      </c>
      <c r="X15" s="1890"/>
      <c r="Y15" s="3129"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28"/>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28"/>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28"/>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28"/>
      <c r="Q23" s="1889" t="str">
        <f>B23</f>
        <v>自然及人文环境</v>
      </c>
      <c r="R23" s="751" t="s">
        <v>25</v>
      </c>
      <c r="S23" s="752">
        <f>F23</f>
        <v>100</v>
      </c>
      <c r="T23" s="751" t="s">
        <v>25</v>
      </c>
      <c r="U23" s="752">
        <f>H23</f>
        <v>100</v>
      </c>
      <c r="V23" s="751" t="s">
        <v>25</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28"/>
      <c r="Q25" s="1889" t="str">
        <f t="shared" ref="Q25:Q46" si="11">B25</f>
        <v>临街状况</v>
      </c>
      <c r="R25" s="751" t="s">
        <v>25</v>
      </c>
      <c r="S25" s="752">
        <f>F25</f>
        <v>100</v>
      </c>
      <c r="T25" s="751" t="s">
        <v>25</v>
      </c>
      <c r="U25" s="752">
        <f>H25</f>
        <v>100</v>
      </c>
      <c r="V25" s="751" t="s">
        <v>25</v>
      </c>
      <c r="W25" s="752">
        <f>J25</f>
        <v>100</v>
      </c>
      <c r="X25" s="1890"/>
      <c r="Y25" s="3130"/>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28"/>
      <c r="Q26" s="1889" t="str">
        <f t="shared" si="11"/>
        <v>平面位置/可视性</v>
      </c>
      <c r="R26" s="751" t="s">
        <v>25</v>
      </c>
      <c r="S26" s="752">
        <f>F26</f>
        <v>100</v>
      </c>
      <c r="T26" s="751" t="s">
        <v>25</v>
      </c>
      <c r="U26" s="752">
        <f>H26</f>
        <v>100</v>
      </c>
      <c r="V26" s="751" t="s">
        <v>25</v>
      </c>
      <c r="W26" s="752">
        <f>J26</f>
        <v>100</v>
      </c>
      <c r="X26" s="1890"/>
      <c r="Y26" s="3130"/>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28"/>
      <c r="Q27" s="1877" t="str">
        <f t="shared" si="11"/>
        <v>人流量</v>
      </c>
      <c r="R27" s="747" t="s">
        <v>25</v>
      </c>
      <c r="S27" s="748">
        <f>F27</f>
        <v>100</v>
      </c>
      <c r="T27" s="747" t="s">
        <v>25</v>
      </c>
      <c r="U27" s="748">
        <f>H27</f>
        <v>100</v>
      </c>
      <c r="V27" s="747" t="s">
        <v>25</v>
      </c>
      <c r="W27" s="748">
        <f>J27</f>
        <v>100</v>
      </c>
      <c r="X27" s="749"/>
      <c r="Y27" s="3130"/>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28"/>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30"/>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28"/>
      <c r="Q29" s="1889">
        <f t="shared" si="11"/>
        <v>111</v>
      </c>
      <c r="R29" s="751" t="s">
        <v>25</v>
      </c>
      <c r="S29" s="752">
        <f t="shared" si="12"/>
        <v>100</v>
      </c>
      <c r="T29" s="751" t="s">
        <v>25</v>
      </c>
      <c r="U29" s="752">
        <f t="shared" si="13"/>
        <v>100</v>
      </c>
      <c r="V29" s="751" t="s">
        <v>25</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28"/>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28"/>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31" t="s">
        <v>2371</v>
      </c>
      <c r="Q32" s="1889" t="str">
        <f t="shared" si="11"/>
        <v>商业类型</v>
      </c>
      <c r="R32" s="751" t="s">
        <v>25</v>
      </c>
      <c r="S32" s="752">
        <f t="shared" si="12"/>
        <v>100</v>
      </c>
      <c r="T32" s="751" t="s">
        <v>25</v>
      </c>
      <c r="U32" s="752">
        <f t="shared" si="13"/>
        <v>100</v>
      </c>
      <c r="V32" s="751" t="s">
        <v>25</v>
      </c>
      <c r="W32" s="752">
        <f t="shared" si="14"/>
        <v>100</v>
      </c>
      <c r="X32" s="1890"/>
      <c r="Y32" s="3134"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32"/>
      <c r="Q33" s="753" t="str">
        <f t="shared" si="11"/>
        <v>项目建筑规模</v>
      </c>
      <c r="R33" s="754" t="s">
        <v>25</v>
      </c>
      <c r="S33" s="755" t="e">
        <f t="shared" si="12"/>
        <v>#N/A</v>
      </c>
      <c r="T33" s="754" t="s">
        <v>25</v>
      </c>
      <c r="U33" s="755" t="e">
        <f t="shared" si="13"/>
        <v>#N/A</v>
      </c>
      <c r="V33" s="754" t="s">
        <v>25</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32"/>
      <c r="Q34" s="1889" t="str">
        <f t="shared" si="11"/>
        <v>建筑结构</v>
      </c>
      <c r="R34" s="751" t="s">
        <v>25</v>
      </c>
      <c r="S34" s="752">
        <f t="shared" si="12"/>
        <v>100</v>
      </c>
      <c r="T34" s="751" t="s">
        <v>25</v>
      </c>
      <c r="U34" s="752">
        <f t="shared" si="13"/>
        <v>100</v>
      </c>
      <c r="V34" s="751" t="s">
        <v>25</v>
      </c>
      <c r="W34" s="752">
        <f t="shared" si="14"/>
        <v>100</v>
      </c>
      <c r="X34" s="1890"/>
      <c r="Y34" s="3134"/>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32"/>
      <c r="Q35" s="1889" t="str">
        <f t="shared" si="11"/>
        <v>公共部分装修</v>
      </c>
      <c r="R35" s="751" t="s">
        <v>25</v>
      </c>
      <c r="S35" s="752">
        <f t="shared" si="12"/>
        <v>100</v>
      </c>
      <c r="T35" s="751" t="s">
        <v>25</v>
      </c>
      <c r="U35" s="752">
        <f t="shared" si="13"/>
        <v>100</v>
      </c>
      <c r="V35" s="751" t="s">
        <v>25</v>
      </c>
      <c r="W35" s="752">
        <f t="shared" si="14"/>
        <v>100</v>
      </c>
      <c r="X35" s="1890"/>
      <c r="Y35" s="3134"/>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32"/>
      <c r="Q36" s="1889" t="str">
        <f t="shared" si="11"/>
        <v>成新度</v>
      </c>
      <c r="R36" s="751" t="s">
        <v>25</v>
      </c>
      <c r="S36" s="752" t="e">
        <f t="shared" si="12"/>
        <v>#N/A</v>
      </c>
      <c r="T36" s="751" t="s">
        <v>25</v>
      </c>
      <c r="U36" s="752" t="e">
        <f t="shared" si="13"/>
        <v>#N/A</v>
      </c>
      <c r="V36" s="751" t="s">
        <v>25</v>
      </c>
      <c r="W36" s="752" t="e">
        <f t="shared" si="14"/>
        <v>#N/A</v>
      </c>
      <c r="X36" s="1890"/>
      <c r="Y36" s="3134"/>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32"/>
      <c r="Q37" s="1877" t="str">
        <f t="shared" si="11"/>
        <v>市政基础设施</v>
      </c>
      <c r="R37" s="747" t="s">
        <v>25</v>
      </c>
      <c r="S37" s="748">
        <f t="shared" si="12"/>
        <v>100</v>
      </c>
      <c r="T37" s="747" t="s">
        <v>25</v>
      </c>
      <c r="U37" s="748">
        <f t="shared" si="13"/>
        <v>100</v>
      </c>
      <c r="V37" s="747" t="s">
        <v>25</v>
      </c>
      <c r="W37" s="748">
        <f t="shared" si="14"/>
        <v>100</v>
      </c>
      <c r="X37" s="749"/>
      <c r="Y37" s="3134"/>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32" t="s">
        <v>2371</v>
      </c>
      <c r="Q38" s="1889" t="str">
        <f t="shared" si="11"/>
        <v>业态</v>
      </c>
      <c r="R38" s="751" t="s">
        <v>25</v>
      </c>
      <c r="S38" s="752">
        <f t="shared" si="12"/>
        <v>100</v>
      </c>
      <c r="T38" s="751" t="s">
        <v>25</v>
      </c>
      <c r="U38" s="752">
        <f t="shared" si="13"/>
        <v>100</v>
      </c>
      <c r="V38" s="751" t="s">
        <v>25</v>
      </c>
      <c r="W38" s="752">
        <f t="shared" si="14"/>
        <v>100</v>
      </c>
      <c r="X38" s="1890"/>
      <c r="Y38" s="3134"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32"/>
      <c r="Q39" s="1889" t="str">
        <f t="shared" si="11"/>
        <v>层高</v>
      </c>
      <c r="R39" s="751" t="s">
        <v>25</v>
      </c>
      <c r="S39" s="752">
        <f t="shared" si="12"/>
        <v>100</v>
      </c>
      <c r="T39" s="751" t="s">
        <v>25</v>
      </c>
      <c r="U39" s="752">
        <f t="shared" si="13"/>
        <v>100</v>
      </c>
      <c r="V39" s="751" t="s">
        <v>25</v>
      </c>
      <c r="W39" s="752">
        <f t="shared" si="14"/>
        <v>100</v>
      </c>
      <c r="X39" s="1890"/>
      <c r="Y39" s="3134"/>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32"/>
      <c r="Q40" s="1889" t="str">
        <f t="shared" si="11"/>
        <v>单套建筑面积</v>
      </c>
      <c r="R40" s="751" t="s">
        <v>25</v>
      </c>
      <c r="S40" s="752">
        <f t="shared" si="12"/>
        <v>100</v>
      </c>
      <c r="T40" s="751" t="s">
        <v>25</v>
      </c>
      <c r="U40" s="752">
        <f t="shared" si="13"/>
        <v>100</v>
      </c>
      <c r="V40" s="751" t="s">
        <v>25</v>
      </c>
      <c r="W40" s="752">
        <f t="shared" si="14"/>
        <v>100</v>
      </c>
      <c r="X40" s="1890"/>
      <c r="Y40" s="3134"/>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32"/>
      <c r="Q41" s="753" t="str">
        <f t="shared" si="11"/>
        <v>进深比</v>
      </c>
      <c r="R41" s="754" t="s">
        <v>25</v>
      </c>
      <c r="S41" s="755">
        <f t="shared" si="12"/>
        <v>100</v>
      </c>
      <c r="T41" s="754" t="s">
        <v>25</v>
      </c>
      <c r="U41" s="755">
        <f t="shared" si="13"/>
        <v>100</v>
      </c>
      <c r="V41" s="754" t="s">
        <v>25</v>
      </c>
      <c r="W41" s="755">
        <f t="shared" si="14"/>
        <v>100</v>
      </c>
      <c r="X41" s="756"/>
      <c r="Y41" s="3134"/>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32"/>
      <c r="Q42" s="1889" t="str">
        <f t="shared" si="11"/>
        <v>内部装修</v>
      </c>
      <c r="R42" s="751" t="s">
        <v>25</v>
      </c>
      <c r="S42" s="752">
        <f t="shared" si="12"/>
        <v>100</v>
      </c>
      <c r="T42" s="751" t="s">
        <v>25</v>
      </c>
      <c r="U42" s="752">
        <f t="shared" si="13"/>
        <v>100</v>
      </c>
      <c r="V42" s="751" t="s">
        <v>25</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32"/>
      <c r="Q43" s="1889" t="str">
        <f t="shared" si="11"/>
        <v>内部装修维护情况</v>
      </c>
      <c r="R43" s="751" t="s">
        <v>25</v>
      </c>
      <c r="S43" s="752">
        <f t="shared" si="12"/>
        <v>100</v>
      </c>
      <c r="T43" s="751" t="s">
        <v>25</v>
      </c>
      <c r="U43" s="752">
        <f t="shared" si="13"/>
        <v>100</v>
      </c>
      <c r="V43" s="751" t="s">
        <v>25</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32"/>
      <c r="Q44" s="1877">
        <f t="shared" si="11"/>
        <v>111</v>
      </c>
      <c r="R44" s="747" t="s">
        <v>25</v>
      </c>
      <c r="S44" s="748">
        <f t="shared" si="12"/>
        <v>100</v>
      </c>
      <c r="T44" s="747" t="s">
        <v>25</v>
      </c>
      <c r="U44" s="748">
        <f t="shared" si="13"/>
        <v>100</v>
      </c>
      <c r="V44" s="747" t="s">
        <v>25</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32"/>
      <c r="Q45" s="1889">
        <f t="shared" si="11"/>
        <v>111</v>
      </c>
      <c r="R45" s="751" t="s">
        <v>25</v>
      </c>
      <c r="S45" s="752">
        <f t="shared" si="12"/>
        <v>100</v>
      </c>
      <c r="T45" s="751" t="s">
        <v>25</v>
      </c>
      <c r="U45" s="752">
        <f t="shared" si="13"/>
        <v>100</v>
      </c>
      <c r="V45" s="751" t="s">
        <v>25</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33"/>
      <c r="Q46" s="1889">
        <f t="shared" si="11"/>
        <v>111</v>
      </c>
      <c r="R46" s="751" t="s">
        <v>25</v>
      </c>
      <c r="S46" s="752">
        <f t="shared" si="12"/>
        <v>100</v>
      </c>
      <c r="T46" s="751" t="s">
        <v>25</v>
      </c>
      <c r="U46" s="752">
        <f t="shared" si="13"/>
        <v>100</v>
      </c>
      <c r="V46" s="751" t="s">
        <v>25</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26" t="str">
        <f>A48</f>
        <v>比较价值（元/平方米）</v>
      </c>
      <c r="Q48" s="3126"/>
      <c r="R48" s="3122" t="e">
        <f>IF(E1="售价",ROUND(PRODUCT(R47,AA7:AA46),0),ROUND(PRODUCT(R47,AA7:AA46),1))</f>
        <v>#DIV/0!</v>
      </c>
      <c r="S48" s="3122"/>
      <c r="T48" s="3122" t="e">
        <f>IF(E1="售价",ROUND(PRODUCT(T47,AB7:AB46),0),ROUND(PRODUCT(T47,AB7:AB46),1))</f>
        <v>#DIV/0!</v>
      </c>
      <c r="U48" s="3122"/>
      <c r="V48" s="3122" t="e">
        <f>IF(E1="售价",ROUND(PRODUCT(V47,AC7:AC46),0),ROUND(PRODUCT(V47,AC7:AC46),1))</f>
        <v>#DIV/0!</v>
      </c>
      <c r="W48" s="3122"/>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42167</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1</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72"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75" t="s">
        <v>2911</v>
      </c>
      <c r="D5" s="3139"/>
      <c r="E5" s="3164" t="s">
        <v>2348</v>
      </c>
      <c r="F5" s="3165"/>
      <c r="G5" s="3138" t="s">
        <v>2349</v>
      </c>
      <c r="H5" s="3139"/>
      <c r="I5" s="3138" t="s">
        <v>2350</v>
      </c>
      <c r="J5" s="3139"/>
      <c r="K5" s="592"/>
      <c r="L5" s="1240"/>
      <c r="M5" s="1241"/>
      <c r="N5" s="1241"/>
      <c r="O5" s="1241"/>
      <c r="P5" s="3173"/>
      <c r="Q5" s="3160"/>
      <c r="R5" s="3144"/>
      <c r="S5" s="3145"/>
      <c r="T5" s="3144"/>
      <c r="U5" s="3145"/>
      <c r="V5" s="3163"/>
      <c r="W5" s="3163"/>
      <c r="X5" s="1890"/>
      <c r="Y5" s="3144"/>
      <c r="Z5" s="3145"/>
      <c r="AA5" s="3151"/>
      <c r="AB5" s="3151"/>
      <c r="AC5" s="3151"/>
    </row>
    <row r="6" spans="1:29" ht="15.75" thickBot="1">
      <c r="A6" s="383"/>
      <c r="B6" s="384"/>
      <c r="C6" s="3176" t="s">
        <v>2831</v>
      </c>
      <c r="D6" s="3137"/>
      <c r="E6" s="3176" t="s">
        <v>2831</v>
      </c>
      <c r="F6" s="3137"/>
      <c r="G6" s="3176" t="s">
        <v>2831</v>
      </c>
      <c r="H6" s="3137"/>
      <c r="I6" s="3176" t="s">
        <v>2831</v>
      </c>
      <c r="J6" s="3137"/>
      <c r="K6" s="592" t="s">
        <v>2352</v>
      </c>
      <c r="L6" s="1240"/>
      <c r="M6" s="1241"/>
      <c r="N6" s="1241"/>
      <c r="O6" s="1241"/>
      <c r="P6" s="3174"/>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48" t="s">
        <v>2354</v>
      </c>
      <c r="Q7" s="3148"/>
      <c r="R7" s="747" t="s">
        <v>25</v>
      </c>
      <c r="S7" s="748">
        <f t="shared" ref="S7:S15" si="0">F7</f>
        <v>100</v>
      </c>
      <c r="T7" s="747" t="s">
        <v>25</v>
      </c>
      <c r="U7" s="748">
        <f t="shared" ref="U7:U15" si="1">H7</f>
        <v>100</v>
      </c>
      <c r="V7" s="747" t="s">
        <v>25</v>
      </c>
      <c r="W7" s="748">
        <f t="shared" ref="W7:W15" si="2">J7</f>
        <v>100</v>
      </c>
      <c r="X7" s="749"/>
      <c r="Y7" s="3140" t="s">
        <v>2354</v>
      </c>
      <c r="Z7" s="3141"/>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48" t="s">
        <v>2357</v>
      </c>
      <c r="Q8" s="3141"/>
      <c r="R8" s="747" t="s">
        <v>25</v>
      </c>
      <c r="S8" s="748">
        <f t="shared" si="0"/>
        <v>103</v>
      </c>
      <c r="T8" s="747" t="s">
        <v>25</v>
      </c>
      <c r="U8" s="748">
        <f t="shared" si="1"/>
        <v>103</v>
      </c>
      <c r="V8" s="747" t="s">
        <v>25</v>
      </c>
      <c r="W8" s="748">
        <f t="shared" si="2"/>
        <v>103</v>
      </c>
      <c r="X8" s="749"/>
      <c r="Y8" s="3140" t="s">
        <v>2357</v>
      </c>
      <c r="Z8" s="3141"/>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24"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24"/>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24"/>
      <c r="Q11" s="1877" t="str">
        <f t="shared" si="6"/>
        <v>容积率</v>
      </c>
      <c r="R11" s="747" t="s">
        <v>25</v>
      </c>
      <c r="S11" s="748">
        <f t="shared" si="0"/>
        <v>100</v>
      </c>
      <c r="T11" s="747" t="s">
        <v>25</v>
      </c>
      <c r="U11" s="748">
        <f t="shared" si="1"/>
        <v>100</v>
      </c>
      <c r="V11" s="747" t="s">
        <v>25</v>
      </c>
      <c r="W11" s="748">
        <f t="shared" si="2"/>
        <v>100</v>
      </c>
      <c r="X11" s="749"/>
      <c r="Y11" s="2952"/>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24"/>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24"/>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24"/>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58" t="s">
        <v>2365</v>
      </c>
      <c r="Q15" s="1889" t="str">
        <f t="shared" si="6"/>
        <v>办公集聚程度</v>
      </c>
      <c r="R15" s="751" t="s">
        <v>25</v>
      </c>
      <c r="S15" s="752">
        <f t="shared" si="0"/>
        <v>100</v>
      </c>
      <c r="T15" s="751" t="s">
        <v>25</v>
      </c>
      <c r="U15" s="752">
        <f t="shared" si="1"/>
        <v>100</v>
      </c>
      <c r="V15" s="751" t="s">
        <v>25</v>
      </c>
      <c r="W15" s="752">
        <f t="shared" si="2"/>
        <v>100</v>
      </c>
      <c r="X15" s="1890"/>
      <c r="Y15" s="3129"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60"/>
      <c r="Q16" s="1889"/>
      <c r="R16" s="751"/>
      <c r="S16" s="752"/>
      <c r="T16" s="751"/>
      <c r="U16" s="752"/>
      <c r="V16" s="751"/>
      <c r="W16" s="752"/>
      <c r="X16" s="1890"/>
      <c r="Y16" s="3130"/>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6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60"/>
      <c r="Q18" s="1889"/>
      <c r="R18" s="751"/>
      <c r="S18" s="752"/>
      <c r="T18" s="751"/>
      <c r="U18" s="752"/>
      <c r="V18" s="751"/>
      <c r="W18" s="752"/>
      <c r="X18" s="1890"/>
      <c r="Y18" s="3130"/>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6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60"/>
      <c r="Q20" s="1889"/>
      <c r="R20" s="751"/>
      <c r="S20" s="752"/>
      <c r="T20" s="751"/>
      <c r="U20" s="752"/>
      <c r="V20" s="751"/>
      <c r="W20" s="752"/>
      <c r="X20" s="1890"/>
      <c r="Y20" s="3130"/>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6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60"/>
      <c r="Q22" s="1889"/>
      <c r="R22" s="751"/>
      <c r="S22" s="752"/>
      <c r="T22" s="751"/>
      <c r="U22" s="752"/>
      <c r="V22" s="751"/>
      <c r="W22" s="752"/>
      <c r="X22" s="1890"/>
      <c r="Y22" s="3130"/>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6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60"/>
      <c r="Q24" s="1889"/>
      <c r="R24" s="751"/>
      <c r="S24" s="752"/>
      <c r="T24" s="751"/>
      <c r="U24" s="752"/>
      <c r="V24" s="751"/>
      <c r="W24" s="752"/>
      <c r="X24" s="1890"/>
      <c r="Y24" s="3130"/>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60"/>
      <c r="Q25" s="1889" t="str">
        <f>B25</f>
        <v>毗邻道路的类型与等级</v>
      </c>
      <c r="R25" s="751" t="s">
        <v>25</v>
      </c>
      <c r="S25" s="752">
        <f>F25</f>
        <v>100</v>
      </c>
      <c r="T25" s="751" t="s">
        <v>25</v>
      </c>
      <c r="U25" s="752">
        <f>H25</f>
        <v>100</v>
      </c>
      <c r="V25" s="751" t="s">
        <v>25</v>
      </c>
      <c r="W25" s="752">
        <f>J25</f>
        <v>100</v>
      </c>
      <c r="X25" s="1890"/>
      <c r="Y25" s="3130"/>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60"/>
      <c r="Q26" s="1889"/>
      <c r="R26" s="751"/>
      <c r="S26" s="752"/>
      <c r="T26" s="751"/>
      <c r="U26" s="752"/>
      <c r="V26" s="751"/>
      <c r="W26" s="752"/>
      <c r="X26" s="1890"/>
      <c r="Y26" s="3130"/>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60"/>
      <c r="Q27" s="1889" t="str">
        <f t="shared" ref="Q27:Q47" si="11">B27</f>
        <v>楼层</v>
      </c>
      <c r="R27" s="751" t="s">
        <v>25</v>
      </c>
      <c r="S27" s="752">
        <f>F27</f>
        <v>100</v>
      </c>
      <c r="T27" s="751" t="s">
        <v>25</v>
      </c>
      <c r="U27" s="752">
        <f>H27</f>
        <v>100</v>
      </c>
      <c r="V27" s="751" t="s">
        <v>25</v>
      </c>
      <c r="W27" s="752">
        <f>J27</f>
        <v>100</v>
      </c>
      <c r="X27" s="1890"/>
      <c r="Y27" s="3130"/>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60"/>
      <c r="Q28" s="1877" t="str">
        <f t="shared" si="11"/>
        <v>朝向</v>
      </c>
      <c r="R28" s="747" t="s">
        <v>25</v>
      </c>
      <c r="S28" s="748">
        <f>F28</f>
        <v>100</v>
      </c>
      <c r="T28" s="747" t="s">
        <v>25</v>
      </c>
      <c r="U28" s="748">
        <f>H28</f>
        <v>100</v>
      </c>
      <c r="V28" s="747" t="s">
        <v>25</v>
      </c>
      <c r="W28" s="748">
        <f>J28</f>
        <v>100</v>
      </c>
      <c r="X28" s="749"/>
      <c r="Y28" s="3130"/>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60"/>
      <c r="Q29" s="1889" t="str">
        <f t="shared" si="11"/>
        <v>楼层</v>
      </c>
      <c r="R29" s="751" t="s">
        <v>25</v>
      </c>
      <c r="S29" s="752">
        <f t="shared" ref="S29:S47" si="12">F29</f>
        <v>97</v>
      </c>
      <c r="T29" s="751" t="s">
        <v>25</v>
      </c>
      <c r="U29" s="752">
        <f t="shared" ref="U29:U47" si="13">H29</f>
        <v>98</v>
      </c>
      <c r="V29" s="751" t="s">
        <v>25</v>
      </c>
      <c r="W29" s="752">
        <f t="shared" ref="W29:W47" si="14">J29</f>
        <v>98</v>
      </c>
      <c r="X29" s="1890"/>
      <c r="Y29" s="3130"/>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60"/>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60"/>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60"/>
      <c r="Q32" s="1889">
        <f t="shared" si="11"/>
        <v>111</v>
      </c>
      <c r="R32" s="751" t="s">
        <v>25</v>
      </c>
      <c r="S32" s="752">
        <f t="shared" si="12"/>
        <v>100</v>
      </c>
      <c r="T32" s="751" t="s">
        <v>25</v>
      </c>
      <c r="U32" s="752">
        <f t="shared" si="13"/>
        <v>100</v>
      </c>
      <c r="V32" s="751" t="s">
        <v>25</v>
      </c>
      <c r="W32" s="752">
        <f t="shared" si="14"/>
        <v>100</v>
      </c>
      <c r="X32" s="1890"/>
      <c r="Y32" s="3130"/>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69" t="s">
        <v>2371</v>
      </c>
      <c r="Q33" s="1889" t="str">
        <f t="shared" si="11"/>
        <v>建筑类型</v>
      </c>
      <c r="R33" s="751" t="s">
        <v>25</v>
      </c>
      <c r="S33" s="752">
        <f t="shared" si="12"/>
        <v>100</v>
      </c>
      <c r="T33" s="751" t="s">
        <v>25</v>
      </c>
      <c r="U33" s="752">
        <f t="shared" si="13"/>
        <v>100</v>
      </c>
      <c r="V33" s="751" t="s">
        <v>25</v>
      </c>
      <c r="W33" s="752">
        <f t="shared" si="14"/>
        <v>100</v>
      </c>
      <c r="X33" s="1890"/>
      <c r="Y33" s="3134"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0"/>
      <c r="Q34" s="753" t="str">
        <f t="shared" si="11"/>
        <v>项目建筑规模</v>
      </c>
      <c r="R34" s="754" t="s">
        <v>25</v>
      </c>
      <c r="S34" s="755">
        <f t="shared" si="12"/>
        <v>100</v>
      </c>
      <c r="T34" s="754" t="s">
        <v>25</v>
      </c>
      <c r="U34" s="755">
        <f t="shared" si="13"/>
        <v>100</v>
      </c>
      <c r="V34" s="754" t="s">
        <v>25</v>
      </c>
      <c r="W34" s="755">
        <f t="shared" si="14"/>
        <v>100</v>
      </c>
      <c r="X34" s="756"/>
      <c r="Y34" s="3134"/>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0"/>
      <c r="Q35" s="1889" t="str">
        <f t="shared" si="11"/>
        <v>建筑结构</v>
      </c>
      <c r="R35" s="751" t="s">
        <v>25</v>
      </c>
      <c r="S35" s="752">
        <f t="shared" si="12"/>
        <v>100</v>
      </c>
      <c r="T35" s="751" t="s">
        <v>25</v>
      </c>
      <c r="U35" s="752">
        <f t="shared" si="13"/>
        <v>100</v>
      </c>
      <c r="V35" s="751" t="s">
        <v>25</v>
      </c>
      <c r="W35" s="752">
        <f t="shared" si="14"/>
        <v>100</v>
      </c>
      <c r="X35" s="1890"/>
      <c r="Y35" s="3134"/>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0"/>
      <c r="Q36" s="1889" t="str">
        <f t="shared" si="11"/>
        <v>公共部分装修</v>
      </c>
      <c r="R36" s="751" t="s">
        <v>25</v>
      </c>
      <c r="S36" s="752">
        <f t="shared" si="12"/>
        <v>100</v>
      </c>
      <c r="T36" s="751" t="s">
        <v>25</v>
      </c>
      <c r="U36" s="752">
        <f t="shared" si="13"/>
        <v>100</v>
      </c>
      <c r="V36" s="751" t="s">
        <v>25</v>
      </c>
      <c r="W36" s="752">
        <f t="shared" si="14"/>
        <v>100</v>
      </c>
      <c r="X36" s="1890"/>
      <c r="Y36" s="3134"/>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0"/>
      <c r="Q37" s="1889" t="str">
        <f t="shared" si="11"/>
        <v>成新度</v>
      </c>
      <c r="R37" s="751" t="s">
        <v>25</v>
      </c>
      <c r="S37" s="752">
        <f t="shared" si="12"/>
        <v>100</v>
      </c>
      <c r="T37" s="751" t="s">
        <v>25</v>
      </c>
      <c r="U37" s="752">
        <f t="shared" si="13"/>
        <v>100</v>
      </c>
      <c r="V37" s="751" t="s">
        <v>25</v>
      </c>
      <c r="W37" s="752">
        <f t="shared" si="14"/>
        <v>100</v>
      </c>
      <c r="X37" s="1890"/>
      <c r="Y37" s="3134"/>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0"/>
      <c r="Q38" s="1877" t="str">
        <f t="shared" si="11"/>
        <v>写字楼等级</v>
      </c>
      <c r="R38" s="747" t="s">
        <v>25</v>
      </c>
      <c r="S38" s="748">
        <f t="shared" si="12"/>
        <v>100</v>
      </c>
      <c r="T38" s="747" t="s">
        <v>25</v>
      </c>
      <c r="U38" s="748">
        <f t="shared" si="13"/>
        <v>100</v>
      </c>
      <c r="V38" s="747" t="s">
        <v>25</v>
      </c>
      <c r="W38" s="748">
        <f t="shared" si="14"/>
        <v>100</v>
      </c>
      <c r="X38" s="749"/>
      <c r="Y38" s="3134"/>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0" t="s">
        <v>2371</v>
      </c>
      <c r="Q39" s="1889" t="str">
        <f t="shared" si="11"/>
        <v>物业管理</v>
      </c>
      <c r="R39" s="751" t="s">
        <v>25</v>
      </c>
      <c r="S39" s="752">
        <f t="shared" si="12"/>
        <v>100</v>
      </c>
      <c r="T39" s="751" t="s">
        <v>25</v>
      </c>
      <c r="U39" s="752">
        <f t="shared" si="13"/>
        <v>100</v>
      </c>
      <c r="V39" s="751" t="s">
        <v>25</v>
      </c>
      <c r="W39" s="752">
        <f t="shared" si="14"/>
        <v>100</v>
      </c>
      <c r="X39" s="1890"/>
      <c r="Y39" s="3134"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0"/>
      <c r="Q40" s="1889" t="str">
        <f t="shared" si="11"/>
        <v>市政基础设施</v>
      </c>
      <c r="R40" s="751" t="s">
        <v>25</v>
      </c>
      <c r="S40" s="752">
        <f t="shared" si="12"/>
        <v>100</v>
      </c>
      <c r="T40" s="751" t="s">
        <v>25</v>
      </c>
      <c r="U40" s="752">
        <f t="shared" si="13"/>
        <v>100</v>
      </c>
      <c r="V40" s="751" t="s">
        <v>25</v>
      </c>
      <c r="W40" s="752">
        <f t="shared" si="14"/>
        <v>100</v>
      </c>
      <c r="X40" s="1890"/>
      <c r="Y40" s="3134"/>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0"/>
      <c r="Q41" s="1889" t="str">
        <f t="shared" si="11"/>
        <v>层高</v>
      </c>
      <c r="R41" s="751" t="s">
        <v>25</v>
      </c>
      <c r="S41" s="752">
        <f t="shared" si="12"/>
        <v>100</v>
      </c>
      <c r="T41" s="751" t="s">
        <v>25</v>
      </c>
      <c r="U41" s="752">
        <f t="shared" si="13"/>
        <v>100</v>
      </c>
      <c r="V41" s="751" t="s">
        <v>25</v>
      </c>
      <c r="W41" s="752">
        <f t="shared" si="14"/>
        <v>100</v>
      </c>
      <c r="X41" s="1890"/>
      <c r="Y41" s="3134"/>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0"/>
      <c r="Q42" s="753" t="str">
        <f t="shared" si="11"/>
        <v>单套建筑面积</v>
      </c>
      <c r="R42" s="754" t="s">
        <v>25</v>
      </c>
      <c r="S42" s="755">
        <f t="shared" si="12"/>
        <v>100</v>
      </c>
      <c r="T42" s="754" t="s">
        <v>25</v>
      </c>
      <c r="U42" s="755">
        <f t="shared" si="13"/>
        <v>100</v>
      </c>
      <c r="V42" s="754" t="s">
        <v>25</v>
      </c>
      <c r="W42" s="755">
        <f t="shared" si="14"/>
        <v>100</v>
      </c>
      <c r="X42" s="756"/>
      <c r="Y42" s="3134"/>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0"/>
      <c r="Q43" s="1889" t="str">
        <f t="shared" si="11"/>
        <v>内部装修</v>
      </c>
      <c r="R43" s="751" t="s">
        <v>25</v>
      </c>
      <c r="S43" s="752">
        <f t="shared" si="12"/>
        <v>100</v>
      </c>
      <c r="T43" s="751" t="s">
        <v>25</v>
      </c>
      <c r="U43" s="752">
        <f t="shared" si="13"/>
        <v>102</v>
      </c>
      <c r="V43" s="751" t="s">
        <v>25</v>
      </c>
      <c r="W43" s="752">
        <f t="shared" si="14"/>
        <v>102</v>
      </c>
      <c r="X43" s="1890"/>
      <c r="Y43" s="3134"/>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0"/>
      <c r="Q44" s="1889" t="str">
        <f t="shared" si="11"/>
        <v>内部装修维护情况</v>
      </c>
      <c r="R44" s="751" t="s">
        <v>25</v>
      </c>
      <c r="S44" s="752">
        <f t="shared" si="12"/>
        <v>100</v>
      </c>
      <c r="T44" s="751" t="s">
        <v>25</v>
      </c>
      <c r="U44" s="752">
        <f t="shared" si="13"/>
        <v>100</v>
      </c>
      <c r="V44" s="751" t="s">
        <v>25</v>
      </c>
      <c r="W44" s="752">
        <f t="shared" si="14"/>
        <v>100</v>
      </c>
      <c r="X44" s="1890"/>
      <c r="Y44" s="3134"/>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0"/>
      <c r="Q45" s="1877" t="str">
        <f t="shared" si="11"/>
        <v>建成年代</v>
      </c>
      <c r="R45" s="747" t="s">
        <v>25</v>
      </c>
      <c r="S45" s="748">
        <f t="shared" si="12"/>
        <v>99</v>
      </c>
      <c r="T45" s="747" t="s">
        <v>25</v>
      </c>
      <c r="U45" s="748">
        <f t="shared" si="13"/>
        <v>100</v>
      </c>
      <c r="V45" s="747" t="s">
        <v>25</v>
      </c>
      <c r="W45" s="748">
        <f t="shared" si="14"/>
        <v>99</v>
      </c>
      <c r="X45" s="749"/>
      <c r="Y45" s="3134"/>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0"/>
      <c r="Q46" s="1889" t="str">
        <f t="shared" si="11"/>
        <v>景观（嘈杂程度）</v>
      </c>
      <c r="R46" s="751" t="s">
        <v>25</v>
      </c>
      <c r="S46" s="752">
        <f t="shared" si="12"/>
        <v>99</v>
      </c>
      <c r="T46" s="751" t="s">
        <v>25</v>
      </c>
      <c r="U46" s="752">
        <f t="shared" si="13"/>
        <v>101</v>
      </c>
      <c r="V46" s="751" t="s">
        <v>25</v>
      </c>
      <c r="W46" s="752">
        <f t="shared" si="14"/>
        <v>101</v>
      </c>
      <c r="X46" s="1890"/>
      <c r="Y46" s="3134"/>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1"/>
      <c r="Q47" s="1889">
        <f t="shared" si="11"/>
        <v>111</v>
      </c>
      <c r="R47" s="751" t="s">
        <v>25</v>
      </c>
      <c r="S47" s="752">
        <f t="shared" si="12"/>
        <v>100</v>
      </c>
      <c r="T47" s="751" t="s">
        <v>25</v>
      </c>
      <c r="U47" s="752">
        <f t="shared" si="13"/>
        <v>100</v>
      </c>
      <c r="V47" s="751" t="s">
        <v>25</v>
      </c>
      <c r="W47" s="752">
        <f t="shared" si="14"/>
        <v>100</v>
      </c>
      <c r="X47" s="1890"/>
      <c r="Y47" s="3135"/>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24" t="str">
        <f>A48</f>
        <v>成交单价（元/平方米）</v>
      </c>
      <c r="Q48" s="3126"/>
      <c r="R48" s="3122">
        <f>E48</f>
        <v>40009</v>
      </c>
      <c r="S48" s="3122"/>
      <c r="T48" s="3122">
        <f>G48</f>
        <v>46010</v>
      </c>
      <c r="U48" s="3122"/>
      <c r="V48" s="3122">
        <f>I48</f>
        <v>42618</v>
      </c>
      <c r="W48" s="3122"/>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24" t="str">
        <f>A49</f>
        <v>比较价值（元/平方米）</v>
      </c>
      <c r="Q49" s="3126"/>
      <c r="R49" s="3122">
        <f>IF(E1="售价",ROUND(PRODUCT(R48,AA7:AA47),0),ROUND(PRODUCT(R48,AA7:AA47),1))</f>
        <v>40858</v>
      </c>
      <c r="S49" s="3122"/>
      <c r="T49" s="3122">
        <f>IF(E1="售价",ROUND(PRODUCT(T48,AB7:AB47),0),ROUND(PRODUCT(T48,AB7:AB47),1))</f>
        <v>44245</v>
      </c>
      <c r="U49" s="3122"/>
      <c r="V49" s="3122">
        <f>IF(E1="售价",ROUND(PRODUCT(V48,AC7:AC47),0),ROUND(PRODUCT(V48,AC7:AC47),1))</f>
        <v>41397</v>
      </c>
      <c r="W49" s="3122"/>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68" t="str">
        <f>A50</f>
        <v>估价对象XX用房的比较价值（楼面单价，元/平方米）</v>
      </c>
      <c r="Q50" s="3124"/>
      <c r="R50" s="3125">
        <f>IF(E1="售价",ROUND(AVERAGE(R49:V49),0),ROUND(AVERAGE(R49:V49),1))</f>
        <v>42167</v>
      </c>
      <c r="S50" s="3125"/>
      <c r="T50" s="3125"/>
      <c r="U50" s="3125"/>
      <c r="V50" s="3125"/>
      <c r="W50" s="3125"/>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40" t="s">
        <v>2357</v>
      </c>
      <c r="Q8" s="3141"/>
      <c r="R8" s="747" t="s">
        <v>25</v>
      </c>
      <c r="S8" s="748">
        <f t="shared" si="0"/>
        <v>100</v>
      </c>
      <c r="T8" s="747" t="s">
        <v>25</v>
      </c>
      <c r="U8" s="748">
        <f t="shared" si="1"/>
        <v>100</v>
      </c>
      <c r="V8" s="747" t="s">
        <v>25</v>
      </c>
      <c r="W8" s="748">
        <f t="shared" si="2"/>
        <v>100</v>
      </c>
      <c r="X8" s="749"/>
      <c r="Y8" s="3140" t="s">
        <v>2357</v>
      </c>
      <c r="Z8" s="3141"/>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30"/>
      <c r="Q18" s="1889"/>
      <c r="R18" s="751"/>
      <c r="S18" s="752"/>
      <c r="T18" s="751"/>
      <c r="U18" s="752"/>
      <c r="V18" s="751"/>
      <c r="W18" s="752"/>
      <c r="X18" s="1890"/>
      <c r="Y18" s="3130"/>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3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30"/>
      <c r="Q20" s="1889"/>
      <c r="R20" s="751"/>
      <c r="S20" s="752"/>
      <c r="T20" s="751"/>
      <c r="U20" s="752"/>
      <c r="V20" s="751"/>
      <c r="W20" s="752"/>
      <c r="X20" s="1890"/>
      <c r="Y20" s="3130"/>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3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30"/>
      <c r="Q22" s="1889"/>
      <c r="R22" s="751"/>
      <c r="S22" s="752"/>
      <c r="T22" s="751"/>
      <c r="U22" s="752"/>
      <c r="V22" s="751"/>
      <c r="W22" s="752"/>
      <c r="X22" s="1890"/>
      <c r="Y22" s="3130"/>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3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30"/>
      <c r="Q24" s="1889"/>
      <c r="R24" s="751"/>
      <c r="S24" s="752"/>
      <c r="T24" s="751"/>
      <c r="U24" s="752"/>
      <c r="V24" s="751"/>
      <c r="W24" s="752"/>
      <c r="X24" s="1890"/>
      <c r="Y24" s="3130"/>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30"/>
      <c r="Q25" s="1889">
        <f>B25</f>
        <v>111</v>
      </c>
      <c r="R25" s="751" t="s">
        <v>25</v>
      </c>
      <c r="S25" s="752">
        <f>F25</f>
        <v>100</v>
      </c>
      <c r="T25" s="751" t="s">
        <v>25</v>
      </c>
      <c r="U25" s="752">
        <f>H25</f>
        <v>100</v>
      </c>
      <c r="V25" s="751" t="s">
        <v>25</v>
      </c>
      <c r="W25" s="752">
        <f>J25</f>
        <v>100</v>
      </c>
      <c r="X25" s="1890"/>
      <c r="Y25" s="3130"/>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30"/>
      <c r="Q26" s="1889">
        <f t="shared" ref="Q26:Q40" si="11">B26</f>
        <v>111</v>
      </c>
      <c r="R26" s="751" t="s">
        <v>25</v>
      </c>
      <c r="S26" s="752">
        <f>F26</f>
        <v>100</v>
      </c>
      <c r="T26" s="751" t="s">
        <v>25</v>
      </c>
      <c r="U26" s="752">
        <f>H26</f>
        <v>100</v>
      </c>
      <c r="V26" s="751" t="s">
        <v>25</v>
      </c>
      <c r="W26" s="752">
        <f>J26</f>
        <v>100</v>
      </c>
      <c r="X26" s="1890"/>
      <c r="Y26" s="3130"/>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30"/>
      <c r="Q27" s="1877">
        <f t="shared" si="11"/>
        <v>111</v>
      </c>
      <c r="R27" s="747" t="s">
        <v>25</v>
      </c>
      <c r="S27" s="748">
        <f>F27</f>
        <v>100</v>
      </c>
      <c r="T27" s="747" t="s">
        <v>25</v>
      </c>
      <c r="U27" s="748">
        <f>H27</f>
        <v>100</v>
      </c>
      <c r="V27" s="747" t="s">
        <v>25</v>
      </c>
      <c r="W27" s="748">
        <f>J27</f>
        <v>100</v>
      </c>
      <c r="X27" s="749"/>
      <c r="Y27" s="3130"/>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30"/>
      <c r="Q28" s="1889">
        <f t="shared" si="11"/>
        <v>111</v>
      </c>
      <c r="R28" s="751" t="s">
        <v>25</v>
      </c>
      <c r="S28" s="752">
        <f t="shared" ref="S28:S40" si="12">F28</f>
        <v>100</v>
      </c>
      <c r="T28" s="751" t="s">
        <v>25</v>
      </c>
      <c r="U28" s="752">
        <f t="shared" ref="U28:U40" si="13">H28</f>
        <v>100</v>
      </c>
      <c r="V28" s="751" t="s">
        <v>25</v>
      </c>
      <c r="W28" s="752">
        <f t="shared" ref="W28:W40" si="14">J28</f>
        <v>100</v>
      </c>
      <c r="X28" s="1890"/>
      <c r="Y28" s="3130"/>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7" t="s">
        <v>2371</v>
      </c>
      <c r="Q29" s="1889" t="str">
        <f t="shared" si="11"/>
        <v>建筑类型</v>
      </c>
      <c r="R29" s="751" t="s">
        <v>25</v>
      </c>
      <c r="S29" s="752">
        <f t="shared" si="12"/>
        <v>100</v>
      </c>
      <c r="T29" s="751" t="s">
        <v>25</v>
      </c>
      <c r="U29" s="752">
        <f t="shared" si="13"/>
        <v>100</v>
      </c>
      <c r="V29" s="751" t="s">
        <v>25</v>
      </c>
      <c r="W29" s="752">
        <f t="shared" si="14"/>
        <v>100</v>
      </c>
      <c r="X29" s="1890"/>
      <c r="Y29" s="3134"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34"/>
      <c r="Q30" s="753" t="str">
        <f t="shared" si="11"/>
        <v>项目建筑规模</v>
      </c>
      <c r="R30" s="754" t="s">
        <v>25</v>
      </c>
      <c r="S30" s="755" t="e">
        <f t="shared" si="12"/>
        <v>#N/A</v>
      </c>
      <c r="T30" s="754" t="s">
        <v>25</v>
      </c>
      <c r="U30" s="755" t="e">
        <f t="shared" si="13"/>
        <v>#N/A</v>
      </c>
      <c r="V30" s="754" t="s">
        <v>25</v>
      </c>
      <c r="W30" s="755" t="e">
        <f t="shared" si="14"/>
        <v>#N/A</v>
      </c>
      <c r="X30" s="756"/>
      <c r="Y30" s="3134"/>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34"/>
      <c r="Q31" s="1889" t="str">
        <f t="shared" si="11"/>
        <v>建筑结构</v>
      </c>
      <c r="R31" s="751" t="s">
        <v>25</v>
      </c>
      <c r="S31" s="752">
        <f t="shared" si="12"/>
        <v>100</v>
      </c>
      <c r="T31" s="751" t="s">
        <v>25</v>
      </c>
      <c r="U31" s="752">
        <f t="shared" si="13"/>
        <v>100</v>
      </c>
      <c r="V31" s="751" t="s">
        <v>25</v>
      </c>
      <c r="W31" s="752">
        <f t="shared" si="14"/>
        <v>100</v>
      </c>
      <c r="X31" s="1890"/>
      <c r="Y31" s="3134"/>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34"/>
      <c r="Q32" s="1889" t="str">
        <f t="shared" si="11"/>
        <v>公共部分装修</v>
      </c>
      <c r="R32" s="751" t="s">
        <v>25</v>
      </c>
      <c r="S32" s="752">
        <f t="shared" si="12"/>
        <v>100</v>
      </c>
      <c r="T32" s="751" t="s">
        <v>25</v>
      </c>
      <c r="U32" s="752">
        <f t="shared" si="13"/>
        <v>100</v>
      </c>
      <c r="V32" s="751" t="s">
        <v>25</v>
      </c>
      <c r="W32" s="752">
        <f t="shared" si="14"/>
        <v>100</v>
      </c>
      <c r="X32" s="1890"/>
      <c r="Y32" s="3134"/>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34"/>
      <c r="Q33" s="1889" t="str">
        <f t="shared" si="11"/>
        <v>成新度</v>
      </c>
      <c r="R33" s="751" t="s">
        <v>25</v>
      </c>
      <c r="S33" s="752" t="e">
        <f t="shared" si="12"/>
        <v>#N/A</v>
      </c>
      <c r="T33" s="751" t="s">
        <v>25</v>
      </c>
      <c r="U33" s="752" t="e">
        <f t="shared" si="13"/>
        <v>#N/A</v>
      </c>
      <c r="V33" s="751" t="s">
        <v>25</v>
      </c>
      <c r="W33" s="752" t="e">
        <f t="shared" si="14"/>
        <v>#N/A</v>
      </c>
      <c r="X33" s="1890"/>
      <c r="Y33" s="3134"/>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34"/>
      <c r="Q34" s="1877" t="str">
        <f t="shared" si="11"/>
        <v>物业管理</v>
      </c>
      <c r="R34" s="747" t="s">
        <v>25</v>
      </c>
      <c r="S34" s="748">
        <f t="shared" si="12"/>
        <v>100</v>
      </c>
      <c r="T34" s="747" t="s">
        <v>25</v>
      </c>
      <c r="U34" s="748">
        <f t="shared" si="13"/>
        <v>100</v>
      </c>
      <c r="V34" s="747" t="s">
        <v>25</v>
      </c>
      <c r="W34" s="748">
        <f t="shared" si="14"/>
        <v>100</v>
      </c>
      <c r="X34" s="749"/>
      <c r="Y34" s="3134"/>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34" t="s">
        <v>2371</v>
      </c>
      <c r="Q35" s="1889" t="str">
        <f t="shared" si="11"/>
        <v>市政基础设施</v>
      </c>
      <c r="R35" s="751" t="s">
        <v>25</v>
      </c>
      <c r="S35" s="752">
        <f t="shared" si="12"/>
        <v>100</v>
      </c>
      <c r="T35" s="751" t="s">
        <v>25</v>
      </c>
      <c r="U35" s="752">
        <f t="shared" si="13"/>
        <v>100</v>
      </c>
      <c r="V35" s="751" t="s">
        <v>25</v>
      </c>
      <c r="W35" s="752">
        <f t="shared" si="14"/>
        <v>100</v>
      </c>
      <c r="X35" s="1890"/>
      <c r="Y35" s="3134"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34"/>
      <c r="Q36" s="1889" t="str">
        <f t="shared" si="11"/>
        <v>内部装修</v>
      </c>
      <c r="R36" s="751" t="s">
        <v>25</v>
      </c>
      <c r="S36" s="752">
        <f t="shared" si="12"/>
        <v>100</v>
      </c>
      <c r="T36" s="751" t="s">
        <v>25</v>
      </c>
      <c r="U36" s="752">
        <f t="shared" si="13"/>
        <v>100</v>
      </c>
      <c r="V36" s="751" t="s">
        <v>25</v>
      </c>
      <c r="W36" s="752">
        <f t="shared" si="14"/>
        <v>100</v>
      </c>
      <c r="X36" s="1890"/>
      <c r="Y36" s="3134"/>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34"/>
      <c r="Q37" s="1889" t="str">
        <f t="shared" si="11"/>
        <v>内部装修状况</v>
      </c>
      <c r="R37" s="751" t="s">
        <v>25</v>
      </c>
      <c r="S37" s="752">
        <f t="shared" si="12"/>
        <v>0</v>
      </c>
      <c r="T37" s="751" t="s">
        <v>25</v>
      </c>
      <c r="U37" s="752">
        <f t="shared" si="13"/>
        <v>0</v>
      </c>
      <c r="V37" s="751" t="s">
        <v>25</v>
      </c>
      <c r="W37" s="752">
        <f t="shared" si="14"/>
        <v>0</v>
      </c>
      <c r="X37" s="1890"/>
      <c r="Y37" s="3134"/>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34"/>
      <c r="Q38" s="753">
        <f t="shared" si="11"/>
        <v>111</v>
      </c>
      <c r="R38" s="754" t="s">
        <v>25</v>
      </c>
      <c r="S38" s="755">
        <f t="shared" si="12"/>
        <v>100</v>
      </c>
      <c r="T38" s="754" t="s">
        <v>25</v>
      </c>
      <c r="U38" s="755">
        <f t="shared" si="13"/>
        <v>100</v>
      </c>
      <c r="V38" s="754" t="s">
        <v>25</v>
      </c>
      <c r="W38" s="755">
        <f t="shared" si="14"/>
        <v>100</v>
      </c>
      <c r="X38" s="756"/>
      <c r="Y38" s="3134"/>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34"/>
      <c r="Q39" s="1889">
        <f t="shared" si="11"/>
        <v>111</v>
      </c>
      <c r="R39" s="751" t="s">
        <v>25</v>
      </c>
      <c r="S39" s="752">
        <f t="shared" si="12"/>
        <v>100</v>
      </c>
      <c r="T39" s="751" t="s">
        <v>25</v>
      </c>
      <c r="U39" s="752">
        <f t="shared" si="13"/>
        <v>100</v>
      </c>
      <c r="V39" s="751" t="s">
        <v>25</v>
      </c>
      <c r="W39" s="752">
        <f t="shared" si="14"/>
        <v>100</v>
      </c>
      <c r="X39" s="1890"/>
      <c r="Y39" s="3134"/>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35"/>
      <c r="Q40" s="1889">
        <f t="shared" si="11"/>
        <v>111</v>
      </c>
      <c r="R40" s="751" t="s">
        <v>25</v>
      </c>
      <c r="S40" s="752">
        <f t="shared" si="12"/>
        <v>100</v>
      </c>
      <c r="T40" s="751" t="s">
        <v>25</v>
      </c>
      <c r="U40" s="752">
        <f t="shared" si="13"/>
        <v>100</v>
      </c>
      <c r="V40" s="751" t="s">
        <v>25</v>
      </c>
      <c r="W40" s="752">
        <f t="shared" si="14"/>
        <v>100</v>
      </c>
      <c r="X40" s="1890"/>
      <c r="Y40" s="3135"/>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26" t="str">
        <f>A41</f>
        <v>成交单价（元/平方米）</v>
      </c>
      <c r="Q41" s="3126"/>
      <c r="R41" s="3122">
        <f>E41</f>
        <v>0</v>
      </c>
      <c r="S41" s="3122"/>
      <c r="T41" s="3122">
        <f>G41</f>
        <v>0</v>
      </c>
      <c r="U41" s="3122"/>
      <c r="V41" s="3122">
        <f>I41</f>
        <v>0</v>
      </c>
      <c r="W41" s="3122"/>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26" t="str">
        <f>A42</f>
        <v>比较价值（元/平方米）</v>
      </c>
      <c r="Q42" s="3126"/>
      <c r="R42" s="3122" t="e">
        <f>IF(E1="售价",ROUND(PRODUCT(R41,AA7:AA40),0),ROUND(PRODUCT(R41,AA7:AA40),1))</f>
        <v>#DIV/0!</v>
      </c>
      <c r="S42" s="3122"/>
      <c r="T42" s="3122" t="e">
        <f>IF(E1="售价",ROUND(PRODUCT(T41,AB7:AB40),0),ROUND(PRODUCT(T41,AB7:AB40),1))</f>
        <v>#DIV/0!</v>
      </c>
      <c r="U42" s="3122"/>
      <c r="V42" s="3122" t="e">
        <f>IF(E1="售价",ROUND(PRODUCT(V41,AC7:AC40),0),ROUND(PRODUCT(V41,AC7:AC40),1))</f>
        <v>#DIV/0!</v>
      </c>
      <c r="W42" s="3122"/>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23" t="str">
        <f>A43</f>
        <v>估价对象XX用房的比较价值（楼面单价，元/平方米）</v>
      </c>
      <c r="Q43" s="3124"/>
      <c r="R43" s="3125" t="e">
        <f>IF(E1="售价",ROUND(AVERAGE(R42:V42),0),ROUND(AVERAGE(R42:V42),1))</f>
        <v>#DIV/0!</v>
      </c>
      <c r="S43" s="3125"/>
      <c r="T43" s="3125"/>
      <c r="U43" s="3125"/>
      <c r="V43" s="3125"/>
      <c r="W43" s="3125"/>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1</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505"/>
      <c r="M4" s="423"/>
      <c r="N4" s="423"/>
      <c r="O4" s="423"/>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505"/>
      <c r="M5" s="423"/>
      <c r="N5" s="423"/>
      <c r="O5" s="423"/>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505"/>
      <c r="M6" s="423"/>
      <c r="N6" s="423"/>
      <c r="O6" s="423"/>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40" t="s">
        <v>2357</v>
      </c>
      <c r="Q8" s="3141"/>
      <c r="R8" s="747" t="s">
        <v>25</v>
      </c>
      <c r="S8" s="748">
        <f t="shared" si="0"/>
        <v>0</v>
      </c>
      <c r="T8" s="747" t="s">
        <v>25</v>
      </c>
      <c r="U8" s="748">
        <f t="shared" si="1"/>
        <v>0</v>
      </c>
      <c r="V8" s="747" t="s">
        <v>25</v>
      </c>
      <c r="W8" s="748">
        <f t="shared" si="2"/>
        <v>0</v>
      </c>
      <c r="X8" s="749"/>
      <c r="Y8" s="3140" t="s">
        <v>2357</v>
      </c>
      <c r="Z8" s="3141"/>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30"/>
      <c r="Q15" s="1889"/>
      <c r="R15" s="751"/>
      <c r="S15" s="752"/>
      <c r="T15" s="751"/>
      <c r="U15" s="752"/>
      <c r="V15" s="751"/>
      <c r="W15" s="752"/>
      <c r="X15" s="1890"/>
      <c r="Y15" s="3130"/>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30"/>
      <c r="Q17" s="1889"/>
      <c r="R17" s="751"/>
      <c r="S17" s="752"/>
      <c r="T17" s="751"/>
      <c r="U17" s="752"/>
      <c r="V17" s="751"/>
      <c r="W17" s="752"/>
      <c r="X17" s="1890"/>
      <c r="Y17" s="3130"/>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30"/>
      <c r="Q19" s="1889"/>
      <c r="R19" s="751"/>
      <c r="S19" s="752"/>
      <c r="T19" s="751"/>
      <c r="U19" s="752"/>
      <c r="V19" s="751"/>
      <c r="W19" s="752"/>
      <c r="X19" s="1890"/>
      <c r="Y19" s="3130"/>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30"/>
      <c r="Q21" s="1889"/>
      <c r="R21" s="751"/>
      <c r="S21" s="752"/>
      <c r="T21" s="751"/>
      <c r="U21" s="752"/>
      <c r="V21" s="751"/>
      <c r="W21" s="752"/>
      <c r="X21" s="1890"/>
      <c r="Y21" s="3130"/>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30"/>
      <c r="Q24" s="1889">
        <f t="shared" ref="Q24:Q36"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34"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34"/>
      <c r="Q27" s="753" t="str">
        <f t="shared" si="11"/>
        <v>项目停车位配比</v>
      </c>
      <c r="R27" s="754" t="s">
        <v>25</v>
      </c>
      <c r="S27" s="755">
        <f t="shared" si="12"/>
        <v>100</v>
      </c>
      <c r="T27" s="754" t="s">
        <v>25</v>
      </c>
      <c r="U27" s="755">
        <f t="shared" si="13"/>
        <v>100</v>
      </c>
      <c r="V27" s="754" t="s">
        <v>25</v>
      </c>
      <c r="W27" s="755">
        <f t="shared" si="14"/>
        <v>100</v>
      </c>
      <c r="X27" s="756"/>
      <c r="Y27" s="3134"/>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34"/>
      <c r="Q28" s="1889" t="str">
        <f t="shared" si="11"/>
        <v>公共部分装修</v>
      </c>
      <c r="R28" s="751" t="s">
        <v>25</v>
      </c>
      <c r="S28" s="752">
        <f t="shared" si="12"/>
        <v>100</v>
      </c>
      <c r="T28" s="751" t="s">
        <v>25</v>
      </c>
      <c r="U28" s="752">
        <f t="shared" si="13"/>
        <v>100</v>
      </c>
      <c r="V28" s="751" t="s">
        <v>25</v>
      </c>
      <c r="W28" s="752">
        <f t="shared" si="14"/>
        <v>100</v>
      </c>
      <c r="X28" s="1890"/>
      <c r="Y28" s="3134"/>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34"/>
      <c r="Q29" s="1889" t="str">
        <f t="shared" si="11"/>
        <v>成新率</v>
      </c>
      <c r="R29" s="751" t="s">
        <v>25</v>
      </c>
      <c r="S29" s="752" t="e">
        <f t="shared" si="12"/>
        <v>#N/A</v>
      </c>
      <c r="T29" s="751" t="s">
        <v>25</v>
      </c>
      <c r="U29" s="752" t="e">
        <f t="shared" si="13"/>
        <v>#N/A</v>
      </c>
      <c r="V29" s="751" t="s">
        <v>25</v>
      </c>
      <c r="W29" s="752" t="e">
        <f t="shared" si="14"/>
        <v>#N/A</v>
      </c>
      <c r="X29" s="1890"/>
      <c r="Y29" s="3134"/>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34"/>
      <c r="Q30" s="1889" t="str">
        <f t="shared" si="11"/>
        <v>物业等级</v>
      </c>
      <c r="R30" s="751" t="s">
        <v>25</v>
      </c>
      <c r="S30" s="752">
        <f t="shared" si="12"/>
        <v>100</v>
      </c>
      <c r="T30" s="751" t="s">
        <v>25</v>
      </c>
      <c r="U30" s="752">
        <f t="shared" si="13"/>
        <v>100</v>
      </c>
      <c r="V30" s="751" t="s">
        <v>25</v>
      </c>
      <c r="W30" s="752">
        <f t="shared" si="14"/>
        <v>100</v>
      </c>
      <c r="X30" s="1890"/>
      <c r="Y30" s="3134"/>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34"/>
      <c r="Q31" s="1877" t="str">
        <f t="shared" si="11"/>
        <v>停车位面积</v>
      </c>
      <c r="R31" s="747" t="s">
        <v>25</v>
      </c>
      <c r="S31" s="748" t="e">
        <f t="shared" si="12"/>
        <v>#N/A</v>
      </c>
      <c r="T31" s="747" t="s">
        <v>25</v>
      </c>
      <c r="U31" s="748" t="e">
        <f t="shared" si="13"/>
        <v>#N/A</v>
      </c>
      <c r="V31" s="747" t="s">
        <v>25</v>
      </c>
      <c r="W31" s="748" t="e">
        <f t="shared" si="14"/>
        <v>#N/A</v>
      </c>
      <c r="X31" s="749"/>
      <c r="Y31" s="3134"/>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34" t="s">
        <v>2371</v>
      </c>
      <c r="Q32" s="1889" t="str">
        <f t="shared" si="11"/>
        <v>车位类型</v>
      </c>
      <c r="R32" s="751" t="s">
        <v>25</v>
      </c>
      <c r="S32" s="752">
        <f t="shared" si="12"/>
        <v>100</v>
      </c>
      <c r="T32" s="751" t="s">
        <v>25</v>
      </c>
      <c r="U32" s="752">
        <f t="shared" si="13"/>
        <v>100</v>
      </c>
      <c r="V32" s="751" t="s">
        <v>25</v>
      </c>
      <c r="W32" s="752">
        <f t="shared" si="14"/>
        <v>100</v>
      </c>
      <c r="X32" s="1890"/>
      <c r="Y32" s="3134"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34"/>
      <c r="Q33" s="1889" t="str">
        <f t="shared" si="11"/>
        <v>是否直接入户</v>
      </c>
      <c r="R33" s="751" t="s">
        <v>25</v>
      </c>
      <c r="S33" s="752">
        <f t="shared" si="12"/>
        <v>100</v>
      </c>
      <c r="T33" s="751" t="s">
        <v>25</v>
      </c>
      <c r="U33" s="752">
        <f t="shared" si="13"/>
        <v>100</v>
      </c>
      <c r="V33" s="751" t="s">
        <v>25</v>
      </c>
      <c r="W33" s="752">
        <f t="shared" si="14"/>
        <v>100</v>
      </c>
      <c r="X33" s="1890"/>
      <c r="Y33" s="3134"/>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34"/>
      <c r="Q35" s="753">
        <f t="shared" si="11"/>
        <v>111</v>
      </c>
      <c r="R35" s="754" t="s">
        <v>25</v>
      </c>
      <c r="S35" s="755">
        <f t="shared" si="12"/>
        <v>100</v>
      </c>
      <c r="T35" s="754" t="s">
        <v>25</v>
      </c>
      <c r="U35" s="755">
        <f t="shared" si="13"/>
        <v>100</v>
      </c>
      <c r="V35" s="754" t="s">
        <v>25</v>
      </c>
      <c r="W35" s="755">
        <f t="shared" si="14"/>
        <v>100</v>
      </c>
      <c r="X35" s="756"/>
      <c r="Y35" s="3134"/>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34"/>
      <c r="Q36" s="1889">
        <f t="shared" si="11"/>
        <v>111</v>
      </c>
      <c r="R36" s="751" t="s">
        <v>25</v>
      </c>
      <c r="S36" s="752">
        <f t="shared" si="12"/>
        <v>100</v>
      </c>
      <c r="T36" s="751" t="s">
        <v>25</v>
      </c>
      <c r="U36" s="752">
        <f t="shared" si="13"/>
        <v>100</v>
      </c>
      <c r="V36" s="751" t="s">
        <v>25</v>
      </c>
      <c r="W36" s="752">
        <f t="shared" si="14"/>
        <v>100</v>
      </c>
      <c r="X36" s="1890"/>
      <c r="Y36" s="3134"/>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26" t="str">
        <f>A37</f>
        <v>成交单价</v>
      </c>
      <c r="Q37" s="3126"/>
      <c r="R37" s="3122">
        <f>E37</f>
        <v>0</v>
      </c>
      <c r="S37" s="3122"/>
      <c r="T37" s="3122">
        <f>G37</f>
        <v>0</v>
      </c>
      <c r="U37" s="3122"/>
      <c r="V37" s="3122">
        <f>I37</f>
        <v>0</v>
      </c>
      <c r="W37" s="3122"/>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26" t="str">
        <f>A38</f>
        <v>比较价值</v>
      </c>
      <c r="Q38" s="3126"/>
      <c r="R38" s="3122" t="e">
        <f>IF(E1="售价",ROUND(PRODUCT(R37,AA7:AA36),0),ROUND(PRODUCT(R37,AA7:AA36),1))</f>
        <v>#DIV/0!</v>
      </c>
      <c r="S38" s="3122"/>
      <c r="T38" s="3122" t="e">
        <f>IF(E1="售价",ROUND(PRODUCT(T37,AB7:AB36),0),ROUND(PRODUCT(T37,AB7:AB36),1))</f>
        <v>#DIV/0!</v>
      </c>
      <c r="U38" s="3122"/>
      <c r="V38" s="3122" t="e">
        <f>IF(E1="售价",ROUND(PRODUCT(V37,AC7:AC36),0),ROUND(PRODUCT(V37,AC7:AC36),1))</f>
        <v>#DIV/0!</v>
      </c>
      <c r="W38" s="3122"/>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23" t="str">
        <f>A39</f>
        <v>估价对象XX用房的比较价值（楼面单价，元/平方米）</v>
      </c>
      <c r="Q39" s="3124"/>
      <c r="R39" s="3125" t="e">
        <f>IF(E1="售价",ROUND(AVERAGE(R38:V38),0),ROUND(AVERAGE(R38:V38),1))</f>
        <v>#DIV/0!</v>
      </c>
      <c r="S39" s="3125"/>
      <c r="T39" s="3125"/>
      <c r="U39" s="3125"/>
      <c r="V39" s="3125"/>
      <c r="W39" s="3125"/>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30"/>
      <c r="Q15" s="1889"/>
      <c r="R15" s="751"/>
      <c r="S15" s="752"/>
      <c r="T15" s="751"/>
      <c r="U15" s="752"/>
      <c r="V15" s="751"/>
      <c r="W15" s="752"/>
      <c r="X15" s="1890"/>
      <c r="Y15" s="3130"/>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30"/>
      <c r="Q17" s="1889"/>
      <c r="R17" s="751"/>
      <c r="S17" s="752"/>
      <c r="T17" s="751"/>
      <c r="U17" s="752"/>
      <c r="V17" s="751"/>
      <c r="W17" s="752"/>
      <c r="X17" s="1890"/>
      <c r="Y17" s="3130"/>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30"/>
      <c r="Q19" s="1889"/>
      <c r="R19" s="751"/>
      <c r="S19" s="752"/>
      <c r="T19" s="751"/>
      <c r="U19" s="752"/>
      <c r="V19" s="751"/>
      <c r="W19" s="752"/>
      <c r="X19" s="1890"/>
      <c r="Y19" s="3130"/>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30"/>
      <c r="Q21" s="1889"/>
      <c r="R21" s="751"/>
      <c r="S21" s="752"/>
      <c r="T21" s="751"/>
      <c r="U21" s="752"/>
      <c r="V21" s="751"/>
      <c r="W21" s="752"/>
      <c r="X21" s="1890"/>
      <c r="Y21" s="3130"/>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30"/>
      <c r="Q24" s="1889">
        <f t="shared" ref="Q24:Q34"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34"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34"/>
      <c r="Q27" s="753" t="str">
        <f t="shared" si="11"/>
        <v>成新率</v>
      </c>
      <c r="R27" s="754" t="s">
        <v>25</v>
      </c>
      <c r="S27" s="755" t="e">
        <f t="shared" si="12"/>
        <v>#N/A</v>
      </c>
      <c r="T27" s="754" t="s">
        <v>25</v>
      </c>
      <c r="U27" s="755" t="e">
        <f t="shared" si="13"/>
        <v>#N/A</v>
      </c>
      <c r="V27" s="754" t="s">
        <v>25</v>
      </c>
      <c r="W27" s="755" t="e">
        <f t="shared" si="14"/>
        <v>#N/A</v>
      </c>
      <c r="X27" s="756"/>
      <c r="Y27" s="3134"/>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34"/>
      <c r="Q28" s="1889" t="str">
        <f t="shared" si="11"/>
        <v>物业等级</v>
      </c>
      <c r="R28" s="751" t="s">
        <v>25</v>
      </c>
      <c r="S28" s="752">
        <f t="shared" si="12"/>
        <v>100</v>
      </c>
      <c r="T28" s="751" t="s">
        <v>25</v>
      </c>
      <c r="U28" s="752">
        <f t="shared" si="13"/>
        <v>100</v>
      </c>
      <c r="V28" s="751" t="s">
        <v>25</v>
      </c>
      <c r="W28" s="752">
        <f t="shared" si="14"/>
        <v>100</v>
      </c>
      <c r="X28" s="1890"/>
      <c r="Y28" s="3134"/>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34"/>
      <c r="Q29" s="1889" t="str">
        <f t="shared" si="11"/>
        <v>有无电梯</v>
      </c>
      <c r="R29" s="751" t="s">
        <v>25</v>
      </c>
      <c r="S29" s="752">
        <f t="shared" si="12"/>
        <v>100</v>
      </c>
      <c r="T29" s="751" t="s">
        <v>25</v>
      </c>
      <c r="U29" s="752">
        <f t="shared" si="13"/>
        <v>100</v>
      </c>
      <c r="V29" s="751" t="s">
        <v>25</v>
      </c>
      <c r="W29" s="752">
        <f t="shared" si="14"/>
        <v>100</v>
      </c>
      <c r="X29" s="1890"/>
      <c r="Y29" s="3134"/>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34"/>
      <c r="Q30" s="1889" t="str">
        <f t="shared" si="11"/>
        <v>建筑面积</v>
      </c>
      <c r="R30" s="751" t="s">
        <v>25</v>
      </c>
      <c r="S30" s="752" t="e">
        <f t="shared" si="12"/>
        <v>#N/A</v>
      </c>
      <c r="T30" s="751" t="s">
        <v>25</v>
      </c>
      <c r="U30" s="752" t="e">
        <f t="shared" si="13"/>
        <v>#N/A</v>
      </c>
      <c r="V30" s="751" t="s">
        <v>25</v>
      </c>
      <c r="W30" s="752" t="e">
        <f t="shared" si="14"/>
        <v>#N/A</v>
      </c>
      <c r="X30" s="1890"/>
      <c r="Y30" s="3134"/>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34"/>
      <c r="Q31" s="1877" t="str">
        <f t="shared" si="11"/>
        <v>是否封闭</v>
      </c>
      <c r="R31" s="747" t="s">
        <v>25</v>
      </c>
      <c r="S31" s="748">
        <f t="shared" si="12"/>
        <v>100</v>
      </c>
      <c r="T31" s="747" t="s">
        <v>25</v>
      </c>
      <c r="U31" s="748">
        <f t="shared" si="13"/>
        <v>100</v>
      </c>
      <c r="V31" s="747" t="s">
        <v>25</v>
      </c>
      <c r="W31" s="748">
        <f t="shared" si="14"/>
        <v>100</v>
      </c>
      <c r="X31" s="749"/>
      <c r="Y31" s="3134"/>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34" t="s">
        <v>2371</v>
      </c>
      <c r="Q32" s="1889">
        <f t="shared" si="11"/>
        <v>111</v>
      </c>
      <c r="R32" s="751" t="s">
        <v>25</v>
      </c>
      <c r="S32" s="752">
        <f t="shared" si="12"/>
        <v>100</v>
      </c>
      <c r="T32" s="751" t="s">
        <v>25</v>
      </c>
      <c r="U32" s="752">
        <f t="shared" si="13"/>
        <v>100</v>
      </c>
      <c r="V32" s="751" t="s">
        <v>25</v>
      </c>
      <c r="W32" s="752">
        <f t="shared" si="14"/>
        <v>100</v>
      </c>
      <c r="X32" s="1890"/>
      <c r="Y32" s="3134"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34"/>
      <c r="Q33" s="1889">
        <f t="shared" si="11"/>
        <v>111</v>
      </c>
      <c r="R33" s="751" t="s">
        <v>25</v>
      </c>
      <c r="S33" s="752">
        <f t="shared" si="12"/>
        <v>100</v>
      </c>
      <c r="T33" s="751" t="s">
        <v>25</v>
      </c>
      <c r="U33" s="752">
        <f t="shared" si="13"/>
        <v>100</v>
      </c>
      <c r="V33" s="751" t="s">
        <v>25</v>
      </c>
      <c r="W33" s="752">
        <f t="shared" si="14"/>
        <v>100</v>
      </c>
      <c r="X33" s="1890"/>
      <c r="Y33" s="3134"/>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26" t="str">
        <f>A35</f>
        <v>成交单价（元/平方米）</v>
      </c>
      <c r="Q35" s="3126"/>
      <c r="R35" s="3122">
        <f>E35</f>
        <v>0</v>
      </c>
      <c r="S35" s="3122"/>
      <c r="T35" s="3122">
        <f>G35</f>
        <v>0</v>
      </c>
      <c r="U35" s="3122"/>
      <c r="V35" s="3122">
        <f>I35</f>
        <v>0</v>
      </c>
      <c r="W35" s="3122"/>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26" t="str">
        <f>A36</f>
        <v>比较价值（元/平方米）</v>
      </c>
      <c r="Q36" s="3126"/>
      <c r="R36" s="3122" t="e">
        <f>IF(E1="售价",ROUND(PRODUCT(R35,AA7:AA34),0),ROUND(PRODUCT(R35,AA7:AA34),1))</f>
        <v>#DIV/0!</v>
      </c>
      <c r="S36" s="3122"/>
      <c r="T36" s="3122" t="e">
        <f>IF(E1="售价",ROUND(PRODUCT(T35,AB7:AB34),0),ROUND(PRODUCT(T35,AB7:AB34),1))</f>
        <v>#DIV/0!</v>
      </c>
      <c r="U36" s="3122"/>
      <c r="V36" s="3122" t="e">
        <f>IF(E1="售价",ROUND(PRODUCT(V35,AC7:AC34),0),ROUND(PRODUCT(V35,AC7:AC34),1))</f>
        <v>#DIV/0!</v>
      </c>
      <c r="W36" s="3122"/>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23" t="str">
        <f>A37</f>
        <v>估价对象XX用房的比较价值（楼面单价，元/平方米）</v>
      </c>
      <c r="Q37" s="3124"/>
      <c r="R37" s="3125" t="e">
        <f>IF(E1="售价",ROUND(AVERAGE(R36:V36),0),ROUND(AVERAGE(R36:V36),1))</f>
        <v>#DIV/0!</v>
      </c>
      <c r="S37" s="3125"/>
      <c r="T37" s="3125"/>
      <c r="U37" s="3125"/>
      <c r="V37" s="3125"/>
      <c r="W37" s="3125"/>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30"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30"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26"/>
      <c r="Q12" s="1877" t="str">
        <f t="shared" si="6"/>
        <v>配建</v>
      </c>
      <c r="R12" s="747" t="s">
        <v>25</v>
      </c>
      <c r="S12" s="748">
        <f t="shared" si="0"/>
        <v>100</v>
      </c>
      <c r="T12" s="747" t="s">
        <v>25</v>
      </c>
      <c r="U12" s="748">
        <f t="shared" si="1"/>
        <v>100</v>
      </c>
      <c r="V12" s="747" t="s">
        <v>25</v>
      </c>
      <c r="W12" s="748">
        <f t="shared" si="2"/>
        <v>100</v>
      </c>
      <c r="X12" s="749"/>
      <c r="Y12" s="2952"/>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29" t="s">
        <v>2365</v>
      </c>
      <c r="Q15" s="1889" t="str">
        <f t="shared" si="6"/>
        <v>居住社区成熟度</v>
      </c>
      <c r="R15" s="751" t="s">
        <v>25</v>
      </c>
      <c r="S15" s="752">
        <f t="shared" si="0"/>
        <v>100</v>
      </c>
      <c r="T15" s="751" t="s">
        <v>25</v>
      </c>
      <c r="U15" s="752">
        <f t="shared" si="1"/>
        <v>100</v>
      </c>
      <c r="V15" s="751" t="s">
        <v>25</v>
      </c>
      <c r="W15" s="752">
        <f t="shared" si="2"/>
        <v>100</v>
      </c>
      <c r="X15" s="1890"/>
      <c r="Y15" s="3129"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30"/>
      <c r="Q17" s="1889" t="str">
        <f>B17</f>
        <v>商业繁华度</v>
      </c>
      <c r="R17" s="751" t="s">
        <v>25</v>
      </c>
      <c r="S17" s="752">
        <f>F17</f>
        <v>100</v>
      </c>
      <c r="T17" s="751" t="s">
        <v>25</v>
      </c>
      <c r="U17" s="752">
        <f>H17</f>
        <v>100</v>
      </c>
      <c r="V17" s="751" t="s">
        <v>25</v>
      </c>
      <c r="W17" s="752">
        <f>J17</f>
        <v>100</v>
      </c>
      <c r="X17" s="1890"/>
      <c r="Y17" s="3130"/>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30"/>
      <c r="Q19" s="1889" t="str">
        <f>B19</f>
        <v>办公集聚程度</v>
      </c>
      <c r="R19" s="751" t="s">
        <v>25</v>
      </c>
      <c r="S19" s="752">
        <f>F19</f>
        <v>100</v>
      </c>
      <c r="T19" s="751" t="s">
        <v>25</v>
      </c>
      <c r="U19" s="752">
        <f>H19</f>
        <v>100</v>
      </c>
      <c r="V19" s="751" t="s">
        <v>25</v>
      </c>
      <c r="W19" s="752">
        <f>J19</f>
        <v>100</v>
      </c>
      <c r="X19" s="1890"/>
      <c r="Y19" s="3130"/>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30"/>
      <c r="Q20" s="1889"/>
      <c r="R20" s="751"/>
      <c r="S20" s="752"/>
      <c r="T20" s="751"/>
      <c r="U20" s="752"/>
      <c r="V20" s="751"/>
      <c r="W20" s="752"/>
      <c r="X20" s="1890"/>
      <c r="Y20" s="3130"/>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30"/>
      <c r="Q21" s="1889" t="str">
        <f>B21</f>
        <v>交通便捷度</v>
      </c>
      <c r="R21" s="751" t="s">
        <v>25</v>
      </c>
      <c r="S21" s="752">
        <f>F21</f>
        <v>100</v>
      </c>
      <c r="T21" s="751" t="s">
        <v>25</v>
      </c>
      <c r="U21" s="752">
        <f>H21</f>
        <v>100</v>
      </c>
      <c r="V21" s="751" t="s">
        <v>25</v>
      </c>
      <c r="W21" s="752">
        <f>J21</f>
        <v>100</v>
      </c>
      <c r="X21" s="1890"/>
      <c r="Y21" s="3130"/>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30"/>
      <c r="Q23" s="1889" t="str">
        <f t="shared" ref="Q23:Q37" si="8">B23</f>
        <v>区域土地利用方向</v>
      </c>
      <c r="R23" s="751" t="s">
        <v>25</v>
      </c>
      <c r="S23" s="752">
        <f>F23</f>
        <v>100</v>
      </c>
      <c r="T23" s="751" t="s">
        <v>25</v>
      </c>
      <c r="U23" s="752">
        <f>H23</f>
        <v>100</v>
      </c>
      <c r="V23" s="751" t="s">
        <v>25</v>
      </c>
      <c r="W23" s="752">
        <f>J23</f>
        <v>100</v>
      </c>
      <c r="X23" s="1890"/>
      <c r="Y23" s="3130"/>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30"/>
      <c r="Q24" s="1889"/>
      <c r="R24" s="751"/>
      <c r="S24" s="752"/>
      <c r="T24" s="751"/>
      <c r="U24" s="752"/>
      <c r="V24" s="751"/>
      <c r="W24" s="752"/>
      <c r="X24" s="1890"/>
      <c r="Y24" s="3130"/>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30"/>
      <c r="Q25" s="1889" t="str">
        <f t="shared" si="8"/>
        <v>自然及人文环境状况</v>
      </c>
      <c r="R25" s="751" t="s">
        <v>25</v>
      </c>
      <c r="S25" s="752">
        <f>F25</f>
        <v>100</v>
      </c>
      <c r="T25" s="751" t="s">
        <v>25</v>
      </c>
      <c r="U25" s="752">
        <f>H25</f>
        <v>100</v>
      </c>
      <c r="V25" s="751" t="s">
        <v>25</v>
      </c>
      <c r="W25" s="752">
        <f>J25</f>
        <v>100</v>
      </c>
      <c r="X25" s="1890"/>
      <c r="Y25" s="3130"/>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30"/>
      <c r="Q26" s="1889"/>
      <c r="R26" s="751"/>
      <c r="S26" s="752"/>
      <c r="T26" s="751"/>
      <c r="U26" s="752"/>
      <c r="V26" s="751"/>
      <c r="W26" s="752"/>
      <c r="X26" s="1890"/>
      <c r="Y26" s="3130"/>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30"/>
      <c r="Q27" s="1877" t="str">
        <f t="shared" ref="Q27" si="9">B27</f>
        <v>公共配套设施</v>
      </c>
      <c r="R27" s="747" t="s">
        <v>25</v>
      </c>
      <c r="S27" s="748">
        <f>F27</f>
        <v>100</v>
      </c>
      <c r="T27" s="747" t="s">
        <v>25</v>
      </c>
      <c r="U27" s="748">
        <f>H27</f>
        <v>100</v>
      </c>
      <c r="V27" s="747" t="s">
        <v>25</v>
      </c>
      <c r="W27" s="748">
        <f>J27</f>
        <v>100</v>
      </c>
      <c r="X27" s="1890"/>
      <c r="Y27" s="3130"/>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30"/>
      <c r="Q28" s="1889"/>
      <c r="R28" s="751"/>
      <c r="S28" s="752"/>
      <c r="T28" s="751"/>
      <c r="U28" s="752"/>
      <c r="V28" s="751"/>
      <c r="W28" s="752"/>
      <c r="X28" s="1890"/>
      <c r="Y28" s="3130"/>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30"/>
      <c r="Q29" s="1877" t="str">
        <f t="shared" si="8"/>
        <v>基础设施水平</v>
      </c>
      <c r="R29" s="747" t="s">
        <v>25</v>
      </c>
      <c r="S29" s="748">
        <f>F29</f>
        <v>100</v>
      </c>
      <c r="T29" s="747" t="s">
        <v>25</v>
      </c>
      <c r="U29" s="748">
        <f>H29</f>
        <v>100</v>
      </c>
      <c r="V29" s="747" t="s">
        <v>25</v>
      </c>
      <c r="W29" s="748">
        <f>J29</f>
        <v>100</v>
      </c>
      <c r="X29" s="749"/>
      <c r="Y29" s="3130"/>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30"/>
      <c r="Q30" s="1877"/>
      <c r="R30" s="747"/>
      <c r="S30" s="748"/>
      <c r="T30" s="747"/>
      <c r="U30" s="748"/>
      <c r="V30" s="747"/>
      <c r="W30" s="748"/>
      <c r="X30" s="749"/>
      <c r="Y30" s="3130"/>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30"/>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30"/>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30"/>
      <c r="Q32" s="1889" t="str">
        <f t="shared" si="8"/>
        <v>毗邻道路的类型与等级</v>
      </c>
      <c r="R32" s="751" t="s">
        <v>25</v>
      </c>
      <c r="S32" s="752">
        <f t="shared" si="10"/>
        <v>100</v>
      </c>
      <c r="T32" s="751" t="s">
        <v>25</v>
      </c>
      <c r="U32" s="752">
        <f t="shared" si="11"/>
        <v>100</v>
      </c>
      <c r="V32" s="751" t="s">
        <v>25</v>
      </c>
      <c r="W32" s="752">
        <f t="shared" si="12"/>
        <v>100</v>
      </c>
      <c r="X32" s="1890"/>
      <c r="Y32" s="3130"/>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30"/>
      <c r="Q33" s="1889"/>
      <c r="R33" s="751"/>
      <c r="S33" s="752"/>
      <c r="T33" s="751"/>
      <c r="U33" s="752"/>
      <c r="V33" s="751"/>
      <c r="W33" s="752"/>
      <c r="X33" s="1890"/>
      <c r="Y33" s="3130"/>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30"/>
      <c r="Q34" s="1889" t="str">
        <f t="shared" si="8"/>
        <v>土地级别</v>
      </c>
      <c r="R34" s="751" t="s">
        <v>25</v>
      </c>
      <c r="S34" s="752">
        <f t="shared" si="10"/>
        <v>100</v>
      </c>
      <c r="T34" s="751" t="s">
        <v>25</v>
      </c>
      <c r="U34" s="752">
        <f t="shared" si="11"/>
        <v>100</v>
      </c>
      <c r="V34" s="751" t="s">
        <v>25</v>
      </c>
      <c r="W34" s="752">
        <f t="shared" si="12"/>
        <v>100</v>
      </c>
      <c r="X34" s="1890"/>
      <c r="Y34" s="3130"/>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30"/>
      <c r="Q35" s="1889">
        <f t="shared" si="8"/>
        <v>111</v>
      </c>
      <c r="R35" s="751" t="s">
        <v>25</v>
      </c>
      <c r="S35" s="752">
        <f t="shared" si="10"/>
        <v>100</v>
      </c>
      <c r="T35" s="751" t="s">
        <v>25</v>
      </c>
      <c r="U35" s="752">
        <f t="shared" si="11"/>
        <v>100</v>
      </c>
      <c r="V35" s="751" t="s">
        <v>25</v>
      </c>
      <c r="W35" s="752">
        <f t="shared" si="12"/>
        <v>100</v>
      </c>
      <c r="X35" s="1890"/>
      <c r="Y35" s="3130"/>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7" t="s">
        <v>2371</v>
      </c>
      <c r="Q36" s="1889">
        <f t="shared" si="8"/>
        <v>111</v>
      </c>
      <c r="R36" s="751" t="s">
        <v>25</v>
      </c>
      <c r="S36" s="752">
        <f t="shared" si="10"/>
        <v>100</v>
      </c>
      <c r="T36" s="751" t="s">
        <v>25</v>
      </c>
      <c r="U36" s="752">
        <f t="shared" si="11"/>
        <v>100</v>
      </c>
      <c r="V36" s="751" t="s">
        <v>25</v>
      </c>
      <c r="W36" s="752">
        <f t="shared" si="12"/>
        <v>100</v>
      </c>
      <c r="X36" s="1890"/>
      <c r="Y36" s="3134"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34"/>
      <c r="Q37" s="1889">
        <f t="shared" si="8"/>
        <v>111</v>
      </c>
      <c r="R37" s="754" t="s">
        <v>25</v>
      </c>
      <c r="S37" s="755">
        <f t="shared" si="10"/>
        <v>100</v>
      </c>
      <c r="T37" s="754" t="s">
        <v>25</v>
      </c>
      <c r="U37" s="755">
        <f t="shared" si="11"/>
        <v>100</v>
      </c>
      <c r="V37" s="754" t="s">
        <v>25</v>
      </c>
      <c r="W37" s="755">
        <f t="shared" si="12"/>
        <v>100</v>
      </c>
      <c r="X37" s="756"/>
      <c r="Y37" s="3134"/>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34"/>
      <c r="Q38" s="1889" t="str">
        <f>B38</f>
        <v>宗地面积</v>
      </c>
      <c r="R38" s="751" t="s">
        <v>25</v>
      </c>
      <c r="S38" s="752" t="e">
        <f t="shared" si="10"/>
        <v>#N/A</v>
      </c>
      <c r="T38" s="751" t="s">
        <v>25</v>
      </c>
      <c r="U38" s="752" t="e">
        <f t="shared" si="11"/>
        <v>#N/A</v>
      </c>
      <c r="V38" s="751" t="s">
        <v>25</v>
      </c>
      <c r="W38" s="752" t="e">
        <f t="shared" si="12"/>
        <v>#N/A</v>
      </c>
      <c r="X38" s="1890"/>
      <c r="Y38" s="3134"/>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34"/>
      <c r="Q39" s="1889" t="str">
        <f t="shared" ref="Q39:Q45" si="14">B39</f>
        <v>宗地形状</v>
      </c>
      <c r="R39" s="751" t="s">
        <v>25</v>
      </c>
      <c r="S39" s="752">
        <f t="shared" si="10"/>
        <v>100</v>
      </c>
      <c r="T39" s="751" t="s">
        <v>25</v>
      </c>
      <c r="U39" s="752">
        <f t="shared" si="11"/>
        <v>100</v>
      </c>
      <c r="V39" s="751" t="s">
        <v>25</v>
      </c>
      <c r="W39" s="752">
        <f t="shared" si="12"/>
        <v>100</v>
      </c>
      <c r="X39" s="1890"/>
      <c r="Y39" s="3134"/>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34"/>
      <c r="Q40" s="1889" t="str">
        <f t="shared" si="14"/>
        <v>临街宽度及深度</v>
      </c>
      <c r="R40" s="751" t="s">
        <v>25</v>
      </c>
      <c r="S40" s="752">
        <f t="shared" si="10"/>
        <v>100</v>
      </c>
      <c r="T40" s="751" t="s">
        <v>25</v>
      </c>
      <c r="U40" s="752">
        <f t="shared" si="11"/>
        <v>100</v>
      </c>
      <c r="V40" s="751" t="s">
        <v>25</v>
      </c>
      <c r="W40" s="752">
        <f t="shared" si="12"/>
        <v>100</v>
      </c>
      <c r="X40" s="1890"/>
      <c r="Y40" s="3134"/>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34"/>
      <c r="Q41" s="1889" t="str">
        <f t="shared" si="14"/>
        <v>宗地开发程度</v>
      </c>
      <c r="R41" s="747" t="s">
        <v>25</v>
      </c>
      <c r="S41" s="748">
        <f t="shared" si="10"/>
        <v>100</v>
      </c>
      <c r="T41" s="747" t="s">
        <v>25</v>
      </c>
      <c r="U41" s="748">
        <f t="shared" si="11"/>
        <v>100</v>
      </c>
      <c r="V41" s="747" t="s">
        <v>25</v>
      </c>
      <c r="W41" s="748">
        <f t="shared" si="12"/>
        <v>100</v>
      </c>
      <c r="X41" s="749"/>
      <c r="Y41" s="3134"/>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34" t="s">
        <v>2371</v>
      </c>
      <c r="Q42" s="1889" t="str">
        <f t="shared" si="14"/>
        <v>工程地质条件</v>
      </c>
      <c r="R42" s="751" t="s">
        <v>25</v>
      </c>
      <c r="S42" s="752">
        <f t="shared" si="10"/>
        <v>100</v>
      </c>
      <c r="T42" s="751" t="s">
        <v>25</v>
      </c>
      <c r="U42" s="752">
        <f t="shared" si="11"/>
        <v>100</v>
      </c>
      <c r="V42" s="751" t="s">
        <v>25</v>
      </c>
      <c r="W42" s="752">
        <f t="shared" si="12"/>
        <v>100</v>
      </c>
      <c r="X42" s="1890"/>
      <c r="Y42" s="3134"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34"/>
      <c r="Q43" s="1889">
        <f t="shared" si="14"/>
        <v>111</v>
      </c>
      <c r="R43" s="751" t="s">
        <v>25</v>
      </c>
      <c r="S43" s="752">
        <f t="shared" si="10"/>
        <v>100</v>
      </c>
      <c r="T43" s="751" t="s">
        <v>25</v>
      </c>
      <c r="U43" s="752">
        <f t="shared" si="11"/>
        <v>100</v>
      </c>
      <c r="V43" s="751" t="s">
        <v>25</v>
      </c>
      <c r="W43" s="752">
        <f t="shared" si="12"/>
        <v>100</v>
      </c>
      <c r="X43" s="1890"/>
      <c r="Y43" s="3134"/>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34"/>
      <c r="Q44" s="1889">
        <f t="shared" si="14"/>
        <v>111</v>
      </c>
      <c r="R44" s="751" t="s">
        <v>25</v>
      </c>
      <c r="S44" s="752">
        <f t="shared" si="10"/>
        <v>100</v>
      </c>
      <c r="T44" s="751" t="s">
        <v>25</v>
      </c>
      <c r="U44" s="752">
        <f t="shared" si="11"/>
        <v>100</v>
      </c>
      <c r="V44" s="751" t="s">
        <v>25</v>
      </c>
      <c r="W44" s="752">
        <f t="shared" si="12"/>
        <v>100</v>
      </c>
      <c r="X44" s="1890"/>
      <c r="Y44" s="3134"/>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34"/>
      <c r="Q45" s="1889">
        <f t="shared" si="14"/>
        <v>111</v>
      </c>
      <c r="R45" s="754" t="s">
        <v>25</v>
      </c>
      <c r="S45" s="755">
        <f t="shared" si="10"/>
        <v>100</v>
      </c>
      <c r="T45" s="754" t="s">
        <v>25</v>
      </c>
      <c r="U45" s="755">
        <f t="shared" si="11"/>
        <v>100</v>
      </c>
      <c r="V45" s="754" t="s">
        <v>25</v>
      </c>
      <c r="W45" s="755">
        <f t="shared" si="12"/>
        <v>100</v>
      </c>
      <c r="X45" s="756"/>
      <c r="Y45" s="3134"/>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26" t="str">
        <f>A46</f>
        <v>成交单价</v>
      </c>
      <c r="Q46" s="3126"/>
      <c r="R46" s="3163">
        <f>E46</f>
        <v>0</v>
      </c>
      <c r="S46" s="3163"/>
      <c r="T46" s="3163">
        <f>G46</f>
        <v>0</v>
      </c>
      <c r="U46" s="3163"/>
      <c r="V46" s="3163">
        <f>I46</f>
        <v>0</v>
      </c>
      <c r="W46" s="3163"/>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26" t="str">
        <f>A47</f>
        <v>比较价值（元/平方米）</v>
      </c>
      <c r="Q47" s="3126"/>
      <c r="R47" s="3178" t="e">
        <f>ROUND(PRODUCT(R46,AA7:AA45),0)</f>
        <v>#DIV/0!</v>
      </c>
      <c r="S47" s="3178"/>
      <c r="T47" s="3178" t="e">
        <f>ROUND(PRODUCT(T46,AB7:AB45),0)</f>
        <v>#DIV/0!</v>
      </c>
      <c r="U47" s="3178"/>
      <c r="V47" s="3178" t="e">
        <f>ROUND(PRODUCT(V46,AC7:AC45),0)</f>
        <v>#DIV/0!</v>
      </c>
      <c r="W47" s="317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23" t="str">
        <f>A48</f>
        <v>估价对象XX用房的比较价值（楼面单价，元/平方米）</v>
      </c>
      <c r="Q48" s="3124"/>
      <c r="R48" s="3179" t="e">
        <f>ROUND(AVERAGE(R47:V47),0)</f>
        <v>#DIV/0!</v>
      </c>
      <c r="S48" s="3179"/>
      <c r="T48" s="3179"/>
      <c r="U48" s="3179"/>
      <c r="V48" s="3179"/>
      <c r="W48" s="317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30"/>
      <c r="Q19" s="1889" t="str">
        <f t="shared" ref="Q19:Q33" si="8">B19</f>
        <v>区域土地利用方向</v>
      </c>
      <c r="R19" s="751" t="s">
        <v>25</v>
      </c>
      <c r="S19" s="752">
        <f>F19</f>
        <v>100</v>
      </c>
      <c r="T19" s="751" t="s">
        <v>25</v>
      </c>
      <c r="U19" s="752">
        <f>H19</f>
        <v>100</v>
      </c>
      <c r="V19" s="751" t="s">
        <v>25</v>
      </c>
      <c r="W19" s="752">
        <f>J19</f>
        <v>100</v>
      </c>
      <c r="X19" s="1890"/>
      <c r="Y19" s="3130"/>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30"/>
      <c r="Q20" s="1889"/>
      <c r="R20" s="751"/>
      <c r="S20" s="752"/>
      <c r="T20" s="751"/>
      <c r="U20" s="752"/>
      <c r="V20" s="751"/>
      <c r="W20" s="752"/>
      <c r="X20" s="1890"/>
      <c r="Y20" s="3130"/>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30"/>
      <c r="Q21" s="1889" t="str">
        <f t="shared" si="8"/>
        <v>环境状况</v>
      </c>
      <c r="R21" s="751" t="s">
        <v>25</v>
      </c>
      <c r="S21" s="752">
        <f>F21</f>
        <v>100</v>
      </c>
      <c r="T21" s="751" t="s">
        <v>25</v>
      </c>
      <c r="U21" s="752">
        <f>H21</f>
        <v>100</v>
      </c>
      <c r="V21" s="751" t="s">
        <v>25</v>
      </c>
      <c r="W21" s="752">
        <f>J21</f>
        <v>100</v>
      </c>
      <c r="X21" s="1890"/>
      <c r="Y21" s="3130"/>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30"/>
      <c r="Q23" s="1877" t="str">
        <f t="shared" si="8"/>
        <v>公共配套设施</v>
      </c>
      <c r="R23" s="747" t="s">
        <v>25</v>
      </c>
      <c r="S23" s="748">
        <f>F23</f>
        <v>100</v>
      </c>
      <c r="T23" s="747" t="s">
        <v>25</v>
      </c>
      <c r="U23" s="748">
        <f>H23</f>
        <v>100</v>
      </c>
      <c r="V23" s="747" t="s">
        <v>25</v>
      </c>
      <c r="W23" s="748">
        <f>J23</f>
        <v>100</v>
      </c>
      <c r="X23" s="749"/>
      <c r="Y23" s="3130"/>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30"/>
      <c r="Q24" s="1877"/>
      <c r="R24" s="747"/>
      <c r="S24" s="748"/>
      <c r="T24" s="747"/>
      <c r="U24" s="748"/>
      <c r="V24" s="747"/>
      <c r="W24" s="748"/>
      <c r="X24" s="749"/>
      <c r="Y24" s="3130"/>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30"/>
      <c r="Q25" s="1877" t="str">
        <f t="shared" ref="Q25" si="9">B25</f>
        <v>基础设施水平</v>
      </c>
      <c r="R25" s="747" t="s">
        <v>25</v>
      </c>
      <c r="S25" s="748">
        <f>F25</f>
        <v>100</v>
      </c>
      <c r="T25" s="747" t="s">
        <v>25</v>
      </c>
      <c r="U25" s="748">
        <f>H25</f>
        <v>100</v>
      </c>
      <c r="V25" s="747" t="s">
        <v>25</v>
      </c>
      <c r="W25" s="748">
        <f>J25</f>
        <v>100</v>
      </c>
      <c r="X25" s="749"/>
      <c r="Y25" s="3130"/>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30"/>
      <c r="Q26" s="1877"/>
      <c r="R26" s="747"/>
      <c r="S26" s="748"/>
      <c r="T26" s="747"/>
      <c r="U26" s="748"/>
      <c r="V26" s="747"/>
      <c r="W26" s="748"/>
      <c r="X26" s="749"/>
      <c r="Y26" s="3130"/>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30"/>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30"/>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30"/>
      <c r="Q28" s="1889" t="str">
        <f t="shared" si="8"/>
        <v>毗邻道路的类型与等级</v>
      </c>
      <c r="R28" s="751" t="s">
        <v>25</v>
      </c>
      <c r="S28" s="752">
        <f t="shared" si="10"/>
        <v>100</v>
      </c>
      <c r="T28" s="751" t="s">
        <v>25</v>
      </c>
      <c r="U28" s="752">
        <f t="shared" si="11"/>
        <v>100</v>
      </c>
      <c r="V28" s="751" t="s">
        <v>25</v>
      </c>
      <c r="W28" s="752">
        <f t="shared" si="12"/>
        <v>100</v>
      </c>
      <c r="X28" s="1890"/>
      <c r="Y28" s="3130"/>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30"/>
      <c r="Q29" s="1889"/>
      <c r="R29" s="751"/>
      <c r="S29" s="752"/>
      <c r="T29" s="751"/>
      <c r="U29" s="752"/>
      <c r="V29" s="751"/>
      <c r="W29" s="752"/>
      <c r="X29" s="1890"/>
      <c r="Y29" s="3130"/>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30"/>
      <c r="Q30" s="1889" t="str">
        <f t="shared" si="8"/>
        <v>土地级别</v>
      </c>
      <c r="R30" s="751" t="s">
        <v>25</v>
      </c>
      <c r="S30" s="752">
        <f t="shared" si="10"/>
        <v>100</v>
      </c>
      <c r="T30" s="751" t="s">
        <v>25</v>
      </c>
      <c r="U30" s="752">
        <f t="shared" si="11"/>
        <v>100</v>
      </c>
      <c r="V30" s="751" t="s">
        <v>25</v>
      </c>
      <c r="W30" s="752">
        <f t="shared" si="12"/>
        <v>100</v>
      </c>
      <c r="X30" s="1890"/>
      <c r="Y30" s="3130"/>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30"/>
      <c r="Q31" s="1889">
        <f t="shared" si="8"/>
        <v>111</v>
      </c>
      <c r="R31" s="751" t="s">
        <v>25</v>
      </c>
      <c r="S31" s="752">
        <f t="shared" si="10"/>
        <v>100</v>
      </c>
      <c r="T31" s="751" t="s">
        <v>25</v>
      </c>
      <c r="U31" s="752">
        <f t="shared" si="11"/>
        <v>100</v>
      </c>
      <c r="V31" s="751" t="s">
        <v>25</v>
      </c>
      <c r="W31" s="752">
        <f t="shared" si="12"/>
        <v>100</v>
      </c>
      <c r="X31" s="1890"/>
      <c r="Y31" s="3130"/>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7" t="s">
        <v>2371</v>
      </c>
      <c r="Q32" s="1889">
        <f t="shared" si="8"/>
        <v>111</v>
      </c>
      <c r="R32" s="751" t="s">
        <v>25</v>
      </c>
      <c r="S32" s="752">
        <f t="shared" si="10"/>
        <v>100</v>
      </c>
      <c r="T32" s="751" t="s">
        <v>25</v>
      </c>
      <c r="U32" s="752">
        <f t="shared" si="11"/>
        <v>100</v>
      </c>
      <c r="V32" s="751" t="s">
        <v>25</v>
      </c>
      <c r="W32" s="752">
        <f t="shared" si="12"/>
        <v>100</v>
      </c>
      <c r="X32" s="1890"/>
      <c r="Y32" s="3134"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34"/>
      <c r="Q33" s="1889">
        <f t="shared" si="8"/>
        <v>111</v>
      </c>
      <c r="R33" s="754" t="s">
        <v>25</v>
      </c>
      <c r="S33" s="755">
        <f t="shared" si="10"/>
        <v>100</v>
      </c>
      <c r="T33" s="754" t="s">
        <v>25</v>
      </c>
      <c r="U33" s="755">
        <f t="shared" si="11"/>
        <v>100</v>
      </c>
      <c r="V33" s="754" t="s">
        <v>25</v>
      </c>
      <c r="W33" s="755">
        <f t="shared" si="12"/>
        <v>100</v>
      </c>
      <c r="X33" s="756"/>
      <c r="Y33" s="3134"/>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34"/>
      <c r="Q34" s="1889" t="str">
        <f>B34</f>
        <v>宗地面积</v>
      </c>
      <c r="R34" s="751" t="s">
        <v>25</v>
      </c>
      <c r="S34" s="752" t="e">
        <f t="shared" si="10"/>
        <v>#N/A</v>
      </c>
      <c r="T34" s="751" t="s">
        <v>25</v>
      </c>
      <c r="U34" s="752" t="e">
        <f t="shared" si="11"/>
        <v>#N/A</v>
      </c>
      <c r="V34" s="751" t="s">
        <v>25</v>
      </c>
      <c r="W34" s="752" t="e">
        <f t="shared" si="12"/>
        <v>#N/A</v>
      </c>
      <c r="X34" s="1890"/>
      <c r="Y34" s="3134"/>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34"/>
      <c r="Q35" s="1889" t="str">
        <f t="shared" ref="Q35:Q40" si="14">B35</f>
        <v>宗地形状</v>
      </c>
      <c r="R35" s="751" t="s">
        <v>25</v>
      </c>
      <c r="S35" s="752">
        <f t="shared" si="10"/>
        <v>100</v>
      </c>
      <c r="T35" s="751" t="s">
        <v>25</v>
      </c>
      <c r="U35" s="752">
        <f t="shared" si="11"/>
        <v>100</v>
      </c>
      <c r="V35" s="751" t="s">
        <v>25</v>
      </c>
      <c r="W35" s="752">
        <f t="shared" si="12"/>
        <v>100</v>
      </c>
      <c r="X35" s="1890"/>
      <c r="Y35" s="3134"/>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34"/>
      <c r="Q36" s="1889" t="str">
        <f t="shared" si="14"/>
        <v>宗地开发程度</v>
      </c>
      <c r="R36" s="747" t="s">
        <v>25</v>
      </c>
      <c r="S36" s="748">
        <f t="shared" si="10"/>
        <v>100</v>
      </c>
      <c r="T36" s="747" t="s">
        <v>25</v>
      </c>
      <c r="U36" s="748">
        <f t="shared" si="11"/>
        <v>100</v>
      </c>
      <c r="V36" s="747" t="s">
        <v>25</v>
      </c>
      <c r="W36" s="748">
        <f t="shared" si="12"/>
        <v>100</v>
      </c>
      <c r="X36" s="749"/>
      <c r="Y36" s="3134"/>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34" t="s">
        <v>2371</v>
      </c>
      <c r="Q37" s="1889" t="str">
        <f t="shared" si="14"/>
        <v>工程地质条件</v>
      </c>
      <c r="R37" s="751" t="s">
        <v>25</v>
      </c>
      <c r="S37" s="752">
        <f t="shared" si="10"/>
        <v>100</v>
      </c>
      <c r="T37" s="751" t="s">
        <v>25</v>
      </c>
      <c r="U37" s="752">
        <f t="shared" si="11"/>
        <v>100</v>
      </c>
      <c r="V37" s="751" t="s">
        <v>25</v>
      </c>
      <c r="W37" s="752">
        <f t="shared" si="12"/>
        <v>100</v>
      </c>
      <c r="X37" s="1890"/>
      <c r="Y37" s="3134"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34"/>
      <c r="Q38" s="1889">
        <f t="shared" si="14"/>
        <v>111</v>
      </c>
      <c r="R38" s="751" t="s">
        <v>25</v>
      </c>
      <c r="S38" s="752">
        <f t="shared" si="10"/>
        <v>100</v>
      </c>
      <c r="T38" s="751" t="s">
        <v>25</v>
      </c>
      <c r="U38" s="752">
        <f t="shared" si="11"/>
        <v>100</v>
      </c>
      <c r="V38" s="751" t="s">
        <v>25</v>
      </c>
      <c r="W38" s="752">
        <f t="shared" si="12"/>
        <v>100</v>
      </c>
      <c r="X38" s="1890"/>
      <c r="Y38" s="3134"/>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34"/>
      <c r="Q39" s="1889">
        <f t="shared" si="14"/>
        <v>111</v>
      </c>
      <c r="R39" s="751" t="s">
        <v>25</v>
      </c>
      <c r="S39" s="752">
        <f t="shared" si="10"/>
        <v>100</v>
      </c>
      <c r="T39" s="751" t="s">
        <v>25</v>
      </c>
      <c r="U39" s="752">
        <f t="shared" si="11"/>
        <v>100</v>
      </c>
      <c r="V39" s="751" t="s">
        <v>25</v>
      </c>
      <c r="W39" s="752">
        <f t="shared" si="12"/>
        <v>100</v>
      </c>
      <c r="X39" s="1890"/>
      <c r="Y39" s="3134"/>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34"/>
      <c r="Q40" s="1889">
        <f t="shared" si="14"/>
        <v>111</v>
      </c>
      <c r="R40" s="754" t="s">
        <v>25</v>
      </c>
      <c r="S40" s="755">
        <f t="shared" si="10"/>
        <v>100</v>
      </c>
      <c r="T40" s="754" t="s">
        <v>25</v>
      </c>
      <c r="U40" s="755">
        <f t="shared" si="11"/>
        <v>100</v>
      </c>
      <c r="V40" s="754" t="s">
        <v>25</v>
      </c>
      <c r="W40" s="755">
        <f t="shared" si="12"/>
        <v>100</v>
      </c>
      <c r="X40" s="756"/>
      <c r="Y40" s="3134"/>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26" t="str">
        <f>A41</f>
        <v>成交单价</v>
      </c>
      <c r="Q41" s="3126"/>
      <c r="R41" s="3163">
        <f>E41</f>
        <v>0</v>
      </c>
      <c r="S41" s="3163"/>
      <c r="T41" s="3163">
        <f>G41</f>
        <v>0</v>
      </c>
      <c r="U41" s="3163"/>
      <c r="V41" s="3163">
        <f>I41</f>
        <v>0</v>
      </c>
      <c r="W41" s="3163"/>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26" t="str">
        <f>A42</f>
        <v>比较价值（元/平方米）</v>
      </c>
      <c r="Q42" s="3126"/>
      <c r="R42" s="3178" t="e">
        <f>ROUND(PRODUCT(R41,AA7:AA40),0)</f>
        <v>#DIV/0!</v>
      </c>
      <c r="S42" s="3178"/>
      <c r="T42" s="3178" t="e">
        <f>ROUND(PRODUCT(T41,AB7:AB40),0)</f>
        <v>#DIV/0!</v>
      </c>
      <c r="U42" s="3178"/>
      <c r="V42" s="3178" t="e">
        <f>ROUND(PRODUCT(V41,AC7:AC40),0)</f>
        <v>#DIV/0!</v>
      </c>
      <c r="W42" s="317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23" t="str">
        <f>A43</f>
        <v>估价对象XX用房的比较价值（楼面单价，元/平方米）</v>
      </c>
      <c r="Q43" s="3124"/>
      <c r="R43" s="3179" t="e">
        <f>ROUND(AVERAGE(R42:V42),0)</f>
        <v>#DIV/0!</v>
      </c>
      <c r="S43" s="3179"/>
      <c r="T43" s="3179"/>
      <c r="U43" s="3179"/>
      <c r="V43" s="3179"/>
      <c r="W43" s="317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90" zoomScaleNormal="90" zoomScaleSheetLayoutView="90" workbookViewId="0">
      <selection activeCell="I20" sqref="I20"/>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1</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19185</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83"/>
      <c r="B4" s="3184"/>
      <c r="C4" s="3184"/>
      <c r="D4" s="3185"/>
      <c r="E4" s="3185"/>
      <c r="F4" s="3185"/>
      <c r="G4" s="3185"/>
      <c r="H4" s="3185"/>
      <c r="I4" s="3185"/>
      <c r="J4" s="3186"/>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7"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8"/>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80" t="s">
        <v>2633</v>
      </c>
      <c r="X8" s="3181"/>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8"/>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82"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8"/>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82"/>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8"/>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82"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7"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82"/>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89"/>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82"/>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189"/>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90"/>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7">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8"/>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19185</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1</v>
      </c>
      <c r="E29" s="970">
        <f ca="1">ROUND(C29*D29,0)</f>
        <v>19185</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99"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200"/>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200"/>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201"/>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91" t="s">
        <v>2779</v>
      </c>
      <c r="B90" s="3191"/>
      <c r="C90" s="3191"/>
      <c r="D90" s="3191"/>
      <c r="E90" s="3191"/>
      <c r="F90" s="3191"/>
      <c r="G90" s="3191"/>
      <c r="H90" s="3191"/>
      <c r="I90" s="3191"/>
      <c r="J90" s="3191"/>
      <c r="K90" s="2677"/>
      <c r="L90" s="2677"/>
      <c r="M90" s="2677"/>
      <c r="N90" s="2677"/>
    </row>
    <row r="91" spans="1:37">
      <c r="A91" s="3193" t="s">
        <v>2780</v>
      </c>
      <c r="B91" s="3193" t="s">
        <v>2781</v>
      </c>
      <c r="C91" s="2625" t="s">
        <v>2782</v>
      </c>
      <c r="D91" s="2626"/>
      <c r="E91" s="2626"/>
      <c r="F91" s="2626"/>
      <c r="G91" s="2626"/>
      <c r="H91" s="2626"/>
      <c r="I91" s="2626"/>
      <c r="J91" s="2678"/>
      <c r="K91" s="2679"/>
      <c r="L91" s="2679"/>
      <c r="M91" s="2679"/>
      <c r="N91" s="2679"/>
    </row>
    <row r="92" spans="1:37">
      <c r="A92" s="3193"/>
      <c r="B92" s="3193"/>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94"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95"/>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95"/>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95"/>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95"/>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95"/>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95"/>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96"/>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94"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95"/>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95"/>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95"/>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95"/>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95"/>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95"/>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95"/>
      <c r="B108" s="3197"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96"/>
      <c r="B109" s="3198"/>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92" t="s">
        <v>2787</v>
      </c>
      <c r="B110" s="3192"/>
      <c r="C110" s="3192"/>
      <c r="D110" s="3192"/>
      <c r="E110" s="3192"/>
      <c r="F110" s="3192"/>
      <c r="G110" s="3192"/>
      <c r="H110" s="3192"/>
      <c r="I110" s="3192"/>
      <c r="J110" s="3192"/>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2" t="s">
        <v>787</v>
      </c>
      <c r="B1" s="320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2" t="s">
        <v>105</v>
      </c>
      <c r="B1" s="3202"/>
      <c r="C1" s="3202"/>
      <c r="D1" s="3202"/>
      <c r="E1" s="3202"/>
      <c r="F1" s="320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3" t="s">
        <v>118</v>
      </c>
      <c r="B2" s="3203"/>
      <c r="C2" s="3203"/>
      <c r="D2" s="3203"/>
      <c r="E2" s="3203"/>
      <c r="F2" s="320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6" t="s">
        <v>132</v>
      </c>
      <c r="B18" s="905" t="s">
        <v>517</v>
      </c>
      <c r="C18" s="906" t="s">
        <v>518</v>
      </c>
      <c r="D18" s="907"/>
      <c r="E18" s="905">
        <v>1</v>
      </c>
      <c r="F18" s="908" t="s">
        <v>519</v>
      </c>
      <c r="G18" s="909"/>
      <c r="H18" s="901"/>
      <c r="I18" s="901"/>
    </row>
    <row r="19" spans="1:9" s="910" customFormat="1" ht="19.5" customHeight="1">
      <c r="A19" s="3206"/>
      <c r="B19" s="3206" t="s">
        <v>520</v>
      </c>
      <c r="C19" s="906" t="s">
        <v>521</v>
      </c>
      <c r="D19" s="907"/>
      <c r="E19" s="905">
        <v>0.9</v>
      </c>
      <c r="F19" s="908" t="s">
        <v>522</v>
      </c>
      <c r="G19" s="909"/>
      <c r="H19" s="901"/>
      <c r="I19" s="901"/>
    </row>
    <row r="20" spans="1:9" s="910" customFormat="1" ht="19.5" customHeight="1">
      <c r="A20" s="3206"/>
      <c r="B20" s="3206"/>
      <c r="C20" s="906" t="s">
        <v>523</v>
      </c>
      <c r="D20" s="907"/>
      <c r="E20" s="905">
        <v>1.1000000000000001</v>
      </c>
      <c r="F20" s="908" t="s">
        <v>524</v>
      </c>
      <c r="G20" s="909"/>
      <c r="H20" s="901"/>
      <c r="I20" s="901"/>
    </row>
    <row r="21" spans="1:9" s="910" customFormat="1" ht="19.5" customHeight="1">
      <c r="A21" s="3206"/>
      <c r="B21" s="3206"/>
      <c r="C21" s="906" t="s">
        <v>525</v>
      </c>
      <c r="D21" s="907"/>
      <c r="E21" s="905">
        <v>0.8</v>
      </c>
      <c r="F21" s="908" t="s">
        <v>526</v>
      </c>
      <c r="G21" s="909"/>
      <c r="H21" s="901"/>
      <c r="I21" s="901"/>
    </row>
    <row r="22" spans="1:9" s="910" customFormat="1" ht="19.5" customHeight="1">
      <c r="A22" s="3206"/>
      <c r="B22" s="3206"/>
      <c r="C22" s="906" t="s">
        <v>527</v>
      </c>
      <c r="D22" s="907"/>
      <c r="E22" s="905">
        <v>0.5</v>
      </c>
      <c r="F22" s="908"/>
      <c r="G22" s="909"/>
      <c r="H22" s="901"/>
      <c r="I22" s="901"/>
    </row>
    <row r="23" spans="1:9" s="910" customFormat="1" ht="19.5" customHeight="1">
      <c r="A23" s="3206" t="s">
        <v>133</v>
      </c>
      <c r="B23" s="905" t="s">
        <v>517</v>
      </c>
      <c r="C23" s="906" t="s">
        <v>528</v>
      </c>
      <c r="D23" s="907"/>
      <c r="E23" s="905">
        <v>1</v>
      </c>
      <c r="F23" s="908" t="s">
        <v>529</v>
      </c>
      <c r="G23" s="909"/>
      <c r="H23" s="901"/>
      <c r="I23" s="901"/>
    </row>
    <row r="24" spans="1:9" s="910" customFormat="1" ht="19.5" customHeight="1">
      <c r="A24" s="3206"/>
      <c r="B24" s="3206" t="s">
        <v>520</v>
      </c>
      <c r="C24" s="906" t="s">
        <v>530</v>
      </c>
      <c r="D24" s="907"/>
      <c r="E24" s="905">
        <v>0.5</v>
      </c>
      <c r="F24" s="908"/>
      <c r="G24" s="909"/>
      <c r="H24" s="901"/>
      <c r="I24" s="901"/>
    </row>
    <row r="25" spans="1:9" s="910" customFormat="1" ht="19.5" customHeight="1">
      <c r="A25" s="3206"/>
      <c r="B25" s="3206"/>
      <c r="C25" s="906" t="s">
        <v>531</v>
      </c>
      <c r="D25" s="907"/>
      <c r="E25" s="905">
        <v>1.1000000000000001</v>
      </c>
      <c r="F25" s="908"/>
      <c r="G25" s="909"/>
      <c r="H25" s="901"/>
      <c r="I25" s="901"/>
    </row>
    <row r="26" spans="1:9" s="910" customFormat="1" ht="19.5" customHeight="1">
      <c r="A26" s="3206"/>
      <c r="B26" s="3206"/>
      <c r="C26" s="906" t="s">
        <v>532</v>
      </c>
      <c r="D26" s="907"/>
      <c r="E26" s="905">
        <v>1.1000000000000001</v>
      </c>
      <c r="F26" s="908"/>
      <c r="G26" s="909"/>
      <c r="H26" s="901"/>
      <c r="I26" s="901"/>
    </row>
    <row r="27" spans="1:9" s="910" customFormat="1" ht="19.5" customHeight="1">
      <c r="A27" s="3206"/>
      <c r="B27" s="3206"/>
      <c r="C27" s="906" t="s">
        <v>533</v>
      </c>
      <c r="D27" s="907"/>
      <c r="E27" s="905">
        <v>0.9</v>
      </c>
      <c r="F27" s="908" t="s">
        <v>534</v>
      </c>
      <c r="G27" s="909"/>
      <c r="H27" s="901"/>
      <c r="I27" s="901"/>
    </row>
    <row r="28" spans="1:9" s="910" customFormat="1" ht="19.5" customHeight="1">
      <c r="A28" s="3206"/>
      <c r="B28" s="3206"/>
      <c r="C28" s="906" t="s">
        <v>535</v>
      </c>
      <c r="D28" s="907"/>
      <c r="E28" s="905">
        <v>0.9</v>
      </c>
      <c r="F28" s="908" t="s">
        <v>536</v>
      </c>
      <c r="G28" s="909"/>
      <c r="H28" s="901"/>
      <c r="I28" s="901"/>
    </row>
    <row r="29" spans="1:9" s="910" customFormat="1" ht="19.5" customHeight="1">
      <c r="A29" s="3206"/>
      <c r="B29" s="3206"/>
      <c r="C29" s="906" t="s">
        <v>537</v>
      </c>
      <c r="D29" s="907"/>
      <c r="E29" s="905">
        <v>0.9</v>
      </c>
      <c r="F29" s="908" t="s">
        <v>538</v>
      </c>
      <c r="G29" s="909"/>
      <c r="H29" s="901"/>
      <c r="I29" s="901"/>
    </row>
    <row r="30" spans="1:9" s="910" customFormat="1" ht="19.5" customHeight="1">
      <c r="A30" s="3206"/>
      <c r="B30" s="3206"/>
      <c r="C30" s="906" t="s">
        <v>539</v>
      </c>
      <c r="D30" s="907"/>
      <c r="E30" s="905">
        <v>0.9</v>
      </c>
      <c r="F30" s="908" t="s">
        <v>540</v>
      </c>
      <c r="G30" s="909"/>
      <c r="H30" s="901"/>
      <c r="I30" s="901"/>
    </row>
    <row r="31" spans="1:9" s="910" customFormat="1" ht="19.5" customHeight="1">
      <c r="A31" s="3206"/>
      <c r="B31" s="3206"/>
      <c r="C31" s="906" t="s">
        <v>541</v>
      </c>
      <c r="D31" s="907"/>
      <c r="E31" s="905">
        <v>0.8</v>
      </c>
      <c r="F31" s="908" t="s">
        <v>542</v>
      </c>
      <c r="G31" s="909"/>
      <c r="H31" s="901"/>
      <c r="I31" s="901"/>
    </row>
    <row r="32" spans="1:9" s="910" customFormat="1" ht="19.5" customHeight="1">
      <c r="A32" s="3206"/>
      <c r="B32" s="3206"/>
      <c r="C32" s="906" t="s">
        <v>543</v>
      </c>
      <c r="D32" s="907"/>
      <c r="E32" s="905">
        <v>0.8</v>
      </c>
      <c r="F32" s="908" t="s">
        <v>544</v>
      </c>
      <c r="G32" s="909"/>
      <c r="H32" s="901"/>
      <c r="I32" s="901"/>
    </row>
    <row r="33" spans="1:9" s="910" customFormat="1" ht="19.5" customHeight="1">
      <c r="A33" s="3206" t="s">
        <v>134</v>
      </c>
      <c r="B33" s="905" t="s">
        <v>517</v>
      </c>
      <c r="C33" s="906" t="s">
        <v>545</v>
      </c>
      <c r="D33" s="907"/>
      <c r="E33" s="905">
        <v>1</v>
      </c>
      <c r="F33" s="908" t="s">
        <v>546</v>
      </c>
      <c r="G33" s="909"/>
      <c r="H33" s="901"/>
      <c r="I33" s="901"/>
    </row>
    <row r="34" spans="1:9" s="910" customFormat="1" ht="19.5" customHeight="1">
      <c r="A34" s="3206"/>
      <c r="B34" s="905" t="s">
        <v>520</v>
      </c>
      <c r="C34" s="906" t="s">
        <v>547</v>
      </c>
      <c r="D34" s="907"/>
      <c r="E34" s="905">
        <v>1.5</v>
      </c>
      <c r="F34" s="908" t="s">
        <v>548</v>
      </c>
      <c r="G34" s="909"/>
      <c r="H34" s="901"/>
      <c r="I34" s="901"/>
    </row>
    <row r="35" spans="1:9" s="910" customFormat="1" ht="19.5" customHeight="1">
      <c r="A35" s="3206" t="s">
        <v>135</v>
      </c>
      <c r="B35" s="905" t="s">
        <v>517</v>
      </c>
      <c r="C35" s="906" t="s">
        <v>549</v>
      </c>
      <c r="D35" s="907"/>
      <c r="E35" s="905">
        <v>1</v>
      </c>
      <c r="F35" s="908" t="s">
        <v>550</v>
      </c>
      <c r="G35" s="909"/>
      <c r="H35" s="901"/>
      <c r="I35" s="901"/>
    </row>
    <row r="36" spans="1:9" s="910" customFormat="1" ht="19.5" customHeight="1">
      <c r="A36" s="3206"/>
      <c r="B36" s="3206" t="s">
        <v>520</v>
      </c>
      <c r="C36" s="906" t="s">
        <v>551</v>
      </c>
      <c r="D36" s="907"/>
      <c r="E36" s="905">
        <v>1</v>
      </c>
      <c r="F36" s="908" t="s">
        <v>552</v>
      </c>
      <c r="G36" s="909"/>
      <c r="H36" s="901"/>
      <c r="I36" s="901"/>
    </row>
    <row r="37" spans="1:9" s="910" customFormat="1" ht="19.5" customHeight="1">
      <c r="A37" s="3206"/>
      <c r="B37" s="3206"/>
      <c r="C37" s="906" t="s">
        <v>553</v>
      </c>
      <c r="D37" s="907"/>
      <c r="E37" s="905">
        <v>1.5</v>
      </c>
      <c r="F37" s="908" t="s">
        <v>554</v>
      </c>
      <c r="G37" s="909"/>
      <c r="H37" s="901"/>
      <c r="I37" s="901"/>
    </row>
    <row r="38" spans="1:9" s="910" customFormat="1" ht="19.5" customHeight="1">
      <c r="A38" s="3206"/>
      <c r="B38" s="3206"/>
      <c r="C38" s="906" t="s">
        <v>555</v>
      </c>
      <c r="D38" s="907"/>
      <c r="E38" s="905">
        <v>1</v>
      </c>
      <c r="F38" s="908" t="s">
        <v>556</v>
      </c>
      <c r="G38" s="909"/>
      <c r="H38" s="901"/>
      <c r="I38" s="901"/>
    </row>
    <row r="39" spans="1:9" s="910" customFormat="1" ht="19.5" customHeight="1">
      <c r="A39" s="3206"/>
      <c r="B39" s="320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6" t="s">
        <v>571</v>
      </c>
      <c r="C61" s="819" t="s">
        <v>572</v>
      </c>
      <c r="D61" s="819" t="s">
        <v>573</v>
      </c>
      <c r="E61" s="918">
        <v>0.5</v>
      </c>
      <c r="F61" s="905">
        <v>80</v>
      </c>
    </row>
    <row r="62" spans="1:8" s="901" customFormat="1" ht="24">
      <c r="A62" s="905">
        <v>2</v>
      </c>
      <c r="B62" s="3206"/>
      <c r="C62" s="819" t="s">
        <v>574</v>
      </c>
      <c r="D62" s="819" t="s">
        <v>575</v>
      </c>
      <c r="E62" s="918">
        <v>0.5</v>
      </c>
      <c r="F62" s="905">
        <v>80</v>
      </c>
    </row>
    <row r="63" spans="1:8" s="901" customFormat="1" ht="36">
      <c r="A63" s="905">
        <v>3</v>
      </c>
      <c r="B63" s="3206"/>
      <c r="C63" s="819" t="s">
        <v>576</v>
      </c>
      <c r="D63" s="819" t="s">
        <v>577</v>
      </c>
      <c r="E63" s="918">
        <v>0.5</v>
      </c>
      <c r="F63" s="905">
        <v>80</v>
      </c>
    </row>
    <row r="64" spans="1:8" s="901" customFormat="1" ht="36">
      <c r="A64" s="905">
        <v>4</v>
      </c>
      <c r="B64" s="3206"/>
      <c r="C64" s="819" t="s">
        <v>578</v>
      </c>
      <c r="D64" s="819" t="s">
        <v>579</v>
      </c>
      <c r="E64" s="918">
        <v>0.4</v>
      </c>
      <c r="F64" s="905">
        <v>60</v>
      </c>
    </row>
    <row r="65" spans="1:6" s="901" customFormat="1" ht="36">
      <c r="A65" s="905">
        <v>5</v>
      </c>
      <c r="B65" s="3206"/>
      <c r="C65" s="819" t="s">
        <v>580</v>
      </c>
      <c r="D65" s="819" t="s">
        <v>581</v>
      </c>
      <c r="E65" s="918">
        <v>0.2</v>
      </c>
      <c r="F65" s="905">
        <v>30</v>
      </c>
    </row>
    <row r="66" spans="1:6" s="901" customFormat="1" ht="36">
      <c r="A66" s="905">
        <v>6</v>
      </c>
      <c r="B66" s="3206"/>
      <c r="C66" s="819" t="s">
        <v>582</v>
      </c>
      <c r="D66" s="819" t="s">
        <v>583</v>
      </c>
      <c r="E66" s="918">
        <v>0.3</v>
      </c>
      <c r="F66" s="905">
        <v>50</v>
      </c>
    </row>
    <row r="67" spans="1:6" s="901" customFormat="1" ht="36">
      <c r="A67" s="905">
        <v>7</v>
      </c>
      <c r="B67" s="3206"/>
      <c r="C67" s="819" t="s">
        <v>584</v>
      </c>
      <c r="D67" s="819" t="s">
        <v>585</v>
      </c>
      <c r="E67" s="918">
        <v>0.2</v>
      </c>
      <c r="F67" s="905">
        <v>30</v>
      </c>
    </row>
    <row r="68" spans="1:6" s="901" customFormat="1" ht="36">
      <c r="A68" s="905">
        <v>8</v>
      </c>
      <c r="B68" s="3206"/>
      <c r="C68" s="819" t="s">
        <v>586</v>
      </c>
      <c r="D68" s="819" t="s">
        <v>587</v>
      </c>
      <c r="E68" s="918">
        <v>0.2</v>
      </c>
      <c r="F68" s="905">
        <v>30</v>
      </c>
    </row>
    <row r="69" spans="1:6" s="901" customFormat="1" ht="36">
      <c r="A69" s="905">
        <v>9</v>
      </c>
      <c r="B69" s="3206"/>
      <c r="C69" s="819" t="s">
        <v>588</v>
      </c>
      <c r="D69" s="819" t="s">
        <v>589</v>
      </c>
      <c r="E69" s="918">
        <v>0.2</v>
      </c>
      <c r="F69" s="905">
        <v>30</v>
      </c>
    </row>
    <row r="70" spans="1:6" s="901" customFormat="1" ht="48">
      <c r="A70" s="905">
        <v>10</v>
      </c>
      <c r="B70" s="3206"/>
      <c r="C70" s="819" t="s">
        <v>590</v>
      </c>
      <c r="D70" s="819" t="s">
        <v>591</v>
      </c>
      <c r="E70" s="918">
        <v>0.2</v>
      </c>
      <c r="F70" s="905">
        <v>30</v>
      </c>
    </row>
    <row r="71" spans="1:6" s="901" customFormat="1" ht="48">
      <c r="A71" s="905">
        <v>11</v>
      </c>
      <c r="B71" s="3206"/>
      <c r="C71" s="819" t="s">
        <v>592</v>
      </c>
      <c r="D71" s="819" t="s">
        <v>593</v>
      </c>
      <c r="E71" s="918">
        <v>0.2</v>
      </c>
      <c r="F71" s="905">
        <v>30</v>
      </c>
    </row>
    <row r="72" spans="1:6" s="901" customFormat="1" ht="36">
      <c r="A72" s="905">
        <v>12</v>
      </c>
      <c r="B72" s="3206"/>
      <c r="C72" s="819" t="s">
        <v>594</v>
      </c>
      <c r="D72" s="819" t="s">
        <v>595</v>
      </c>
      <c r="E72" s="918">
        <v>0.5</v>
      </c>
      <c r="F72" s="905">
        <v>80</v>
      </c>
    </row>
    <row r="73" spans="1:6" s="901" customFormat="1" ht="24">
      <c r="A73" s="905">
        <v>13</v>
      </c>
      <c r="B73" s="3206"/>
      <c r="C73" s="819" t="s">
        <v>596</v>
      </c>
      <c r="D73" s="819" t="s">
        <v>597</v>
      </c>
      <c r="E73" s="918">
        <v>0.4</v>
      </c>
      <c r="F73" s="905">
        <v>60</v>
      </c>
    </row>
    <row r="74" spans="1:6" s="901" customFormat="1" ht="24">
      <c r="A74" s="905">
        <v>14</v>
      </c>
      <c r="B74" s="3206"/>
      <c r="C74" s="819" t="s">
        <v>598</v>
      </c>
      <c r="D74" s="819" t="s">
        <v>599</v>
      </c>
      <c r="E74" s="918">
        <v>0.2</v>
      </c>
      <c r="F74" s="905">
        <v>30</v>
      </c>
    </row>
    <row r="75" spans="1:6" s="901" customFormat="1" ht="24">
      <c r="A75" s="905">
        <v>15</v>
      </c>
      <c r="B75" s="3206"/>
      <c r="C75" s="819" t="s">
        <v>600</v>
      </c>
      <c r="D75" s="819" t="s">
        <v>601</v>
      </c>
      <c r="E75" s="918">
        <v>0.2</v>
      </c>
      <c r="F75" s="905">
        <v>30</v>
      </c>
    </row>
    <row r="76" spans="1:6" s="901" customFormat="1" ht="24">
      <c r="A76" s="905">
        <v>16</v>
      </c>
      <c r="B76" s="3206" t="s">
        <v>602</v>
      </c>
      <c r="C76" s="819" t="s">
        <v>603</v>
      </c>
      <c r="D76" s="819" t="s">
        <v>604</v>
      </c>
      <c r="E76" s="918">
        <v>0.5</v>
      </c>
      <c r="F76" s="905">
        <v>80</v>
      </c>
    </row>
    <row r="77" spans="1:6" s="901" customFormat="1" ht="24">
      <c r="A77" s="905">
        <v>17</v>
      </c>
      <c r="B77" s="3206"/>
      <c r="C77" s="819" t="s">
        <v>605</v>
      </c>
      <c r="D77" s="819" t="s">
        <v>606</v>
      </c>
      <c r="E77" s="918">
        <v>0.5</v>
      </c>
      <c r="F77" s="905">
        <v>80</v>
      </c>
    </row>
    <row r="78" spans="1:6" s="901" customFormat="1" ht="24">
      <c r="A78" s="905">
        <v>18</v>
      </c>
      <c r="B78" s="3206"/>
      <c r="C78" s="819" t="s">
        <v>607</v>
      </c>
      <c r="D78" s="819" t="s">
        <v>608</v>
      </c>
      <c r="E78" s="918">
        <v>0.2</v>
      </c>
      <c r="F78" s="905">
        <v>30</v>
      </c>
    </row>
    <row r="79" spans="1:6" s="901" customFormat="1" ht="24">
      <c r="A79" s="905">
        <v>19</v>
      </c>
      <c r="B79" s="3206"/>
      <c r="C79" s="819" t="s">
        <v>609</v>
      </c>
      <c r="D79" s="819" t="s">
        <v>610</v>
      </c>
      <c r="E79" s="918">
        <v>0.5</v>
      </c>
      <c r="F79" s="905">
        <v>80</v>
      </c>
    </row>
    <row r="80" spans="1:6" s="901" customFormat="1" ht="36">
      <c r="A80" s="905">
        <v>20</v>
      </c>
      <c r="B80" s="3206"/>
      <c r="C80" s="819" t="s">
        <v>611</v>
      </c>
      <c r="D80" s="819" t="s">
        <v>612</v>
      </c>
      <c r="E80" s="918">
        <v>0.2</v>
      </c>
      <c r="F80" s="905">
        <v>30</v>
      </c>
    </row>
    <row r="81" spans="1:6" s="901" customFormat="1" ht="36">
      <c r="A81" s="905">
        <v>21</v>
      </c>
      <c r="B81" s="3206"/>
      <c r="C81" s="819" t="s">
        <v>613</v>
      </c>
      <c r="D81" s="819" t="s">
        <v>614</v>
      </c>
      <c r="E81" s="918">
        <v>0.2</v>
      </c>
      <c r="F81" s="905">
        <v>30</v>
      </c>
    </row>
    <row r="82" spans="1:6" s="901" customFormat="1" ht="48">
      <c r="A82" s="905">
        <v>22</v>
      </c>
      <c r="B82" s="3206"/>
      <c r="C82" s="819" t="s">
        <v>615</v>
      </c>
      <c r="D82" s="819" t="s">
        <v>616</v>
      </c>
      <c r="E82" s="918">
        <v>0.2</v>
      </c>
      <c r="F82" s="905">
        <v>30</v>
      </c>
    </row>
    <row r="83" spans="1:6" s="901" customFormat="1" ht="48">
      <c r="A83" s="905">
        <v>23</v>
      </c>
      <c r="B83" s="3206"/>
      <c r="C83" s="819" t="s">
        <v>617</v>
      </c>
      <c r="D83" s="819" t="s">
        <v>618</v>
      </c>
      <c r="E83" s="918">
        <v>0.2</v>
      </c>
      <c r="F83" s="905">
        <v>30</v>
      </c>
    </row>
    <row r="84" spans="1:6" s="901" customFormat="1" ht="36">
      <c r="A84" s="905">
        <v>24</v>
      </c>
      <c r="B84" s="3206"/>
      <c r="C84" s="819" t="s">
        <v>619</v>
      </c>
      <c r="D84" s="819" t="s">
        <v>620</v>
      </c>
      <c r="E84" s="918">
        <v>0.2</v>
      </c>
      <c r="F84" s="905">
        <v>30</v>
      </c>
    </row>
    <row r="85" spans="1:6" s="901" customFormat="1" ht="36">
      <c r="A85" s="905">
        <v>25</v>
      </c>
      <c r="B85" s="3206"/>
      <c r="C85" s="819" t="s">
        <v>621</v>
      </c>
      <c r="D85" s="819" t="s">
        <v>622</v>
      </c>
      <c r="E85" s="918">
        <v>0.5</v>
      </c>
      <c r="F85" s="905">
        <v>80</v>
      </c>
    </row>
    <row r="86" spans="1:6" s="901" customFormat="1" ht="36">
      <c r="A86" s="905">
        <v>26</v>
      </c>
      <c r="B86" s="3206"/>
      <c r="C86" s="819" t="s">
        <v>623</v>
      </c>
      <c r="D86" s="819" t="s">
        <v>624</v>
      </c>
      <c r="E86" s="918">
        <v>0.2</v>
      </c>
      <c r="F86" s="905">
        <v>30</v>
      </c>
    </row>
    <row r="87" spans="1:6" s="901" customFormat="1" ht="36">
      <c r="A87" s="905">
        <v>27</v>
      </c>
      <c r="B87" s="3206"/>
      <c r="C87" s="819" t="s">
        <v>625</v>
      </c>
      <c r="D87" s="819" t="s">
        <v>626</v>
      </c>
      <c r="E87" s="918">
        <v>0.2</v>
      </c>
      <c r="F87" s="905">
        <v>30</v>
      </c>
    </row>
    <row r="88" spans="1:6" s="901" customFormat="1" ht="36">
      <c r="A88" s="905">
        <v>28</v>
      </c>
      <c r="B88" s="3206"/>
      <c r="C88" s="819" t="s">
        <v>627</v>
      </c>
      <c r="D88" s="819" t="s">
        <v>628</v>
      </c>
      <c r="E88" s="918">
        <v>0.2</v>
      </c>
      <c r="F88" s="905">
        <v>30</v>
      </c>
    </row>
    <row r="89" spans="1:6" s="901" customFormat="1" ht="24">
      <c r="A89" s="905">
        <v>29</v>
      </c>
      <c r="B89" s="3206"/>
      <c r="C89" s="819" t="s">
        <v>629</v>
      </c>
      <c r="D89" s="819" t="s">
        <v>630</v>
      </c>
      <c r="E89" s="918">
        <v>0.2</v>
      </c>
      <c r="F89" s="905">
        <v>30</v>
      </c>
    </row>
    <row r="90" spans="1:6" s="901" customFormat="1" ht="24">
      <c r="A90" s="905">
        <v>30</v>
      </c>
      <c r="B90" s="3206"/>
      <c r="C90" s="819" t="s">
        <v>631</v>
      </c>
      <c r="D90" s="819" t="s">
        <v>632</v>
      </c>
      <c r="E90" s="918">
        <v>0.2</v>
      </c>
      <c r="F90" s="905">
        <v>30</v>
      </c>
    </row>
    <row r="91" spans="1:6" s="901" customFormat="1" ht="36">
      <c r="A91" s="905">
        <v>31</v>
      </c>
      <c r="B91" s="3206"/>
      <c r="C91" s="819" t="s">
        <v>633</v>
      </c>
      <c r="D91" s="819" t="s">
        <v>634</v>
      </c>
      <c r="E91" s="918">
        <v>0.2</v>
      </c>
      <c r="F91" s="905">
        <v>30</v>
      </c>
    </row>
    <row r="92" spans="1:6" s="901" customFormat="1" ht="24">
      <c r="A92" s="905">
        <v>32</v>
      </c>
      <c r="B92" s="3206" t="s">
        <v>635</v>
      </c>
      <c r="C92" s="905" t="s">
        <v>636</v>
      </c>
      <c r="D92" s="819" t="s">
        <v>637</v>
      </c>
      <c r="E92" s="918">
        <v>0.2</v>
      </c>
      <c r="F92" s="905">
        <v>30</v>
      </c>
    </row>
    <row r="93" spans="1:6" s="901" customFormat="1" ht="36">
      <c r="A93" s="905">
        <v>33</v>
      </c>
      <c r="B93" s="3206"/>
      <c r="C93" s="905" t="s">
        <v>638</v>
      </c>
      <c r="D93" s="819" t="s">
        <v>639</v>
      </c>
      <c r="E93" s="918">
        <v>0.2</v>
      </c>
      <c r="F93" s="905">
        <v>30</v>
      </c>
    </row>
    <row r="94" spans="1:6" s="901" customFormat="1" ht="48">
      <c r="A94" s="905">
        <v>34</v>
      </c>
      <c r="B94" s="3206"/>
      <c r="C94" s="905" t="s">
        <v>640</v>
      </c>
      <c r="D94" s="819" t="s">
        <v>641</v>
      </c>
      <c r="E94" s="918">
        <v>0.2</v>
      </c>
      <c r="F94" s="905">
        <v>30</v>
      </c>
    </row>
    <row r="95" spans="1:6" s="901" customFormat="1" ht="36">
      <c r="A95" s="905">
        <v>35</v>
      </c>
      <c r="B95" s="3206"/>
      <c r="C95" s="905" t="s">
        <v>642</v>
      </c>
      <c r="D95" s="819" t="s">
        <v>643</v>
      </c>
      <c r="E95" s="918">
        <v>0.2</v>
      </c>
      <c r="F95" s="905">
        <v>30</v>
      </c>
    </row>
    <row r="96" spans="1:6" s="901" customFormat="1" ht="48">
      <c r="A96" s="905">
        <v>36</v>
      </c>
      <c r="B96" s="3206"/>
      <c r="C96" s="819" t="s">
        <v>644</v>
      </c>
      <c r="D96" s="819" t="s">
        <v>645</v>
      </c>
      <c r="E96" s="918">
        <v>0.2</v>
      </c>
      <c r="F96" s="905">
        <v>30</v>
      </c>
    </row>
    <row r="97" spans="1:6" s="901" customFormat="1" ht="36">
      <c r="A97" s="905">
        <v>37</v>
      </c>
      <c r="B97" s="3206"/>
      <c r="C97" s="905" t="s">
        <v>646</v>
      </c>
      <c r="D97" s="819" t="s">
        <v>647</v>
      </c>
      <c r="E97" s="918">
        <v>0.2</v>
      </c>
      <c r="F97" s="905">
        <v>30</v>
      </c>
    </row>
    <row r="98" spans="1:6" s="901" customFormat="1" ht="36">
      <c r="A98" s="905">
        <v>38</v>
      </c>
      <c r="B98" s="3206"/>
      <c r="C98" s="905" t="s">
        <v>648</v>
      </c>
      <c r="D98" s="819" t="s">
        <v>649</v>
      </c>
      <c r="E98" s="918">
        <v>0.2</v>
      </c>
      <c r="F98" s="905">
        <v>30</v>
      </c>
    </row>
    <row r="99" spans="1:6" s="901" customFormat="1" ht="36">
      <c r="A99" s="905">
        <v>39</v>
      </c>
      <c r="B99" s="3206" t="s">
        <v>650</v>
      </c>
      <c r="C99" s="905" t="s">
        <v>651</v>
      </c>
      <c r="D99" s="819" t="s">
        <v>652</v>
      </c>
      <c r="E99" s="918">
        <v>0.3</v>
      </c>
      <c r="F99" s="905">
        <v>50</v>
      </c>
    </row>
    <row r="100" spans="1:6" s="901" customFormat="1" ht="24">
      <c r="A100" s="905">
        <v>40</v>
      </c>
      <c r="B100" s="3206"/>
      <c r="C100" s="905" t="s">
        <v>653</v>
      </c>
      <c r="D100" s="819" t="s">
        <v>654</v>
      </c>
      <c r="E100" s="918">
        <v>0.2</v>
      </c>
      <c r="F100" s="905">
        <v>30</v>
      </c>
    </row>
    <row r="101" spans="1:6" s="901" customFormat="1" ht="36">
      <c r="A101" s="905">
        <v>41</v>
      </c>
      <c r="B101" s="320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6" t="s">
        <v>665</v>
      </c>
      <c r="C105" s="905" t="s">
        <v>666</v>
      </c>
      <c r="D105" s="819" t="s">
        <v>667</v>
      </c>
      <c r="E105" s="918">
        <v>0.2</v>
      </c>
      <c r="F105" s="905">
        <v>30</v>
      </c>
    </row>
    <row r="106" spans="1:6" s="901" customFormat="1" ht="36">
      <c r="A106" s="905">
        <v>46</v>
      </c>
      <c r="B106" s="3206"/>
      <c r="C106" s="905" t="s">
        <v>668</v>
      </c>
      <c r="D106" s="819" t="s">
        <v>669</v>
      </c>
      <c r="E106" s="918">
        <v>0.2</v>
      </c>
      <c r="F106" s="905">
        <v>30</v>
      </c>
    </row>
    <row r="107" spans="1:6" s="901" customFormat="1" ht="36">
      <c r="A107" s="905">
        <v>47</v>
      </c>
      <c r="B107" s="3206" t="s">
        <v>670</v>
      </c>
      <c r="C107" s="905" t="s">
        <v>671</v>
      </c>
      <c r="D107" s="819" t="s">
        <v>672</v>
      </c>
      <c r="E107" s="918">
        <v>0.3</v>
      </c>
      <c r="F107" s="905">
        <v>50</v>
      </c>
    </row>
    <row r="108" spans="1:6" s="901" customFormat="1" ht="36">
      <c r="A108" s="905">
        <v>48</v>
      </c>
      <c r="B108" s="320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6" t="s">
        <v>681</v>
      </c>
      <c r="C111" s="905" t="s">
        <v>682</v>
      </c>
      <c r="D111" s="819" t="s">
        <v>683</v>
      </c>
      <c r="E111" s="918">
        <v>0.2</v>
      </c>
      <c r="F111" s="905">
        <v>30</v>
      </c>
    </row>
    <row r="112" spans="1:6" s="901" customFormat="1" ht="24">
      <c r="A112" s="905">
        <v>52</v>
      </c>
      <c r="B112" s="3206"/>
      <c r="C112" s="905" t="s">
        <v>684</v>
      </c>
      <c r="D112" s="819" t="s">
        <v>685</v>
      </c>
      <c r="E112" s="918">
        <v>0.2</v>
      </c>
      <c r="F112" s="905">
        <v>30</v>
      </c>
    </row>
    <row r="113" spans="1:6" s="901" customFormat="1" ht="24">
      <c r="A113" s="905">
        <v>53</v>
      </c>
      <c r="B113" s="320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6" t="s">
        <v>694</v>
      </c>
      <c r="C116" s="905" t="s">
        <v>695</v>
      </c>
      <c r="D116" s="819" t="s">
        <v>696</v>
      </c>
      <c r="E116" s="918">
        <v>0.2</v>
      </c>
      <c r="F116" s="905">
        <v>30</v>
      </c>
    </row>
    <row r="117" spans="1:6" ht="36">
      <c r="A117" s="905">
        <v>57</v>
      </c>
      <c r="B117" s="320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2" t="s">
        <v>1033</v>
      </c>
      <c r="C1" s="3212"/>
      <c r="D1" s="3212"/>
      <c r="E1" s="3212"/>
      <c r="F1" s="3212"/>
      <c r="G1" s="3208" t="s">
        <v>1034</v>
      </c>
      <c r="H1" s="3208"/>
      <c r="I1" s="3208"/>
      <c r="J1" s="3208"/>
      <c r="K1" s="3208"/>
      <c r="L1" s="3208"/>
      <c r="N1" s="3208" t="s">
        <v>1035</v>
      </c>
      <c r="O1" s="3208"/>
      <c r="P1" s="3208"/>
      <c r="Q1" s="3208"/>
      <c r="R1" s="1539"/>
      <c r="S1" s="3208" t="s">
        <v>1036</v>
      </c>
      <c r="T1" s="3208"/>
      <c r="U1" s="3208"/>
      <c r="V1" s="3208"/>
      <c r="X1" s="3207" t="s">
        <v>1037</v>
      </c>
      <c r="Y1" s="3208"/>
      <c r="Z1" s="3208"/>
      <c r="AA1" s="3208"/>
      <c r="AB1" s="3208"/>
      <c r="AD1" s="3207" t="s">
        <v>1038</v>
      </c>
      <c r="AE1" s="3208"/>
      <c r="AF1" s="3208"/>
      <c r="AG1" s="3208"/>
      <c r="AH1" s="3208"/>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10"/>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10"/>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11"/>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9">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10"/>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10"/>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11"/>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9">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10"/>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10"/>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11"/>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9">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10"/>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10"/>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11"/>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9">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10">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10">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11">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9">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10">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10">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11">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9">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10">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10">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11">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9">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10">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10">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11">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9">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10">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10">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11">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9">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10">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10">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11">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9">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10">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10">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11">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9">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10">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10">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11">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9">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10">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10">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11">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9">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10">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10">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11">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73"/>
      <c r="C2" s="2873"/>
      <c r="D2" s="2873"/>
      <c r="E2" s="2873"/>
    </row>
    <row r="3" spans="1:5" ht="13.5" customHeight="1">
      <c r="A3" s="1920"/>
      <c r="B3" s="1920"/>
      <c r="C3" s="1920"/>
      <c r="D3" s="1920"/>
      <c r="E3" s="1920"/>
    </row>
    <row r="4" spans="1:5" ht="19.5" thickBot="1">
      <c r="A4" s="2874" t="str">
        <f>IF(项目基本情况!D5="房地产市场价值","估价结果一览表（市场价值不需本页表格)","估价结果一览表")</f>
        <v>估价结果一览表</v>
      </c>
      <c r="B4" s="2874"/>
      <c r="C4" s="2874"/>
      <c r="D4" s="2874"/>
      <c r="E4" s="2874"/>
    </row>
    <row r="5" spans="1:5" ht="14.25" customHeight="1" thickTop="1">
      <c r="A5" s="1917"/>
      <c r="B5" s="1921" t="s">
        <v>742</v>
      </c>
      <c r="C5" s="2875" t="s">
        <v>783</v>
      </c>
      <c r="D5" s="2876"/>
      <c r="E5" s="1917"/>
    </row>
    <row r="6" spans="1:5" ht="14.25">
      <c r="A6" s="1917"/>
      <c r="B6" s="1922" t="str">
        <f>项目基本情况!I1</f>
        <v>北京市房地产</v>
      </c>
      <c r="C6" s="2877">
        <f>项目基本情况!C12</f>
        <v>1</v>
      </c>
      <c r="D6" s="2877"/>
      <c r="E6" s="1917"/>
    </row>
    <row r="7" spans="1:5" ht="14.25">
      <c r="A7" s="1917"/>
      <c r="B7" s="2871" t="s">
        <v>784</v>
      </c>
      <c r="C7" s="1923" t="str">
        <f>IF('数据-取费表'!B3="万元","总价（万元）","总价（元）")</f>
        <v>总价（元）</v>
      </c>
      <c r="D7" s="1924">
        <f ca="1">IF('数据-取费表'!E3="否",结果表!I102,'结果表 (1修多)'!I103)</f>
        <v>35302</v>
      </c>
      <c r="E7" s="1917"/>
    </row>
    <row r="8" spans="1:5" ht="14.25">
      <c r="A8" s="1917"/>
      <c r="B8" s="2871"/>
      <c r="C8" s="1925" t="s">
        <v>1175</v>
      </c>
      <c r="D8" s="1926" t="str">
        <f ca="1">IF('数据-取费表'!B3="万元",NUMBERSTRING(INT(D7*10000),2)&amp;"元整",NUMBERSTRING(INT(D7),2)&amp;"元整")</f>
        <v>叁万伍仟叁佰零贰元整</v>
      </c>
      <c r="E8" s="1917"/>
    </row>
    <row r="9" spans="1:5" ht="14.25">
      <c r="A9" s="1917"/>
      <c r="B9" s="2871"/>
      <c r="C9" s="1927" t="s">
        <v>1273</v>
      </c>
      <c r="D9" s="1924">
        <f ca="1">IF('数据-取费表'!E3="否",结果表!I103,'结果表 (1修多)'!I104)</f>
        <v>35302</v>
      </c>
      <c r="E9" s="1917"/>
    </row>
    <row r="10" spans="1:5" ht="14.25">
      <c r="A10" s="1917"/>
      <c r="B10" s="2878"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78"/>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78" t="str">
        <f>IF('数据-取费表'!E3="否",结果表!F110,'结果表 (1修多)'!F111)</f>
        <v>3.房地产抵押价值</v>
      </c>
      <c r="C15" s="1918" t="str">
        <f>C7</f>
        <v>总价（元）</v>
      </c>
      <c r="D15" s="1924">
        <f ca="1">IF('数据-取费表'!E3="否",结果表!I110,'结果表 (1修多)'!I111)</f>
        <v>35302</v>
      </c>
      <c r="E15" s="1917"/>
    </row>
    <row r="16" spans="1:5" ht="14.25">
      <c r="A16" s="1917"/>
      <c r="B16" s="2878"/>
      <c r="C16" s="1925" t="s">
        <v>1175</v>
      </c>
      <c r="D16" s="1924" t="str">
        <f ca="1">IF('数据-取费表'!B3="万元",NUMBERSTRING(INT(D15*10000),2)&amp;"元整",NUMBERSTRING(INT(D15),2)&amp;"元整")</f>
        <v>叁万伍仟叁佰零贰元整</v>
      </c>
      <c r="E16" s="1917"/>
    </row>
    <row r="17" spans="1:5" ht="14.25">
      <c r="A17" s="1917"/>
      <c r="B17" s="2878"/>
      <c r="C17" s="1927" t="s">
        <v>1273</v>
      </c>
      <c r="D17" s="1924">
        <f ca="1">IF('数据-取费表'!E3="否",结果表!I111,'结果表 (1修多)'!I112)</f>
        <v>35302</v>
      </c>
      <c r="E17" s="1917"/>
    </row>
    <row r="18" spans="1:5" ht="14.25">
      <c r="A18" s="1917"/>
      <c r="B18" s="2878" t="str">
        <f>IF('数据-取费表'!E3="否",结果表!F112,'结果表 (1修多)'!F113)</f>
        <v>——</v>
      </c>
      <c r="C18" s="1918" t="str">
        <f>C7</f>
        <v>总价（元）</v>
      </c>
      <c r="D18" s="1924" t="str">
        <f>IF('数据-取费表'!E3="否",结果表!I112,'结果表 (1修多)'!I113)</f>
        <v>——</v>
      </c>
      <c r="E18" s="1917"/>
    </row>
    <row r="19" spans="1:5" ht="14.25">
      <c r="A19" s="1917"/>
      <c r="B19" s="2878"/>
      <c r="C19" s="1925" t="s">
        <v>1175</v>
      </c>
      <c r="D19" s="1924" t="e">
        <f>IF('数据-取费表'!B3="万元",NUMBERSTRING(INT(D18*10000),2)&amp;"元整",NUMBERSTRING(INT(D18),2)&amp;"元整")</f>
        <v>#VALUE!</v>
      </c>
      <c r="E19" s="1917"/>
    </row>
    <row r="20" spans="1:5" ht="14.25">
      <c r="A20" s="1917"/>
      <c r="B20" s="2878"/>
      <c r="C20" s="1927" t="s">
        <v>1273</v>
      </c>
      <c r="D20" s="1924" t="str">
        <f>IF('数据-取费表'!E3="否",结果表!I113,'结果表 (1修多)'!I114)</f>
        <v>——</v>
      </c>
      <c r="E20" s="1917"/>
    </row>
    <row r="21" spans="1:5" ht="14.25">
      <c r="A21" s="1917"/>
      <c r="B21" s="2871" t="str">
        <f>IF('数据-取费表'!E3="否",结果表!F114,'结果表 (1修多)'!F115)</f>
        <v>——</v>
      </c>
      <c r="C21" s="1923" t="str">
        <f>C7</f>
        <v>总价（元）</v>
      </c>
      <c r="D21" s="1924" t="str">
        <f>IF('数据-取费表'!E3="否",结果表!I114,'结果表 (1修多)'!I115)</f>
        <v>——</v>
      </c>
      <c r="E21" s="1917"/>
    </row>
    <row r="22" spans="1:5" ht="14.25">
      <c r="A22" s="1917"/>
      <c r="B22" s="2871"/>
      <c r="C22" s="1925" t="s">
        <v>1175</v>
      </c>
      <c r="D22" s="1926" t="e">
        <f>IF('数据-取费表'!B3="万元",NUMBERSTRING(INT(D21*10000),2)&amp;"元整",NUMBERSTRING(INT(D21),2)&amp;"元整")</f>
        <v>#VALUE!</v>
      </c>
      <c r="E22" s="1917"/>
    </row>
    <row r="23" spans="1:5" ht="15" thickBot="1">
      <c r="A23" s="1917"/>
      <c r="B23" s="2872"/>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63" t="s">
        <v>1274</v>
      </c>
      <c r="C25" s="2863"/>
      <c r="D25" s="2863"/>
      <c r="E25" s="1917"/>
    </row>
    <row r="26" spans="1:5" ht="18.75" customHeight="1" thickTop="1">
      <c r="A26" s="1917"/>
      <c r="B26" s="2866" t="s">
        <v>1174</v>
      </c>
      <c r="C26" s="2867"/>
      <c r="D26" s="2864" t="s">
        <v>1173</v>
      </c>
      <c r="E26" s="1917"/>
    </row>
    <row r="27" spans="1:5" ht="18.75" customHeight="1">
      <c r="A27" s="1917"/>
      <c r="B27" s="2868"/>
      <c r="C27" s="2869"/>
      <c r="D27" s="2865"/>
      <c r="E27" s="1917"/>
    </row>
    <row r="28" spans="1:5" ht="14.25">
      <c r="A28" s="1917"/>
      <c r="B28" s="2856" t="s">
        <v>784</v>
      </c>
      <c r="C28" s="1934" t="s">
        <v>1176</v>
      </c>
      <c r="D28" s="1935">
        <f ca="1">IF('数据-取费表'!E3="否",结果表!I102,'结果表 (1修多)'!I103)</f>
        <v>35302</v>
      </c>
      <c r="E28" s="1917"/>
    </row>
    <row r="29" spans="1:5" ht="14.25">
      <c r="A29" s="1917"/>
      <c r="B29" s="2857"/>
      <c r="C29" s="1936" t="s">
        <v>1175</v>
      </c>
      <c r="D29" s="1937" t="str">
        <f ca="1">IF('数据-取费表'!B3="万元",NUMBERSTRING(INT(D28*10000),2)&amp;"元整",NUMBERSTRING(INT(D28),2)&amp;"元整")</f>
        <v>叁万伍仟叁佰零贰元整</v>
      </c>
      <c r="E29" s="1917"/>
    </row>
    <row r="30" spans="1:5" ht="14.25">
      <c r="A30" s="1917"/>
      <c r="B30" s="2858"/>
      <c r="C30" s="1927" t="s">
        <v>1178</v>
      </c>
      <c r="D30" s="1938">
        <f ca="1">IF('数据-取费表'!E3="否",结果表!I103,'结果表 (1修多)'!I104)</f>
        <v>35302</v>
      </c>
      <c r="E30" s="1917"/>
    </row>
    <row r="31" spans="1:5" ht="14.25">
      <c r="A31" s="1917"/>
      <c r="B31" s="2861" t="str">
        <f>B10</f>
        <v>2.估价师所知悉的法定优先受偿款</v>
      </c>
      <c r="C31" s="1939" t="s">
        <v>1177</v>
      </c>
      <c r="D31" s="1940">
        <f>IF('数据-取费表'!E3="否",结果表!I105,'结果表 (1修多)'!I106)</f>
        <v>0</v>
      </c>
      <c r="E31" s="1917"/>
    </row>
    <row r="32" spans="1:5" ht="14.25">
      <c r="A32" s="1917"/>
      <c r="B32" s="2870"/>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59" t="str">
        <f>B15</f>
        <v>3.房地产抵押价值</v>
      </c>
      <c r="C36" s="1939" t="str">
        <f>C28</f>
        <v>总价</v>
      </c>
      <c r="D36" s="1940">
        <f ca="1">IF('数据-取费表'!E3="否",结果表!I110,'结果表 (1修多)'!I111)</f>
        <v>35302</v>
      </c>
      <c r="E36" s="1917"/>
    </row>
    <row r="37" spans="1:5" ht="14.25">
      <c r="A37" s="1917"/>
      <c r="B37" s="2859"/>
      <c r="C37" s="1936" t="s">
        <v>1175</v>
      </c>
      <c r="D37" s="1941" t="str">
        <f ca="1">IF('数据-取费表'!B3="万元",NUMBERSTRING(INT(D36*10000),2)&amp;"元整",NUMBERSTRING(INT(D36),2)&amp;"元整")</f>
        <v>叁万伍仟叁佰零贰元整</v>
      </c>
      <c r="E37" s="1917"/>
    </row>
    <row r="38" spans="1:5" ht="14.25">
      <c r="A38" s="1917"/>
      <c r="B38" s="2859"/>
      <c r="C38" s="1927" t="s">
        <v>1179</v>
      </c>
      <c r="D38" s="1938">
        <f ca="1">IF('数据-取费表'!E3="否",结果表!D113,'结果表 (1修多)'!D116)</f>
        <v>35302</v>
      </c>
      <c r="E38" s="1917"/>
    </row>
    <row r="39" spans="1:5" ht="14.25">
      <c r="A39" s="1917"/>
      <c r="B39" s="2860" t="str">
        <f>B18</f>
        <v>——</v>
      </c>
      <c r="C39" s="1939" t="str">
        <f>C28</f>
        <v>总价</v>
      </c>
      <c r="D39" s="1940" t="str">
        <f>IF('数据-取费表'!E3="否",结果表!I112,'结果表 (1修多)'!I113)</f>
        <v>——</v>
      </c>
      <c r="E39" s="1917"/>
    </row>
    <row r="40" spans="1:5" ht="14.25">
      <c r="A40" s="1917"/>
      <c r="B40" s="2860"/>
      <c r="C40" s="1936" t="s">
        <v>1175</v>
      </c>
      <c r="D40" s="1941" t="e">
        <f>IF('数据-取费表'!B3="万元",NUMBERSTRING(INT(D39*10000),2)&amp;"元整",NUMBERSTRING(INT(D39),2)&amp;"元整")</f>
        <v>#VALUE!</v>
      </c>
      <c r="E40" s="1917"/>
    </row>
    <row r="41" spans="1:5" ht="14.25">
      <c r="A41" s="1917"/>
      <c r="B41" s="2860"/>
      <c r="C41" s="1927" t="s">
        <v>1179</v>
      </c>
      <c r="D41" s="1938" t="str">
        <f>IF('数据-取费表'!E3="否",结果表!D115,'结果表 (1修多)'!D118)</f>
        <v>——</v>
      </c>
      <c r="E41" s="1917"/>
    </row>
    <row r="42" spans="1:5" ht="14.25">
      <c r="A42" s="1917"/>
      <c r="B42" s="2859" t="str">
        <f>B21</f>
        <v>——</v>
      </c>
      <c r="C42" s="1939" t="str">
        <f>C28</f>
        <v>总价</v>
      </c>
      <c r="D42" s="1940" t="str">
        <f>IF('数据-取费表'!E3="否",结果表!I114,'结果表 (1修多)'!I115)</f>
        <v>——</v>
      </c>
      <c r="E42" s="1917"/>
    </row>
    <row r="43" spans="1:5" ht="14.25">
      <c r="A43" s="1917"/>
      <c r="B43" s="2861"/>
      <c r="C43" s="1936" t="s">
        <v>1175</v>
      </c>
      <c r="D43" s="1942" t="e">
        <f>IF('数据-取费表'!B3="万元",NUMBERSTRING(INT(D42*10000),2)&amp;"元整",NUMBERSTRING(INT(D42),2)&amp;"元整")</f>
        <v>#VALUE!</v>
      </c>
      <c r="E43" s="1917"/>
    </row>
    <row r="44" spans="1:5" ht="15" thickBot="1">
      <c r="A44" s="1917"/>
      <c r="B44" s="2862"/>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5" t="str">
        <f>IF(项目基本情况!D5="房地产市场价值","估价结果一览表","结果表-2")</f>
        <v>结果表-2</v>
      </c>
      <c r="B1" s="2885"/>
      <c r="C1" s="2885"/>
      <c r="D1" s="2885"/>
      <c r="E1" s="2885"/>
      <c r="F1" s="2885"/>
      <c r="G1" s="2885"/>
      <c r="H1" s="2885"/>
      <c r="I1" s="2885"/>
    </row>
    <row r="2" spans="1:9" ht="30" customHeight="1" thickTop="1">
      <c r="A2" s="2886" t="s">
        <v>1275</v>
      </c>
      <c r="B2" s="2886" t="s">
        <v>1276</v>
      </c>
      <c r="C2" s="2886" t="s">
        <v>1277</v>
      </c>
      <c r="D2" s="2886" t="str">
        <f>IF('数据-取费表'!E3="否",结果表!D119,'结果表 (1修多)'!D122)</f>
        <v>出让国有建设用地使用权价值</v>
      </c>
      <c r="E2" s="2886"/>
      <c r="F2" s="2886" t="s">
        <v>1278</v>
      </c>
      <c r="G2" s="2886"/>
      <c r="H2" s="2886" t="s">
        <v>1279</v>
      </c>
      <c r="I2" s="2886"/>
    </row>
    <row r="3" spans="1:9" ht="15">
      <c r="A3" s="2879"/>
      <c r="B3" s="2879"/>
      <c r="C3" s="2879"/>
      <c r="D3" s="1046" t="s">
        <v>1280</v>
      </c>
      <c r="E3" s="1046" t="s">
        <v>1281</v>
      </c>
      <c r="F3" s="1046" t="s">
        <v>1280</v>
      </c>
      <c r="G3" s="1046" t="s">
        <v>1282</v>
      </c>
      <c r="H3" s="1046" t="s">
        <v>1280</v>
      </c>
      <c r="I3" s="1046" t="s">
        <v>1282</v>
      </c>
    </row>
    <row r="4" spans="1:9" ht="46.5" customHeight="1">
      <c r="A4" s="1046" t="str">
        <f>项目基本情况!I1</f>
        <v>北京市房地产</v>
      </c>
      <c r="B4" s="1046">
        <f>结果表!B121</f>
        <v>1</v>
      </c>
      <c r="C4" s="1046">
        <f>结果表!C121</f>
        <v>0</v>
      </c>
      <c r="D4" s="1046">
        <f ca="1">IF('数据-取费表'!E3="否",结果表!D121,'结果表 (1修多)'!D124)</f>
        <v>30536</v>
      </c>
      <c r="E4" s="1046">
        <f ca="1">IF('数据-取费表'!E3="否",结果表!E121,'结果表 (1修多)'!E124)</f>
        <v>30536</v>
      </c>
      <c r="F4" s="1046">
        <f ca="1">IF('数据-取费表'!E3="否",结果表!F121,'结果表 (1修多)'!F124)</f>
        <v>4766</v>
      </c>
      <c r="G4" s="1046">
        <f ca="1">IF('数据-取费表'!E3="否",结果表!G121,'结果表 (1修多)'!G124)</f>
        <v>4766</v>
      </c>
      <c r="H4" s="1046">
        <f ca="1">IF('数据-取费表'!E3="否",结果表!H121,'结果表 (1修多)'!H124)</f>
        <v>35302</v>
      </c>
      <c r="I4" s="1046">
        <f ca="1">IF('数据-取费表'!E3="否",结果表!I121,'结果表 (1修多)'!I124)</f>
        <v>35302</v>
      </c>
    </row>
    <row r="5" spans="1:9" ht="15">
      <c r="A5" s="2879" t="s">
        <v>1283</v>
      </c>
      <c r="B5" s="2879"/>
      <c r="C5" s="2879"/>
      <c r="D5" s="2880" t="str">
        <f ca="1">IF('数据-取费表'!E3="否",结果表!D122,'结果表 (1修多)'!D125)</f>
        <v>叁万零伍佰叁拾陆元整</v>
      </c>
      <c r="E5" s="2880"/>
      <c r="F5" s="2880" t="str">
        <f ca="1">IF('数据-取费表'!E3="否",结果表!F122,'结果表 (1修多)'!F125)</f>
        <v>肆仟柒佰陆拾陆元整</v>
      </c>
      <c r="G5" s="2880"/>
      <c r="H5" s="2880" t="str">
        <f ca="1">IF('数据-取费表'!E3="否",结果表!H122,'结果表 (1修多)'!H125)</f>
        <v>叁万伍仟叁佰零贰元整</v>
      </c>
      <c r="I5" s="2880"/>
    </row>
    <row r="6" spans="1:9" ht="15.75">
      <c r="A6" s="2881" t="str">
        <f>IF('数据-取费表'!E3="否",结果表!A123,'结果表 (1修多)'!A126)</f>
        <v>估价师所知悉的法定优先受偿款</v>
      </c>
      <c r="B6" s="2881"/>
      <c r="C6" s="2881"/>
      <c r="D6" s="2881">
        <f>IF('数据-取费表'!E3="否",结果表!D123,'结果表 (1修多)'!D126)</f>
        <v>0</v>
      </c>
      <c r="E6" s="2881"/>
      <c r="F6" s="2881"/>
      <c r="G6" s="2881"/>
      <c r="H6" s="2881"/>
      <c r="I6" s="2881"/>
    </row>
    <row r="7" spans="1:9" ht="15">
      <c r="A7" s="2879" t="s">
        <v>1283</v>
      </c>
      <c r="B7" s="2879"/>
      <c r="C7" s="2879"/>
      <c r="D7" s="2887">
        <f>IF('数据-取费表'!E3="否",结果表!D124,'结果表 (1修多)'!D127)</f>
        <v>0</v>
      </c>
      <c r="E7" s="2888"/>
      <c r="F7" s="2888"/>
      <c r="G7" s="2888"/>
      <c r="H7" s="2888"/>
      <c r="I7" s="2889"/>
    </row>
    <row r="8" spans="1:9" ht="15.75">
      <c r="A8" s="2881" t="str">
        <f>IF('数据-取费表'!E3="否",结果表!A125,'结果表 (1修多)'!A128)</f>
        <v>房地产抵押价值</v>
      </c>
      <c r="B8" s="2881"/>
      <c r="C8" s="2881"/>
      <c r="D8" s="2881">
        <f ca="1">IF('数据-取费表'!E3="否",结果表!D125,'结果表 (1修多)'!D128)</f>
        <v>35302</v>
      </c>
      <c r="E8" s="2881"/>
      <c r="F8" s="2881"/>
      <c r="G8" s="2881"/>
      <c r="H8" s="2881"/>
      <c r="I8" s="2881"/>
    </row>
    <row r="9" spans="1:9" ht="15">
      <c r="A9" s="2879" t="s">
        <v>1283</v>
      </c>
      <c r="B9" s="2879"/>
      <c r="C9" s="2879"/>
      <c r="D9" s="2880">
        <f ca="1">IF('数据-取费表'!E3="否",结果表!D126,'结果表 (1修多)'!D129)</f>
        <v>35302</v>
      </c>
      <c r="E9" s="2880"/>
      <c r="F9" s="2880"/>
      <c r="G9" s="2880"/>
      <c r="H9" s="2880"/>
      <c r="I9" s="2880"/>
    </row>
    <row r="10" spans="1:9" ht="15.75">
      <c r="A10" s="2881" t="str">
        <f>IF('数据-取费表'!E3="否",结果表!A127,'结果表 (1修多)'!A130)</f>
        <v/>
      </c>
      <c r="B10" s="2881"/>
      <c r="C10" s="2881"/>
      <c r="D10" s="2881" t="str">
        <f>IF('数据-取费表'!E3="否",结果表!D127,'结果表 (1修多)'!D129)</f>
        <v>——</v>
      </c>
      <c r="E10" s="2881"/>
      <c r="F10" s="2881"/>
      <c r="G10" s="2881"/>
      <c r="H10" s="2881"/>
      <c r="I10" s="2881"/>
    </row>
    <row r="11" spans="1:9" ht="15">
      <c r="A11" s="2879" t="s">
        <v>1283</v>
      </c>
      <c r="B11" s="2879"/>
      <c r="C11" s="2879"/>
      <c r="D11" s="2880" t="str">
        <f>IF('数据-取费表'!E3="否",结果表!D128,'结果表 (1修多)'!D131)</f>
        <v>——</v>
      </c>
      <c r="E11" s="2880"/>
      <c r="F11" s="2880"/>
      <c r="G11" s="2880"/>
      <c r="H11" s="2880"/>
      <c r="I11" s="2880"/>
    </row>
    <row r="12" spans="1:9" ht="15.75">
      <c r="A12" s="2881" t="str">
        <f>IF('数据-取费表'!E3="否",结果表!A129,'结果表 (1修多)'!A132)</f>
        <v/>
      </c>
      <c r="B12" s="2881"/>
      <c r="C12" s="2881"/>
      <c r="D12" s="2881" t="str">
        <f>IF('数据-取费表'!E3="否",结果表!D129,'结果表 (1修多)'!D132)</f>
        <v>——</v>
      </c>
      <c r="E12" s="2881"/>
      <c r="F12" s="2881"/>
      <c r="G12" s="2881"/>
      <c r="H12" s="2881"/>
      <c r="I12" s="2881"/>
    </row>
    <row r="13" spans="1:9" ht="15.75" thickBot="1">
      <c r="A13" s="2882" t="s">
        <v>1283</v>
      </c>
      <c r="B13" s="2882"/>
      <c r="C13" s="2882"/>
      <c r="D13" s="2883">
        <f>IF('数据-取费表'!E3="否",结果表!D130,'结果表 (1修多)'!D133)</f>
        <v>0</v>
      </c>
      <c r="E13" s="2883"/>
      <c r="F13" s="2883"/>
      <c r="G13" s="2883"/>
      <c r="H13" s="2883"/>
      <c r="I13" s="2883"/>
    </row>
    <row r="14" spans="1:9" ht="15" thickTop="1">
      <c r="A14" s="2884" t="str">
        <f>IF('数据-取费表'!E3="否",结果表!A131,'结果表 (1修多)'!A134)</f>
        <v>单位：平方米、元、元/平方米（币种：人民币）</v>
      </c>
      <c r="B14" s="2884"/>
      <c r="C14" s="2884"/>
      <c r="D14" s="2884"/>
      <c r="E14" s="2884"/>
      <c r="F14" s="2884"/>
      <c r="G14" s="2884"/>
      <c r="H14" s="2884"/>
      <c r="I14" s="2884"/>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1" t="s">
        <v>1297</v>
      </c>
      <c r="B1" s="2891"/>
      <c r="C1" s="2891"/>
      <c r="D1" s="2891"/>
    </row>
    <row r="2" spans="1:4" ht="18">
      <c r="A2" s="2890" t="s">
        <v>1285</v>
      </c>
      <c r="B2" s="2890"/>
      <c r="C2" s="2890"/>
      <c r="D2" s="2890"/>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0" t="s">
        <v>1290</v>
      </c>
      <c r="B7" s="2890"/>
      <c r="C7" s="2890"/>
      <c r="D7" s="2890"/>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2" t="s">
        <v>1299</v>
      </c>
      <c r="B12" s="2893"/>
      <c r="C12" s="2893"/>
      <c r="D12" s="2893"/>
    </row>
    <row r="13" spans="1:4" ht="15.75">
      <c r="A13" s="28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3"/>
      <c r="C13" s="2893"/>
      <c r="D13" s="2893"/>
    </row>
    <row r="14" spans="1:4" ht="30" customHeight="1">
      <c r="A14" s="2892" t="str">
        <f>IF(项目基本情况!D4="抵押","3.抵押双方在办理抵押登记手续时，应使用本公司出具的正式《房地产评估报告》，特提醒报告使用者注意。","——")</f>
        <v>——</v>
      </c>
      <c r="B14" s="2893"/>
      <c r="C14" s="2893"/>
      <c r="D14" s="2893"/>
    </row>
    <row r="15" spans="1:4" ht="15.75" customHeight="1">
      <c r="A15" s="2892" t="str">
        <f>IF(项目基本情况!D4="抵押","4.本次评估估价师所知悉的法定优先受偿款情况说明如下：","——")</f>
        <v>——</v>
      </c>
      <c r="B15" s="2893"/>
      <c r="C15" s="2893"/>
      <c r="D15" s="2893"/>
    </row>
    <row r="16" spans="1:4" ht="75" customHeight="1">
      <c r="A16" s="2892" t="str">
        <f>IF(项目基本情况!D4="抵押",CONCATENATE(项目基本情况!J13,项目基本情况!J14,项目基本情况!J15),"——")</f>
        <v>——</v>
      </c>
      <c r="B16" s="2892"/>
      <c r="C16" s="2892"/>
      <c r="D16" s="2892"/>
    </row>
    <row r="17" spans="1:4" ht="63.75" customHeight="1">
      <c r="A17" s="2894" t="s">
        <v>1300</v>
      </c>
      <c r="B17" s="2894"/>
      <c r="C17" s="2894"/>
      <c r="D17" s="2894"/>
    </row>
    <row r="18" spans="1:4" ht="15.75" customHeight="1">
      <c r="A18" s="2892" t="str">
        <f>IF(项目基本情况!D4="抵押",结果表!K106,"——")</f>
        <v>——</v>
      </c>
      <c r="B18" s="2892"/>
      <c r="C18" s="2892"/>
      <c r="D18" s="2892"/>
    </row>
    <row r="19" spans="1:4" ht="46.5" customHeight="1">
      <c r="A19" s="28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2"/>
      <c r="C19" s="2892"/>
      <c r="D19" s="2892"/>
    </row>
    <row r="20" spans="1:4" ht="15">
      <c r="A20" s="2894" t="s">
        <v>1293</v>
      </c>
      <c r="B20" s="2894"/>
      <c r="C20" s="2894"/>
      <c r="D20" s="2894"/>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0" t="s">
        <v>1379</v>
      </c>
      <c r="B15" s="2895" t="s">
        <v>1380</v>
      </c>
      <c r="C15" s="2896"/>
    </row>
    <row r="16" spans="1:7" ht="14.25">
      <c r="A16" s="2901"/>
      <c r="B16" s="2895" t="s">
        <v>1381</v>
      </c>
      <c r="C16" s="2896"/>
    </row>
    <row r="17" spans="1:3" ht="14.25">
      <c r="A17" s="2901"/>
      <c r="B17" s="2895" t="s">
        <v>1382</v>
      </c>
      <c r="C17" s="2896"/>
    </row>
    <row r="18" spans="1:3" ht="14.25">
      <c r="A18" s="2902"/>
      <c r="B18" s="2897" t="s">
        <v>1383</v>
      </c>
      <c r="C18" s="2896"/>
    </row>
    <row r="19" spans="1:3" ht="14.25">
      <c r="A19" s="1970" t="s">
        <v>1384</v>
      </c>
      <c r="B19" s="1971"/>
      <c r="C19" s="1972"/>
    </row>
    <row r="20" spans="1:3" ht="14.25">
      <c r="A20" s="2898" t="s">
        <v>1385</v>
      </c>
      <c r="B20" s="2897" t="s">
        <v>1386</v>
      </c>
      <c r="C20" s="2896"/>
    </row>
    <row r="21" spans="1:3" ht="14.25">
      <c r="A21" s="2898"/>
      <c r="B21" s="2897" t="s">
        <v>1387</v>
      </c>
      <c r="C21" s="2896"/>
    </row>
    <row r="22" spans="1:3" ht="14.25">
      <c r="A22" s="2898"/>
      <c r="B22" s="2897" t="s">
        <v>1388</v>
      </c>
      <c r="C22" s="2896"/>
    </row>
    <row r="23" spans="1:3" ht="14.25">
      <c r="A23" s="2898"/>
      <c r="B23" s="2899" t="s">
        <v>1389</v>
      </c>
      <c r="C23" s="1973" t="s">
        <v>1390</v>
      </c>
    </row>
    <row r="24" spans="1:3" ht="14.25">
      <c r="A24" s="2898"/>
      <c r="B24" s="2899"/>
      <c r="C24" s="1973" t="s">
        <v>1391</v>
      </c>
    </row>
    <row r="25" spans="1:3" ht="14.25">
      <c r="A25" s="2898"/>
      <c r="B25" s="2899"/>
      <c r="C25" s="1973" t="s">
        <v>1392</v>
      </c>
    </row>
    <row r="26" spans="1:3" ht="14.25">
      <c r="A26" s="2898"/>
      <c r="B26" s="2899"/>
      <c r="C26" s="1973" t="s">
        <v>1393</v>
      </c>
    </row>
    <row r="27" spans="1:3" ht="14.25">
      <c r="A27" s="2898"/>
      <c r="B27" s="2899"/>
      <c r="C27" s="1973" t="s">
        <v>1394</v>
      </c>
    </row>
    <row r="28" spans="1:3" ht="14.25">
      <c r="A28" s="2898"/>
      <c r="B28" s="2899"/>
      <c r="C28" s="1973" t="s">
        <v>1395</v>
      </c>
    </row>
    <row r="29" spans="1:3" ht="14.25">
      <c r="A29" s="2898"/>
      <c r="B29" s="2899"/>
      <c r="C29" s="1973" t="s">
        <v>1396</v>
      </c>
    </row>
    <row r="30" spans="1:3" ht="14.25">
      <c r="A30" s="2898"/>
      <c r="B30" s="2899"/>
      <c r="C30" s="1973" t="s">
        <v>1397</v>
      </c>
    </row>
    <row r="31" spans="1:3" ht="14.25">
      <c r="A31" s="2898"/>
      <c r="B31" s="289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3" t="s">
        <v>768</v>
      </c>
      <c r="B25" s="2903"/>
      <c r="C25" s="2903"/>
      <c r="D25" s="2903"/>
      <c r="E25" s="2903"/>
      <c r="F25" s="2903"/>
      <c r="G25" s="2903"/>
      <c r="H25" s="2903"/>
    </row>
    <row r="26" spans="1:8" s="1031" customFormat="1" ht="24" customHeight="1">
      <c r="A26" s="2904" t="s">
        <v>769</v>
      </c>
      <c r="B26" s="2904"/>
      <c r="C26" s="2904"/>
      <c r="D26" s="1059"/>
      <c r="E26" s="1059"/>
      <c r="F26" s="2904" t="s">
        <v>770</v>
      </c>
      <c r="G26" s="2904"/>
      <c r="H26" s="290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5"/>
      <c r="B54" s="9" t="s">
        <v>1535</v>
      </c>
      <c r="C54" s="9" t="s">
        <v>1536</v>
      </c>
    </row>
    <row r="55" spans="1:4">
      <c r="A55" s="2905"/>
      <c r="B55" s="9" t="s">
        <v>1537</v>
      </c>
      <c r="C55" s="9" t="s">
        <v>1538</v>
      </c>
    </row>
    <row r="56" spans="1:4">
      <c r="A56" s="2905"/>
      <c r="B56" s="9" t="s">
        <v>1539</v>
      </c>
      <c r="C56" s="9" t="s">
        <v>1540</v>
      </c>
    </row>
    <row r="57" spans="1:4">
      <c r="A57" s="290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2019-04-16T10:07:04Z</dcterms:modified>
</cp:coreProperties>
</file>