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6"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剩余法-四合院" sheetId="68" state="hidden" r:id="rId20"/>
    <sheet name="基准地价" sheetId="46" r:id="rId21"/>
    <sheet name="剩余法待开发住宅" sheetId="71" state="hidden" r:id="rId22"/>
    <sheet name="比较法-住宅、综合" sheetId="39" state="hidden" r:id="rId23"/>
    <sheet name="比较法-工业" sheetId="40" state="hidden" r:id="rId24"/>
    <sheet name="基准地价住宅" sheetId="70"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剩余法待开发住宅50" sheetId="74" r:id="rId32"/>
    <sheet name="基准地价住宅50" sheetId="75" r:id="rId33"/>
    <sheet name="地价" sheetId="59" r:id="rId34"/>
    <sheet name="不动产收益法" sheetId="15" state="hidden" r:id="rId35"/>
    <sheet name="酒店收入计算" sheetId="57" state="hidden" r:id="rId36"/>
    <sheet name="成本逼近法" sheetId="11" state="hidden" r:id="rId37"/>
    <sheet name="不动产比较法-住宅" sheetId="21" r:id="rId38"/>
    <sheet name="不动产比较法-商业" sheetId="33" state="hidden" r:id="rId39"/>
    <sheet name="不动产比较法-办公" sheetId="34"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案例贴图" sheetId="73" r:id="rId46"/>
    <sheet name="面积表" sheetId="69" r:id="rId47"/>
    <sheet name="结果一览表" sheetId="72" r:id="rId48"/>
  </sheets>
  <definedNames>
    <definedName name="_xlnm._FilterDatabase" localSheetId="23" hidden="1">'比较法-工业'!$A$1:$L$45</definedName>
    <definedName name="_xlnm._FilterDatabase" localSheetId="22"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基准地价住宅!$N$19:$AG$19</definedName>
    <definedName name="季度" localSheetId="32">基准地价住宅50!$N$19:$AG$19</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78" i="34" l="1"/>
  <c r="E78" i="34"/>
  <c r="F15" i="34"/>
  <c r="AA15" i="34"/>
  <c r="D109" i="34"/>
  <c r="E109" i="34"/>
  <c r="F36" i="34"/>
  <c r="AA36" i="34"/>
  <c r="R49" i="34"/>
  <c r="H15" i="34"/>
  <c r="AB15" i="34"/>
  <c r="H36" i="34"/>
  <c r="AB36" i="34"/>
  <c r="T49" i="34"/>
  <c r="J15" i="34"/>
  <c r="AC15" i="34"/>
  <c r="J36" i="34"/>
  <c r="AC36" i="34"/>
  <c r="J11" i="34"/>
  <c r="AC11" i="34"/>
  <c r="V49" i="34"/>
  <c r="R50" i="34"/>
  <c r="C50" i="34"/>
  <c r="C10" i="12"/>
  <c r="C6" i="12"/>
  <c r="C24" i="12"/>
  <c r="C29" i="12"/>
  <c r="E6" i="72"/>
  <c r="E7" i="72"/>
  <c r="D20" i="72"/>
  <c r="D17" i="72"/>
  <c r="E3" i="72"/>
  <c r="C18" i="46"/>
  <c r="B73" i="35"/>
  <c r="F23" i="35"/>
  <c r="AA23" i="35"/>
  <c r="B75" i="35"/>
  <c r="F24" i="35"/>
  <c r="AA24" i="35"/>
  <c r="B77" i="35"/>
  <c r="F25" i="35"/>
  <c r="AA25" i="35"/>
  <c r="B97" i="35"/>
  <c r="F34" i="35"/>
  <c r="AA34" i="35"/>
  <c r="B99" i="35"/>
  <c r="F35" i="35"/>
  <c r="AA35" i="35"/>
  <c r="B101" i="35"/>
  <c r="F36" i="35"/>
  <c r="AA36" i="35"/>
  <c r="C26" i="35"/>
  <c r="C79" i="35"/>
  <c r="F26" i="35"/>
  <c r="AA26" i="35"/>
  <c r="B57" i="35"/>
  <c r="F11" i="35"/>
  <c r="AA11" i="35"/>
  <c r="B59" i="35"/>
  <c r="F12" i="35"/>
  <c r="AA12" i="35"/>
  <c r="B61" i="35"/>
  <c r="F13" i="35"/>
  <c r="AA13" i="35"/>
  <c r="F56" i="35"/>
  <c r="F10" i="35"/>
  <c r="AA10" i="35"/>
  <c r="D87" i="35"/>
  <c r="E87" i="35"/>
  <c r="F87" i="35"/>
  <c r="G87" i="35"/>
  <c r="F29" i="35"/>
  <c r="AA29" i="35"/>
  <c r="F31" i="35"/>
  <c r="AA31" i="35"/>
  <c r="D72" i="35"/>
  <c r="F22" i="35"/>
  <c r="AA22" i="35"/>
  <c r="D66" i="35"/>
  <c r="E66" i="35"/>
  <c r="F16" i="35"/>
  <c r="AA16" i="35"/>
  <c r="D64" i="35"/>
  <c r="E64" i="35"/>
  <c r="F14" i="35"/>
  <c r="AA14" i="35"/>
  <c r="D70" i="35"/>
  <c r="E70" i="35"/>
  <c r="F20" i="35"/>
  <c r="AA20" i="35"/>
  <c r="R38" i="35"/>
  <c r="H23" i="35"/>
  <c r="AB23" i="35"/>
  <c r="H24" i="35"/>
  <c r="AB24" i="35"/>
  <c r="H25" i="35"/>
  <c r="AB25" i="35"/>
  <c r="H34" i="35"/>
  <c r="AB34" i="35"/>
  <c r="H35" i="35"/>
  <c r="AB35" i="35"/>
  <c r="H36" i="35"/>
  <c r="AB36" i="35"/>
  <c r="H26" i="35"/>
  <c r="AB26" i="35"/>
  <c r="H11" i="35"/>
  <c r="AB11" i="35"/>
  <c r="H12" i="35"/>
  <c r="AB12" i="35"/>
  <c r="H13" i="35"/>
  <c r="AB13" i="35"/>
  <c r="H10" i="35"/>
  <c r="AB10" i="35"/>
  <c r="H29" i="35"/>
  <c r="AB29" i="35"/>
  <c r="H31" i="35"/>
  <c r="AB31" i="35"/>
  <c r="H22" i="35"/>
  <c r="AB22" i="35"/>
  <c r="H16" i="35"/>
  <c r="AB16" i="35"/>
  <c r="H14" i="35"/>
  <c r="AB14" i="35"/>
  <c r="H20" i="35"/>
  <c r="AB20" i="35"/>
  <c r="T38" i="35"/>
  <c r="J23" i="35"/>
  <c r="AC23" i="35"/>
  <c r="J24" i="35"/>
  <c r="AC24" i="35"/>
  <c r="J25" i="35"/>
  <c r="AC25" i="35"/>
  <c r="J34" i="35"/>
  <c r="AC34" i="35"/>
  <c r="J35" i="35"/>
  <c r="AC35" i="35"/>
  <c r="J36" i="35"/>
  <c r="AC36" i="35"/>
  <c r="J26" i="35"/>
  <c r="AC26" i="35"/>
  <c r="J11" i="35"/>
  <c r="AC11" i="35"/>
  <c r="J12" i="35"/>
  <c r="AC12" i="35"/>
  <c r="J13" i="35"/>
  <c r="AC13" i="35"/>
  <c r="J10" i="35"/>
  <c r="AC10" i="35"/>
  <c r="J29" i="35"/>
  <c r="AC29" i="35"/>
  <c r="J31" i="35"/>
  <c r="AC31" i="35"/>
  <c r="J22" i="35"/>
  <c r="AC22" i="35"/>
  <c r="J16" i="35"/>
  <c r="AC16" i="35"/>
  <c r="J14" i="35"/>
  <c r="AC14" i="35"/>
  <c r="J20" i="35"/>
  <c r="AC20" i="35"/>
  <c r="V38" i="35"/>
  <c r="R39" i="35"/>
  <c r="C38" i="35"/>
  <c r="E5" i="72"/>
  <c r="H5" i="72"/>
  <c r="I5" i="72"/>
  <c r="H3" i="72"/>
  <c r="B24" i="1"/>
  <c r="C19" i="70"/>
  <c r="C19" i="75"/>
  <c r="C19" i="46"/>
  <c r="AJ23" i="59"/>
  <c r="AI6" i="59"/>
  <c r="AI7" i="59"/>
  <c r="AI8" i="59"/>
  <c r="AI9" i="59"/>
  <c r="AI10" i="59"/>
  <c r="AI11" i="59"/>
  <c r="AI12" i="59"/>
  <c r="AI13" i="59"/>
  <c r="AI14" i="59"/>
  <c r="AI15" i="59"/>
  <c r="AI16" i="59"/>
  <c r="AI17" i="59"/>
  <c r="AI18" i="59"/>
  <c r="AI19" i="59"/>
  <c r="AI20" i="59"/>
  <c r="AI21" i="59"/>
  <c r="AI22" i="59"/>
  <c r="AI23" i="59"/>
  <c r="AI5" i="59"/>
  <c r="AA5" i="59"/>
  <c r="D69" i="75"/>
  <c r="D70" i="75"/>
  <c r="D71" i="75"/>
  <c r="D72" i="75"/>
  <c r="D73" i="75"/>
  <c r="D74" i="75"/>
  <c r="D75" i="75"/>
  <c r="D76" i="75"/>
  <c r="D77" i="75"/>
  <c r="E69" i="75"/>
  <c r="B67" i="75"/>
  <c r="C24" i="75"/>
  <c r="F27" i="21"/>
  <c r="AA27" i="21"/>
  <c r="D115" i="21"/>
  <c r="F38" i="21"/>
  <c r="AA38" i="21"/>
  <c r="D108" i="21"/>
  <c r="E108" i="21"/>
  <c r="F35" i="21"/>
  <c r="AA35" i="21"/>
  <c r="D123" i="21"/>
  <c r="E123" i="21"/>
  <c r="F123" i="21"/>
  <c r="F42" i="21"/>
  <c r="AA42" i="21"/>
  <c r="D110" i="21"/>
  <c r="F36" i="21"/>
  <c r="AA36" i="21"/>
  <c r="D125" i="21"/>
  <c r="F43" i="21"/>
  <c r="AA43" i="21"/>
  <c r="R48" i="21"/>
  <c r="H27" i="21"/>
  <c r="AB27" i="21"/>
  <c r="H38" i="21"/>
  <c r="AB38" i="21"/>
  <c r="H17" i="21"/>
  <c r="AB17" i="21"/>
  <c r="H35" i="21"/>
  <c r="AB35" i="21"/>
  <c r="H42" i="21"/>
  <c r="AB42" i="21"/>
  <c r="H36" i="21"/>
  <c r="AB36" i="21"/>
  <c r="H43" i="21"/>
  <c r="AB43" i="21"/>
  <c r="H37" i="21"/>
  <c r="AB37" i="21"/>
  <c r="T48" i="21"/>
  <c r="J27" i="21"/>
  <c r="AC27" i="21"/>
  <c r="J38" i="21"/>
  <c r="AC38" i="21"/>
  <c r="J17" i="21"/>
  <c r="AC17" i="21"/>
  <c r="J35" i="21"/>
  <c r="AC35" i="21"/>
  <c r="J42" i="21"/>
  <c r="AC42" i="21"/>
  <c r="J36" i="21"/>
  <c r="AC36" i="21"/>
  <c r="J43" i="21"/>
  <c r="AC43" i="21"/>
  <c r="J37" i="21"/>
  <c r="AC37" i="21"/>
  <c r="V48" i="21"/>
  <c r="R49" i="21"/>
  <c r="C48" i="21"/>
  <c r="C10" i="74"/>
  <c r="C6" i="74"/>
  <c r="C24" i="74"/>
  <c r="C29" i="74"/>
  <c r="D69" i="70"/>
  <c r="D70" i="70"/>
  <c r="D71" i="70"/>
  <c r="D72" i="70"/>
  <c r="D73" i="70"/>
  <c r="D74" i="70"/>
  <c r="D75" i="70"/>
  <c r="D76" i="70"/>
  <c r="D77" i="70"/>
  <c r="E69" i="70"/>
  <c r="B67" i="70"/>
  <c r="C24" i="70"/>
  <c r="C10" i="71"/>
  <c r="C6" i="71"/>
  <c r="C24" i="71"/>
  <c r="C29" i="71"/>
  <c r="G3" i="46"/>
  <c r="I101" i="46"/>
  <c r="I109" i="46"/>
  <c r="C23" i="46"/>
  <c r="C21" i="46"/>
  <c r="D58" i="46"/>
  <c r="D59" i="46"/>
  <c r="D60" i="46"/>
  <c r="D61" i="46"/>
  <c r="D62" i="46"/>
  <c r="D63" i="46"/>
  <c r="D64" i="46"/>
  <c r="D65" i="46"/>
  <c r="D66" i="46"/>
  <c r="E58" i="46"/>
  <c r="B56" i="46"/>
  <c r="C24" i="46"/>
  <c r="G3" i="75"/>
  <c r="B113" i="75"/>
  <c r="I118" i="75"/>
  <c r="J118" i="75"/>
  <c r="K118" i="75"/>
  <c r="L118" i="75"/>
  <c r="M118" i="75"/>
  <c r="G118" i="75"/>
  <c r="H118" i="75"/>
  <c r="D118" i="75"/>
  <c r="E118" i="75"/>
  <c r="F118" i="75"/>
  <c r="B118" i="75"/>
  <c r="C118" i="75"/>
  <c r="I117" i="75"/>
  <c r="J117" i="75"/>
  <c r="K117" i="75"/>
  <c r="L117" i="75"/>
  <c r="M117" i="75"/>
  <c r="D117" i="75"/>
  <c r="E117" i="75"/>
  <c r="F117" i="75"/>
  <c r="G117" i="75"/>
  <c r="H117" i="75"/>
  <c r="B117" i="75"/>
  <c r="C117" i="75"/>
  <c r="I116" i="75"/>
  <c r="J116" i="75"/>
  <c r="K116" i="75"/>
  <c r="L116" i="75"/>
  <c r="M116" i="75"/>
  <c r="D116" i="75"/>
  <c r="E116" i="75"/>
  <c r="F116" i="75"/>
  <c r="G116" i="75"/>
  <c r="H116" i="75"/>
  <c r="B116" i="75"/>
  <c r="C116" i="75"/>
  <c r="I115" i="75"/>
  <c r="J115" i="75"/>
  <c r="K115" i="75"/>
  <c r="L115" i="75"/>
  <c r="M115" i="75"/>
  <c r="D115" i="75"/>
  <c r="E115" i="75"/>
  <c r="F115" i="75"/>
  <c r="G115" i="75"/>
  <c r="H115" i="75"/>
  <c r="B115" i="75"/>
  <c r="C115" i="75"/>
  <c r="G2" i="75"/>
  <c r="H113" i="75"/>
  <c r="F113" i="75"/>
  <c r="D113" i="75"/>
  <c r="N99" i="75"/>
  <c r="N108" i="75"/>
  <c r="N101" i="75"/>
  <c r="N109" i="75"/>
  <c r="M99" i="75"/>
  <c r="M108" i="75"/>
  <c r="M101" i="75"/>
  <c r="M109" i="75"/>
  <c r="L99" i="75"/>
  <c r="L108" i="75"/>
  <c r="L101" i="75"/>
  <c r="L109" i="75"/>
  <c r="K99" i="75"/>
  <c r="K108" i="75"/>
  <c r="K101" i="75"/>
  <c r="K109" i="75"/>
  <c r="J99" i="75"/>
  <c r="J108" i="75"/>
  <c r="J101" i="75"/>
  <c r="J109" i="75"/>
  <c r="I99" i="75"/>
  <c r="I108" i="75"/>
  <c r="I101" i="75"/>
  <c r="I109" i="75"/>
  <c r="H99" i="75"/>
  <c r="H108" i="75"/>
  <c r="H101" i="75"/>
  <c r="H109" i="75"/>
  <c r="G99" i="75"/>
  <c r="G108" i="75"/>
  <c r="G101" i="75"/>
  <c r="G109" i="75"/>
  <c r="F99" i="75"/>
  <c r="F108" i="75"/>
  <c r="F101" i="75"/>
  <c r="F109" i="75"/>
  <c r="E99" i="75"/>
  <c r="E108" i="75"/>
  <c r="E101" i="75"/>
  <c r="E109" i="75"/>
  <c r="D99" i="75"/>
  <c r="D108" i="75"/>
  <c r="D101" i="75"/>
  <c r="D109" i="75"/>
  <c r="C99" i="75"/>
  <c r="C108" i="75"/>
  <c r="C101" i="75"/>
  <c r="C109" i="75"/>
  <c r="N107" i="75"/>
  <c r="M107" i="75"/>
  <c r="L107" i="75"/>
  <c r="K107" i="75"/>
  <c r="J107" i="75"/>
  <c r="I107" i="75"/>
  <c r="H107" i="75"/>
  <c r="G107" i="75"/>
  <c r="F107" i="75"/>
  <c r="E107" i="75"/>
  <c r="D107" i="75"/>
  <c r="C107" i="75"/>
  <c r="N106" i="75"/>
  <c r="M106" i="75"/>
  <c r="L106" i="75"/>
  <c r="K106" i="75"/>
  <c r="J106" i="75"/>
  <c r="I106" i="75"/>
  <c r="H106" i="75"/>
  <c r="G106" i="75"/>
  <c r="F106" i="75"/>
  <c r="E106" i="75"/>
  <c r="D106" i="75"/>
  <c r="C106" i="75"/>
  <c r="N105" i="75"/>
  <c r="M105" i="75"/>
  <c r="L105" i="75"/>
  <c r="K105" i="75"/>
  <c r="J105" i="75"/>
  <c r="I105" i="75"/>
  <c r="H105" i="75"/>
  <c r="G105" i="75"/>
  <c r="F105" i="75"/>
  <c r="E105" i="75"/>
  <c r="D105" i="75"/>
  <c r="C105" i="75"/>
  <c r="N104" i="75"/>
  <c r="M104" i="75"/>
  <c r="L104" i="75"/>
  <c r="K104" i="75"/>
  <c r="J104" i="75"/>
  <c r="I104" i="75"/>
  <c r="H104" i="75"/>
  <c r="G104" i="75"/>
  <c r="F104" i="75"/>
  <c r="E104" i="75"/>
  <c r="D104" i="75"/>
  <c r="C104" i="75"/>
  <c r="N103" i="75"/>
  <c r="M103" i="75"/>
  <c r="L103" i="75"/>
  <c r="K103" i="75"/>
  <c r="J103" i="75"/>
  <c r="I103" i="75"/>
  <c r="H103" i="75"/>
  <c r="G103" i="75"/>
  <c r="F103" i="75"/>
  <c r="E103" i="75"/>
  <c r="D103" i="75"/>
  <c r="C103" i="75"/>
  <c r="N102" i="75"/>
  <c r="M102" i="75"/>
  <c r="L102" i="75"/>
  <c r="K102" i="75"/>
  <c r="J102" i="75"/>
  <c r="I102" i="75"/>
  <c r="H102" i="75"/>
  <c r="G102" i="75"/>
  <c r="F102" i="75"/>
  <c r="E102" i="75"/>
  <c r="D102" i="75"/>
  <c r="C102" i="75"/>
  <c r="N100" i="75"/>
  <c r="M100" i="75"/>
  <c r="L100" i="75"/>
  <c r="K100" i="75"/>
  <c r="J100" i="75"/>
  <c r="I100" i="75"/>
  <c r="H100" i="75"/>
  <c r="G100" i="75"/>
  <c r="F100" i="75"/>
  <c r="E100" i="75"/>
  <c r="D100" i="75"/>
  <c r="C100" i="75"/>
  <c r="M87" i="75"/>
  <c r="N87" i="75"/>
  <c r="K87" i="75"/>
  <c r="J87" i="75"/>
  <c r="F80" i="75"/>
  <c r="H87" i="75"/>
  <c r="D87" i="75"/>
  <c r="B87" i="75"/>
  <c r="M86" i="75"/>
  <c r="N86" i="75"/>
  <c r="K86" i="75"/>
  <c r="J86" i="75"/>
  <c r="H86" i="75"/>
  <c r="D86" i="75"/>
  <c r="M85" i="75"/>
  <c r="N85" i="75"/>
  <c r="K85" i="75"/>
  <c r="J85" i="75"/>
  <c r="H85" i="75"/>
  <c r="D85" i="75"/>
  <c r="B85" i="75"/>
  <c r="M84" i="75"/>
  <c r="N84" i="75"/>
  <c r="K84" i="75"/>
  <c r="J84" i="75"/>
  <c r="H84" i="75"/>
  <c r="D84" i="75"/>
  <c r="B84" i="75"/>
  <c r="M83" i="75"/>
  <c r="N83" i="75"/>
  <c r="K83" i="75"/>
  <c r="J83" i="75"/>
  <c r="H83" i="75"/>
  <c r="D83" i="75"/>
  <c r="B83" i="75"/>
  <c r="M82" i="75"/>
  <c r="N82" i="75"/>
  <c r="K82" i="75"/>
  <c r="J82" i="75"/>
  <c r="H82" i="75"/>
  <c r="D82" i="75"/>
  <c r="B82" i="75"/>
  <c r="M81" i="75"/>
  <c r="N81" i="75"/>
  <c r="K81" i="75"/>
  <c r="J81" i="75"/>
  <c r="H81" i="75"/>
  <c r="D81" i="75"/>
  <c r="B81" i="75"/>
  <c r="M80" i="75"/>
  <c r="N80" i="75"/>
  <c r="K80" i="75"/>
  <c r="J80" i="75"/>
  <c r="H80" i="75"/>
  <c r="D80" i="75"/>
  <c r="E80" i="75"/>
  <c r="B80" i="75"/>
  <c r="B78" i="75"/>
  <c r="M77" i="75"/>
  <c r="N77" i="75"/>
  <c r="K77" i="75"/>
  <c r="J77" i="75"/>
  <c r="I2" i="75"/>
  <c r="N7" i="75"/>
  <c r="F69" i="75"/>
  <c r="H77" i="75"/>
  <c r="M76" i="75"/>
  <c r="N76" i="75"/>
  <c r="K76" i="75"/>
  <c r="J76" i="75"/>
  <c r="H76" i="75"/>
  <c r="B76" i="75"/>
  <c r="M75" i="75"/>
  <c r="N75" i="75"/>
  <c r="K75" i="75"/>
  <c r="J75" i="75"/>
  <c r="H75" i="75"/>
  <c r="M74" i="75"/>
  <c r="N74" i="75"/>
  <c r="K74" i="75"/>
  <c r="J74" i="75"/>
  <c r="H74" i="75"/>
  <c r="B74" i="75"/>
  <c r="M73" i="75"/>
  <c r="N73" i="75"/>
  <c r="K73" i="75"/>
  <c r="J73" i="75"/>
  <c r="H73" i="75"/>
  <c r="B73" i="75"/>
  <c r="M72" i="75"/>
  <c r="N72" i="75"/>
  <c r="K72" i="75"/>
  <c r="J72" i="75"/>
  <c r="H72" i="75"/>
  <c r="B72" i="75"/>
  <c r="M71" i="75"/>
  <c r="N71" i="75"/>
  <c r="K71" i="75"/>
  <c r="J71" i="75"/>
  <c r="H71" i="75"/>
  <c r="B71" i="75"/>
  <c r="M70" i="75"/>
  <c r="N70" i="75"/>
  <c r="K70" i="75"/>
  <c r="J70" i="75"/>
  <c r="H70" i="75"/>
  <c r="B70" i="75"/>
  <c r="M69" i="75"/>
  <c r="N69" i="75"/>
  <c r="K69" i="75"/>
  <c r="J69" i="75"/>
  <c r="H69" i="75"/>
  <c r="B69" i="75"/>
  <c r="M66" i="75"/>
  <c r="N66" i="75"/>
  <c r="K66" i="75"/>
  <c r="J66" i="75"/>
  <c r="F58" i="75"/>
  <c r="H66" i="75"/>
  <c r="D66" i="75"/>
  <c r="B66" i="75"/>
  <c r="M65" i="75"/>
  <c r="N65" i="75"/>
  <c r="K65" i="75"/>
  <c r="J65" i="75"/>
  <c r="H65" i="75"/>
  <c r="D65" i="75"/>
  <c r="B65" i="75"/>
  <c r="M64" i="75"/>
  <c r="N64" i="75"/>
  <c r="K64" i="75"/>
  <c r="J64" i="75"/>
  <c r="H64" i="75"/>
  <c r="D64" i="75"/>
  <c r="B64" i="75"/>
  <c r="M63" i="75"/>
  <c r="N63" i="75"/>
  <c r="K63" i="75"/>
  <c r="J63" i="75"/>
  <c r="H63" i="75"/>
  <c r="D63" i="75"/>
  <c r="M62" i="75"/>
  <c r="N62" i="75"/>
  <c r="K62" i="75"/>
  <c r="J62" i="75"/>
  <c r="H62" i="75"/>
  <c r="D62" i="75"/>
  <c r="B62" i="75"/>
  <c r="M61" i="75"/>
  <c r="N61" i="75"/>
  <c r="K61" i="75"/>
  <c r="J61" i="75"/>
  <c r="H61" i="75"/>
  <c r="D61" i="75"/>
  <c r="M60" i="75"/>
  <c r="N60" i="75"/>
  <c r="K60" i="75"/>
  <c r="J60" i="75"/>
  <c r="H60" i="75"/>
  <c r="D60" i="75"/>
  <c r="B60" i="75"/>
  <c r="M59" i="75"/>
  <c r="N59" i="75"/>
  <c r="K59" i="75"/>
  <c r="J59" i="75"/>
  <c r="H59" i="75"/>
  <c r="D59" i="75"/>
  <c r="B59" i="75"/>
  <c r="M58" i="75"/>
  <c r="N58" i="75"/>
  <c r="K58" i="75"/>
  <c r="J58" i="75"/>
  <c r="H58" i="75"/>
  <c r="D58" i="75"/>
  <c r="E58" i="75"/>
  <c r="B58" i="75"/>
  <c r="B56" i="75"/>
  <c r="M55" i="75"/>
  <c r="N55" i="75"/>
  <c r="K55" i="75"/>
  <c r="J55" i="75"/>
  <c r="F47" i="75"/>
  <c r="H55" i="75"/>
  <c r="D55" i="75"/>
  <c r="B55" i="75"/>
  <c r="M54" i="75"/>
  <c r="N54" i="75"/>
  <c r="K54" i="75"/>
  <c r="J54" i="75"/>
  <c r="H54" i="75"/>
  <c r="D54" i="75"/>
  <c r="B54" i="75"/>
  <c r="M53" i="75"/>
  <c r="N53" i="75"/>
  <c r="K53" i="75"/>
  <c r="J53" i="75"/>
  <c r="H53" i="75"/>
  <c r="D53" i="75"/>
  <c r="B53" i="75"/>
  <c r="M52" i="75"/>
  <c r="N52" i="75"/>
  <c r="K52" i="75"/>
  <c r="J52" i="75"/>
  <c r="H52" i="75"/>
  <c r="D52" i="75"/>
  <c r="M51" i="75"/>
  <c r="N51" i="75"/>
  <c r="K51" i="75"/>
  <c r="J51" i="75"/>
  <c r="H51" i="75"/>
  <c r="D51" i="75"/>
  <c r="B51" i="75"/>
  <c r="M50" i="75"/>
  <c r="N50" i="75"/>
  <c r="K50" i="75"/>
  <c r="J50" i="75"/>
  <c r="H50" i="75"/>
  <c r="D50" i="75"/>
  <c r="M49" i="75"/>
  <c r="N49" i="75"/>
  <c r="K49" i="75"/>
  <c r="J49" i="75"/>
  <c r="H49" i="75"/>
  <c r="D49" i="75"/>
  <c r="B49" i="75"/>
  <c r="M48" i="75"/>
  <c r="N48" i="75"/>
  <c r="K48" i="75"/>
  <c r="J48" i="75"/>
  <c r="H48" i="75"/>
  <c r="D48" i="75"/>
  <c r="B48" i="75"/>
  <c r="M47" i="75"/>
  <c r="N47" i="75"/>
  <c r="K47" i="75"/>
  <c r="J47" i="75"/>
  <c r="H47" i="75"/>
  <c r="D47" i="75"/>
  <c r="E47" i="75"/>
  <c r="B47" i="75"/>
  <c r="B45" i="75"/>
  <c r="M7" i="75"/>
  <c r="C6" i="75"/>
  <c r="C15" i="75"/>
  <c r="D15" i="75"/>
  <c r="E15" i="75"/>
  <c r="F15" i="75"/>
  <c r="C12" i="75"/>
  <c r="G17" i="75"/>
  <c r="H17" i="75"/>
  <c r="I17" i="75"/>
  <c r="J17" i="75"/>
  <c r="C17" i="75"/>
  <c r="C16" i="75"/>
  <c r="C5" i="75"/>
  <c r="G19" i="75"/>
  <c r="J20" i="75"/>
  <c r="F39" i="75"/>
  <c r="H39" i="75"/>
  <c r="F38" i="75"/>
  <c r="H38" i="75"/>
  <c r="F37" i="75"/>
  <c r="H37" i="75"/>
  <c r="D5" i="75"/>
  <c r="F36" i="75"/>
  <c r="H36" i="75"/>
  <c r="F35" i="75"/>
  <c r="H35" i="75"/>
  <c r="F34" i="75"/>
  <c r="H34" i="75"/>
  <c r="F33" i="75"/>
  <c r="H33" i="75"/>
  <c r="C18" i="75"/>
  <c r="C23" i="75"/>
  <c r="C21" i="75"/>
  <c r="P25" i="75"/>
  <c r="P24" i="75"/>
  <c r="P23" i="75"/>
  <c r="P22" i="75"/>
  <c r="J22" i="75"/>
  <c r="H22" i="75"/>
  <c r="G22" i="75"/>
  <c r="F22" i="75"/>
  <c r="E22" i="75"/>
  <c r="D22" i="75"/>
  <c r="P21" i="75"/>
  <c r="M20" i="75"/>
  <c r="O19" i="75"/>
  <c r="M19" i="75"/>
  <c r="I19" i="75"/>
  <c r="E17" i="75"/>
  <c r="AJ9" i="75"/>
  <c r="AJ12" i="75"/>
  <c r="AJ11" i="75"/>
  <c r="AJ13" i="75"/>
  <c r="AI9" i="75"/>
  <c r="AI12" i="75"/>
  <c r="AI11" i="75"/>
  <c r="AI13" i="75"/>
  <c r="AH9" i="75"/>
  <c r="AH12" i="75"/>
  <c r="AH11" i="75"/>
  <c r="AH13" i="75"/>
  <c r="AG9" i="75"/>
  <c r="AG12" i="75"/>
  <c r="AG11" i="75"/>
  <c r="AG13" i="75"/>
  <c r="AF9" i="75"/>
  <c r="AF12" i="75"/>
  <c r="AF11" i="75"/>
  <c r="AF13" i="75"/>
  <c r="AE9" i="75"/>
  <c r="AE12" i="75"/>
  <c r="AE11" i="75"/>
  <c r="AE13" i="75"/>
  <c r="AD9" i="75"/>
  <c r="AD12" i="75"/>
  <c r="AD11" i="75"/>
  <c r="AD13" i="75"/>
  <c r="AC9" i="75"/>
  <c r="AC12" i="75"/>
  <c r="AC11" i="75"/>
  <c r="AC13" i="75"/>
  <c r="AB9" i="75"/>
  <c r="AB12" i="75"/>
  <c r="AB11" i="75"/>
  <c r="AB13" i="75"/>
  <c r="AA9" i="75"/>
  <c r="AA12" i="75"/>
  <c r="AA11" i="75"/>
  <c r="AA13" i="75"/>
  <c r="Z9" i="75"/>
  <c r="Z12" i="75"/>
  <c r="Z11" i="75"/>
  <c r="Z13" i="75"/>
  <c r="Y12" i="75"/>
  <c r="Y11" i="75"/>
  <c r="Y13" i="75"/>
  <c r="N12" i="75"/>
  <c r="M12" i="75"/>
  <c r="N11" i="75"/>
  <c r="M11" i="75"/>
  <c r="C10" i="75"/>
  <c r="C11" i="75"/>
  <c r="E11" i="75"/>
  <c r="AJ10" i="75"/>
  <c r="AI10" i="75"/>
  <c r="AH10" i="75"/>
  <c r="AG10" i="75"/>
  <c r="AF10" i="75"/>
  <c r="AE10" i="75"/>
  <c r="AD10" i="75"/>
  <c r="AC10" i="75"/>
  <c r="AB10" i="75"/>
  <c r="AA10" i="75"/>
  <c r="Z10" i="75"/>
  <c r="Y10" i="75"/>
  <c r="N10" i="75"/>
  <c r="M10" i="75"/>
  <c r="E10" i="75"/>
  <c r="N9" i="75"/>
  <c r="M9" i="75"/>
  <c r="E9" i="75"/>
  <c r="C9" i="75"/>
  <c r="N8" i="75"/>
  <c r="M8" i="75"/>
  <c r="E8" i="75"/>
  <c r="Z7" i="75"/>
  <c r="X7" i="75"/>
  <c r="S7" i="75"/>
  <c r="C7" i="75"/>
  <c r="A7" i="75"/>
  <c r="S6" i="75"/>
  <c r="N6" i="75"/>
  <c r="M6" i="75"/>
  <c r="S5" i="75"/>
  <c r="N5" i="75"/>
  <c r="M5" i="75"/>
  <c r="S4" i="75"/>
  <c r="N4" i="75"/>
  <c r="M4" i="75"/>
  <c r="S3" i="75"/>
  <c r="N3" i="75"/>
  <c r="M3" i="75"/>
  <c r="D1" i="75"/>
  <c r="S2" i="75"/>
  <c r="N2" i="75"/>
  <c r="M2" i="75"/>
  <c r="N1" i="75"/>
  <c r="M1" i="75"/>
  <c r="C13" i="74"/>
  <c r="F14" i="74"/>
  <c r="C14" i="74"/>
  <c r="F15" i="74"/>
  <c r="C15" i="74"/>
  <c r="K1" i="74"/>
  <c r="E16" i="74"/>
  <c r="F17" i="74"/>
  <c r="C17" i="74"/>
  <c r="E19" i="74"/>
  <c r="E21" i="74"/>
  <c r="E22" i="74"/>
  <c r="F23" i="74"/>
  <c r="F24" i="74"/>
  <c r="F29" i="74"/>
  <c r="F25" i="74"/>
  <c r="C25" i="74"/>
  <c r="G28" i="74"/>
  <c r="G27" i="74"/>
  <c r="G26" i="74"/>
  <c r="K9" i="74"/>
  <c r="J9" i="74"/>
  <c r="I9" i="74"/>
  <c r="H9" i="74"/>
  <c r="G9" i="74"/>
  <c r="F9" i="74"/>
  <c r="E9" i="74"/>
  <c r="D9" i="74"/>
  <c r="C9" i="74"/>
  <c r="G17" i="70"/>
  <c r="H17" i="70"/>
  <c r="I17" i="70"/>
  <c r="J17" i="70"/>
  <c r="C16" i="70"/>
  <c r="C5" i="70"/>
  <c r="E4" i="72"/>
  <c r="G17" i="46"/>
  <c r="H17" i="46"/>
  <c r="I17" i="46"/>
  <c r="J17" i="46"/>
  <c r="C16" i="46"/>
  <c r="C5" i="46"/>
  <c r="M9" i="1"/>
  <c r="C13" i="71"/>
  <c r="C14" i="71"/>
  <c r="C15" i="71"/>
  <c r="C17" i="71"/>
  <c r="C13" i="12"/>
  <c r="F22" i="6"/>
  <c r="F19" i="6"/>
  <c r="E19" i="6"/>
  <c r="K6" i="1"/>
  <c r="M6" i="1"/>
  <c r="O6" i="1"/>
  <c r="P6" i="1"/>
  <c r="K7" i="1"/>
  <c r="M7" i="1"/>
  <c r="O7" i="1"/>
  <c r="P7" i="1"/>
  <c r="K8" i="1"/>
  <c r="M8" i="1"/>
  <c r="O8" i="1"/>
  <c r="P8" i="1"/>
  <c r="A9" i="1"/>
  <c r="E22" i="6"/>
  <c r="K9" i="1"/>
  <c r="O9" i="1"/>
  <c r="P9" i="1"/>
  <c r="K10" i="1"/>
  <c r="M10" i="1"/>
  <c r="O10" i="1"/>
  <c r="P10" i="1"/>
  <c r="K11" i="1"/>
  <c r="M11" i="1"/>
  <c r="O11" i="1"/>
  <c r="P11" i="1"/>
  <c r="K12" i="1"/>
  <c r="M12" i="1"/>
  <c r="O12" i="1"/>
  <c r="P12" i="1"/>
  <c r="K13" i="1"/>
  <c r="M13" i="1"/>
  <c r="O13" i="1"/>
  <c r="P13" i="1"/>
  <c r="BQ16" i="3"/>
  <c r="BQ5" i="3"/>
  <c r="BS16" i="3"/>
  <c r="BS5" i="3"/>
  <c r="F28" i="6"/>
  <c r="BR16" i="3"/>
  <c r="BR5" i="3"/>
  <c r="BT16" i="3"/>
  <c r="BT5" i="3"/>
  <c r="G28" i="6"/>
  <c r="E28" i="6"/>
  <c r="K14" i="1"/>
  <c r="M14" i="1"/>
  <c r="O14" i="1"/>
  <c r="P14" i="1"/>
  <c r="P16" i="1"/>
  <c r="K1" i="71"/>
  <c r="F14" i="71"/>
  <c r="F15" i="71"/>
  <c r="C42" i="1"/>
  <c r="BB13" i="3"/>
  <c r="BA13" i="3"/>
  <c r="AZ13" i="3"/>
  <c r="BB16" i="3"/>
  <c r="BC16" i="3"/>
  <c r="BD16" i="3"/>
  <c r="BE16" i="3"/>
  <c r="BF16" i="3"/>
  <c r="BG16" i="3"/>
  <c r="BH16" i="3"/>
  <c r="BI16" i="3"/>
  <c r="BJ16" i="3"/>
  <c r="BK16" i="3"/>
  <c r="BA16" i="3"/>
  <c r="BM16" i="3"/>
  <c r="BN16" i="3"/>
  <c r="BO16" i="3"/>
  <c r="BP16" i="3"/>
  <c r="BL16" i="3"/>
  <c r="AZ16" i="3"/>
  <c r="AZ5" i="3"/>
  <c r="E3" i="6"/>
  <c r="E16" i="71"/>
  <c r="F17" i="71"/>
  <c r="BE11" i="3"/>
  <c r="BE5" i="3"/>
  <c r="E5" i="6"/>
  <c r="E21" i="71"/>
  <c r="E6" i="6"/>
  <c r="E22" i="71"/>
  <c r="F23" i="71"/>
  <c r="B22" i="1"/>
  <c r="C2" i="65"/>
  <c r="I1" i="65"/>
  <c r="F24" i="71"/>
  <c r="B43" i="1"/>
  <c r="B41" i="1"/>
  <c r="F29" i="71"/>
  <c r="Q16" i="1"/>
  <c r="F25" i="71"/>
  <c r="C25" i="71"/>
  <c r="K1" i="12"/>
  <c r="F14" i="12"/>
  <c r="C14" i="12"/>
  <c r="F15" i="12"/>
  <c r="E16" i="12"/>
  <c r="F17" i="12"/>
  <c r="C17" i="12"/>
  <c r="E21" i="12"/>
  <c r="E22" i="12"/>
  <c r="F23" i="12"/>
  <c r="F24" i="12"/>
  <c r="F29" i="12"/>
  <c r="F25" i="12"/>
  <c r="C25" i="12"/>
  <c r="J20" i="70"/>
  <c r="I20" i="70"/>
  <c r="I20" i="46"/>
  <c r="C8" i="69"/>
  <c r="B8" i="69"/>
  <c r="D5" i="69"/>
  <c r="E19" i="71"/>
  <c r="G28" i="71"/>
  <c r="G27" i="71"/>
  <c r="G26" i="71"/>
  <c r="K9" i="71"/>
  <c r="J9" i="71"/>
  <c r="I9" i="71"/>
  <c r="H9" i="71"/>
  <c r="G9" i="71"/>
  <c r="F9" i="71"/>
  <c r="E9" i="71"/>
  <c r="D9" i="71"/>
  <c r="C9" i="71"/>
  <c r="H13" i="3"/>
  <c r="G13" i="3"/>
  <c r="H16" i="3"/>
  <c r="G16" i="3"/>
  <c r="G5" i="3"/>
  <c r="B3" i="3"/>
  <c r="AY6" i="3"/>
  <c r="D3" i="6"/>
  <c r="D22" i="6"/>
  <c r="H22" i="6"/>
  <c r="R22" i="6"/>
  <c r="R9" i="1"/>
  <c r="G3" i="70"/>
  <c r="B113" i="70"/>
  <c r="I118" i="70"/>
  <c r="J118" i="70"/>
  <c r="K118" i="70"/>
  <c r="L118" i="70"/>
  <c r="M118" i="70"/>
  <c r="G118" i="70"/>
  <c r="H118" i="70"/>
  <c r="D118" i="70"/>
  <c r="E118" i="70"/>
  <c r="F118" i="70"/>
  <c r="B118" i="70"/>
  <c r="C118" i="70"/>
  <c r="I117" i="70"/>
  <c r="J117" i="70"/>
  <c r="K117" i="70"/>
  <c r="L117" i="70"/>
  <c r="M117" i="70"/>
  <c r="D117" i="70"/>
  <c r="E117" i="70"/>
  <c r="F117" i="70"/>
  <c r="G117" i="70"/>
  <c r="H117" i="70"/>
  <c r="B117" i="70"/>
  <c r="C117" i="70"/>
  <c r="I116" i="70"/>
  <c r="J116" i="70"/>
  <c r="K116" i="70"/>
  <c r="L116" i="70"/>
  <c r="M116" i="70"/>
  <c r="D116" i="70"/>
  <c r="E116" i="70"/>
  <c r="F116" i="70"/>
  <c r="G116" i="70"/>
  <c r="H116" i="70"/>
  <c r="B116" i="70"/>
  <c r="C116" i="70"/>
  <c r="I115" i="70"/>
  <c r="J115" i="70"/>
  <c r="K115" i="70"/>
  <c r="L115" i="70"/>
  <c r="M115" i="70"/>
  <c r="D115" i="70"/>
  <c r="E115" i="70"/>
  <c r="F115" i="70"/>
  <c r="G115" i="70"/>
  <c r="H115" i="70"/>
  <c r="B115" i="70"/>
  <c r="C115" i="70"/>
  <c r="G2" i="70"/>
  <c r="H113" i="70"/>
  <c r="F113" i="70"/>
  <c r="D113" i="70"/>
  <c r="N99" i="70"/>
  <c r="N108" i="70"/>
  <c r="N101" i="70"/>
  <c r="N109" i="70"/>
  <c r="M99" i="70"/>
  <c r="M108" i="70"/>
  <c r="M101" i="70"/>
  <c r="M109" i="70"/>
  <c r="L99" i="70"/>
  <c r="L108" i="70"/>
  <c r="L101" i="70"/>
  <c r="L109" i="70"/>
  <c r="K99" i="70"/>
  <c r="K108" i="70"/>
  <c r="K101" i="70"/>
  <c r="K109" i="70"/>
  <c r="J99" i="70"/>
  <c r="J108" i="70"/>
  <c r="J101" i="70"/>
  <c r="J109" i="70"/>
  <c r="I99" i="70"/>
  <c r="I108" i="70"/>
  <c r="I101" i="70"/>
  <c r="I109" i="70"/>
  <c r="H99" i="70"/>
  <c r="H108" i="70"/>
  <c r="H101" i="70"/>
  <c r="H109" i="70"/>
  <c r="G99" i="70"/>
  <c r="G108" i="70"/>
  <c r="G101" i="70"/>
  <c r="G109" i="70"/>
  <c r="F99" i="70"/>
  <c r="F108" i="70"/>
  <c r="F101" i="70"/>
  <c r="F109" i="70"/>
  <c r="E99" i="70"/>
  <c r="E108" i="70"/>
  <c r="E101" i="70"/>
  <c r="E109" i="70"/>
  <c r="D99" i="70"/>
  <c r="D108" i="70"/>
  <c r="D101" i="70"/>
  <c r="D109" i="70"/>
  <c r="C99" i="70"/>
  <c r="C108" i="70"/>
  <c r="C101" i="70"/>
  <c r="C109" i="70"/>
  <c r="N107" i="70"/>
  <c r="M107" i="70"/>
  <c r="L107" i="70"/>
  <c r="K107" i="70"/>
  <c r="J107" i="70"/>
  <c r="I107" i="70"/>
  <c r="H107" i="70"/>
  <c r="G107" i="70"/>
  <c r="F107" i="70"/>
  <c r="E107" i="70"/>
  <c r="D107" i="70"/>
  <c r="C107" i="70"/>
  <c r="N106" i="70"/>
  <c r="M106" i="70"/>
  <c r="L106" i="70"/>
  <c r="K106" i="70"/>
  <c r="J106" i="70"/>
  <c r="I106" i="70"/>
  <c r="H106" i="70"/>
  <c r="G106" i="70"/>
  <c r="F106" i="70"/>
  <c r="E106" i="70"/>
  <c r="D106" i="70"/>
  <c r="C106" i="70"/>
  <c r="N105" i="70"/>
  <c r="M105" i="70"/>
  <c r="L105" i="70"/>
  <c r="K105" i="70"/>
  <c r="J105" i="70"/>
  <c r="I105" i="70"/>
  <c r="H105" i="70"/>
  <c r="G105" i="70"/>
  <c r="F105" i="70"/>
  <c r="E105" i="70"/>
  <c r="D105" i="70"/>
  <c r="C105" i="70"/>
  <c r="N104" i="70"/>
  <c r="M104" i="70"/>
  <c r="L104" i="70"/>
  <c r="K104" i="70"/>
  <c r="J104" i="70"/>
  <c r="I104" i="70"/>
  <c r="H104" i="70"/>
  <c r="G104" i="70"/>
  <c r="F104" i="70"/>
  <c r="E104" i="70"/>
  <c r="D104" i="70"/>
  <c r="C104" i="70"/>
  <c r="N103" i="70"/>
  <c r="M103" i="70"/>
  <c r="L103" i="70"/>
  <c r="K103" i="70"/>
  <c r="J103" i="70"/>
  <c r="I103" i="70"/>
  <c r="H103" i="70"/>
  <c r="G103" i="70"/>
  <c r="F103" i="70"/>
  <c r="E103" i="70"/>
  <c r="D103" i="70"/>
  <c r="C103" i="70"/>
  <c r="N102" i="70"/>
  <c r="M102" i="70"/>
  <c r="L102" i="70"/>
  <c r="K102" i="70"/>
  <c r="J102" i="70"/>
  <c r="I102" i="70"/>
  <c r="H102" i="70"/>
  <c r="G102" i="70"/>
  <c r="F102" i="70"/>
  <c r="E102" i="70"/>
  <c r="D102" i="70"/>
  <c r="C102" i="70"/>
  <c r="N100" i="70"/>
  <c r="M100" i="70"/>
  <c r="L100" i="70"/>
  <c r="K100" i="70"/>
  <c r="J100" i="70"/>
  <c r="I100" i="70"/>
  <c r="H100" i="70"/>
  <c r="G100" i="70"/>
  <c r="F100" i="70"/>
  <c r="E100" i="70"/>
  <c r="D100" i="70"/>
  <c r="C100" i="70"/>
  <c r="M87" i="70"/>
  <c r="N87" i="70"/>
  <c r="K87" i="70"/>
  <c r="J87" i="70"/>
  <c r="F80" i="70"/>
  <c r="H87" i="70"/>
  <c r="D87" i="70"/>
  <c r="B87" i="70"/>
  <c r="M86" i="70"/>
  <c r="N86" i="70"/>
  <c r="K86" i="70"/>
  <c r="J86" i="70"/>
  <c r="H86" i="70"/>
  <c r="D86" i="70"/>
  <c r="M85" i="70"/>
  <c r="N85" i="70"/>
  <c r="K85" i="70"/>
  <c r="J85" i="70"/>
  <c r="H85" i="70"/>
  <c r="D85" i="70"/>
  <c r="B85" i="70"/>
  <c r="M84" i="70"/>
  <c r="N84" i="70"/>
  <c r="K84" i="70"/>
  <c r="J84" i="70"/>
  <c r="H84" i="70"/>
  <c r="D84" i="70"/>
  <c r="B84" i="70"/>
  <c r="M83" i="70"/>
  <c r="N83" i="70"/>
  <c r="K83" i="70"/>
  <c r="J83" i="70"/>
  <c r="H83" i="70"/>
  <c r="D83" i="70"/>
  <c r="B83" i="70"/>
  <c r="M82" i="70"/>
  <c r="N82" i="70"/>
  <c r="K82" i="70"/>
  <c r="J82" i="70"/>
  <c r="H82" i="70"/>
  <c r="D82" i="70"/>
  <c r="B82" i="70"/>
  <c r="M81" i="70"/>
  <c r="N81" i="70"/>
  <c r="K81" i="70"/>
  <c r="J81" i="70"/>
  <c r="H81" i="70"/>
  <c r="D81" i="70"/>
  <c r="B81" i="70"/>
  <c r="M80" i="70"/>
  <c r="N80" i="70"/>
  <c r="K80" i="70"/>
  <c r="J80" i="70"/>
  <c r="H80" i="70"/>
  <c r="D80" i="70"/>
  <c r="E80" i="70"/>
  <c r="B80" i="70"/>
  <c r="B78" i="70"/>
  <c r="M77" i="70"/>
  <c r="N77" i="70"/>
  <c r="K77" i="70"/>
  <c r="J77" i="70"/>
  <c r="I2" i="70"/>
  <c r="N7" i="70"/>
  <c r="F69" i="70"/>
  <c r="H77" i="70"/>
  <c r="M76" i="70"/>
  <c r="N76" i="70"/>
  <c r="K76" i="70"/>
  <c r="J76" i="70"/>
  <c r="H76" i="70"/>
  <c r="B76" i="70"/>
  <c r="M75" i="70"/>
  <c r="N75" i="70"/>
  <c r="K75" i="70"/>
  <c r="J75" i="70"/>
  <c r="H75" i="70"/>
  <c r="M74" i="70"/>
  <c r="N74" i="70"/>
  <c r="K74" i="70"/>
  <c r="J74" i="70"/>
  <c r="H74" i="70"/>
  <c r="B74" i="70"/>
  <c r="M73" i="70"/>
  <c r="N73" i="70"/>
  <c r="K73" i="70"/>
  <c r="J73" i="70"/>
  <c r="H73" i="70"/>
  <c r="B73" i="70"/>
  <c r="M72" i="70"/>
  <c r="N72" i="70"/>
  <c r="K72" i="70"/>
  <c r="J72" i="70"/>
  <c r="H72" i="70"/>
  <c r="B72" i="70"/>
  <c r="M71" i="70"/>
  <c r="N71" i="70"/>
  <c r="K71" i="70"/>
  <c r="J71" i="70"/>
  <c r="H71" i="70"/>
  <c r="B71" i="70"/>
  <c r="M70" i="70"/>
  <c r="N70" i="70"/>
  <c r="K70" i="70"/>
  <c r="J70" i="70"/>
  <c r="H70" i="70"/>
  <c r="B70" i="70"/>
  <c r="M69" i="70"/>
  <c r="N69" i="70"/>
  <c r="K69" i="70"/>
  <c r="J69" i="70"/>
  <c r="H69" i="70"/>
  <c r="B69" i="70"/>
  <c r="M66" i="70"/>
  <c r="N66" i="70"/>
  <c r="K66" i="70"/>
  <c r="J66" i="70"/>
  <c r="F58" i="70"/>
  <c r="H66" i="70"/>
  <c r="D66" i="70"/>
  <c r="B66" i="70"/>
  <c r="M65" i="70"/>
  <c r="N65" i="70"/>
  <c r="K65" i="70"/>
  <c r="J65" i="70"/>
  <c r="H65" i="70"/>
  <c r="D65" i="70"/>
  <c r="B65" i="70"/>
  <c r="M64" i="70"/>
  <c r="N64" i="70"/>
  <c r="K64" i="70"/>
  <c r="J64" i="70"/>
  <c r="H64" i="70"/>
  <c r="D64" i="70"/>
  <c r="B64" i="70"/>
  <c r="M63" i="70"/>
  <c r="N63" i="70"/>
  <c r="K63" i="70"/>
  <c r="J63" i="70"/>
  <c r="H63" i="70"/>
  <c r="D63" i="70"/>
  <c r="M62" i="70"/>
  <c r="N62" i="70"/>
  <c r="K62" i="70"/>
  <c r="J62" i="70"/>
  <c r="H62" i="70"/>
  <c r="D62" i="70"/>
  <c r="B62" i="70"/>
  <c r="M61" i="70"/>
  <c r="N61" i="70"/>
  <c r="K61" i="70"/>
  <c r="J61" i="70"/>
  <c r="H61" i="70"/>
  <c r="D61" i="70"/>
  <c r="M60" i="70"/>
  <c r="N60" i="70"/>
  <c r="K60" i="70"/>
  <c r="J60" i="70"/>
  <c r="H60" i="70"/>
  <c r="D60" i="70"/>
  <c r="B60" i="70"/>
  <c r="M59" i="70"/>
  <c r="N59" i="70"/>
  <c r="K59" i="70"/>
  <c r="J59" i="70"/>
  <c r="H59" i="70"/>
  <c r="D59" i="70"/>
  <c r="B59" i="70"/>
  <c r="M58" i="70"/>
  <c r="N58" i="70"/>
  <c r="K58" i="70"/>
  <c r="J58" i="70"/>
  <c r="H58" i="70"/>
  <c r="D58" i="70"/>
  <c r="E58" i="70"/>
  <c r="B58" i="70"/>
  <c r="B56" i="70"/>
  <c r="M55" i="70"/>
  <c r="N55" i="70"/>
  <c r="K55" i="70"/>
  <c r="J55" i="70"/>
  <c r="F47" i="70"/>
  <c r="H55" i="70"/>
  <c r="D55" i="70"/>
  <c r="B55" i="70"/>
  <c r="M54" i="70"/>
  <c r="N54" i="70"/>
  <c r="K54" i="70"/>
  <c r="J54" i="70"/>
  <c r="H54" i="70"/>
  <c r="D54" i="70"/>
  <c r="B54" i="70"/>
  <c r="M53" i="70"/>
  <c r="N53" i="70"/>
  <c r="K53" i="70"/>
  <c r="J53" i="70"/>
  <c r="H53" i="70"/>
  <c r="D53" i="70"/>
  <c r="B53" i="70"/>
  <c r="M52" i="70"/>
  <c r="N52" i="70"/>
  <c r="K52" i="70"/>
  <c r="J52" i="70"/>
  <c r="H52" i="70"/>
  <c r="D52" i="70"/>
  <c r="M51" i="70"/>
  <c r="N51" i="70"/>
  <c r="K51" i="70"/>
  <c r="J51" i="70"/>
  <c r="H51" i="70"/>
  <c r="D51" i="70"/>
  <c r="B51" i="70"/>
  <c r="M50" i="70"/>
  <c r="N50" i="70"/>
  <c r="K50" i="70"/>
  <c r="J50" i="70"/>
  <c r="H50" i="70"/>
  <c r="D50" i="70"/>
  <c r="M49" i="70"/>
  <c r="N49" i="70"/>
  <c r="K49" i="70"/>
  <c r="J49" i="70"/>
  <c r="H49" i="70"/>
  <c r="D49" i="70"/>
  <c r="B49" i="70"/>
  <c r="M48" i="70"/>
  <c r="N48" i="70"/>
  <c r="K48" i="70"/>
  <c r="J48" i="70"/>
  <c r="H48" i="70"/>
  <c r="D48" i="70"/>
  <c r="B48" i="70"/>
  <c r="M47" i="70"/>
  <c r="N47" i="70"/>
  <c r="K47" i="70"/>
  <c r="J47" i="70"/>
  <c r="H47" i="70"/>
  <c r="D47" i="70"/>
  <c r="E47" i="70"/>
  <c r="B47" i="70"/>
  <c r="B45" i="70"/>
  <c r="M7" i="70"/>
  <c r="C6" i="70"/>
  <c r="C17" i="70"/>
  <c r="C15" i="70"/>
  <c r="D15" i="70"/>
  <c r="E15" i="70"/>
  <c r="F15" i="70"/>
  <c r="C12" i="70"/>
  <c r="G19" i="70"/>
  <c r="F39" i="70"/>
  <c r="H39" i="70"/>
  <c r="F38" i="70"/>
  <c r="H38" i="70"/>
  <c r="F37" i="70"/>
  <c r="H37" i="70"/>
  <c r="D5" i="70"/>
  <c r="F36" i="70"/>
  <c r="H36" i="70"/>
  <c r="F35" i="70"/>
  <c r="H35" i="70"/>
  <c r="F34" i="70"/>
  <c r="H34" i="70"/>
  <c r="F33" i="70"/>
  <c r="H33" i="70"/>
  <c r="C18" i="70"/>
  <c r="C23" i="70"/>
  <c r="C21" i="70"/>
  <c r="P25" i="70"/>
  <c r="P24" i="70"/>
  <c r="P23" i="70"/>
  <c r="P22" i="70"/>
  <c r="J22" i="70"/>
  <c r="H22" i="70"/>
  <c r="G22" i="70"/>
  <c r="F22" i="70"/>
  <c r="E22" i="70"/>
  <c r="D22" i="70"/>
  <c r="P21" i="70"/>
  <c r="M20" i="70"/>
  <c r="O19" i="70"/>
  <c r="M19" i="70"/>
  <c r="I19" i="70"/>
  <c r="E17" i="70"/>
  <c r="AJ9" i="70"/>
  <c r="AJ12" i="70"/>
  <c r="AJ11" i="70"/>
  <c r="AJ13" i="70"/>
  <c r="AI9" i="70"/>
  <c r="AI12" i="70"/>
  <c r="AI11" i="70"/>
  <c r="AI13" i="70"/>
  <c r="AH9" i="70"/>
  <c r="AH12" i="70"/>
  <c r="AH11" i="70"/>
  <c r="AH13" i="70"/>
  <c r="AG9" i="70"/>
  <c r="AG12" i="70"/>
  <c r="AG11" i="70"/>
  <c r="AG13" i="70"/>
  <c r="AF9" i="70"/>
  <c r="AF12" i="70"/>
  <c r="AF11" i="70"/>
  <c r="AF13" i="70"/>
  <c r="AE9" i="70"/>
  <c r="AE12" i="70"/>
  <c r="AE11" i="70"/>
  <c r="AE13" i="70"/>
  <c r="AD9" i="70"/>
  <c r="AD12" i="70"/>
  <c r="AD11" i="70"/>
  <c r="AD13" i="70"/>
  <c r="AC9" i="70"/>
  <c r="AC12" i="70"/>
  <c r="AC11" i="70"/>
  <c r="AC13" i="70"/>
  <c r="AB9" i="70"/>
  <c r="AB12" i="70"/>
  <c r="AB11" i="70"/>
  <c r="AB13" i="70"/>
  <c r="AA9" i="70"/>
  <c r="AA12" i="70"/>
  <c r="AA11" i="70"/>
  <c r="AA13" i="70"/>
  <c r="Z9" i="70"/>
  <c r="Z12" i="70"/>
  <c r="Z11" i="70"/>
  <c r="Z13" i="70"/>
  <c r="Y12" i="70"/>
  <c r="Y11" i="70"/>
  <c r="Y13" i="70"/>
  <c r="N12" i="70"/>
  <c r="M12" i="70"/>
  <c r="N11" i="70"/>
  <c r="M11" i="70"/>
  <c r="C10" i="70"/>
  <c r="C11" i="70"/>
  <c r="E11" i="70"/>
  <c r="AJ10" i="70"/>
  <c r="AI10" i="70"/>
  <c r="AH10" i="70"/>
  <c r="AG10" i="70"/>
  <c r="AF10" i="70"/>
  <c r="AE10" i="70"/>
  <c r="AD10" i="70"/>
  <c r="AC10" i="70"/>
  <c r="AB10" i="70"/>
  <c r="AA10" i="70"/>
  <c r="Z10" i="70"/>
  <c r="Y10" i="70"/>
  <c r="N10" i="70"/>
  <c r="M10" i="70"/>
  <c r="E10" i="70"/>
  <c r="N9" i="70"/>
  <c r="M9" i="70"/>
  <c r="E9" i="70"/>
  <c r="C9" i="70"/>
  <c r="N8" i="70"/>
  <c r="M8" i="70"/>
  <c r="E8" i="70"/>
  <c r="Z7" i="70"/>
  <c r="X7" i="70"/>
  <c r="S7" i="70"/>
  <c r="C7" i="70"/>
  <c r="A7" i="70"/>
  <c r="S6" i="70"/>
  <c r="N6" i="70"/>
  <c r="M6" i="70"/>
  <c r="S5" i="70"/>
  <c r="N5" i="70"/>
  <c r="M5" i="70"/>
  <c r="S4" i="70"/>
  <c r="N4" i="70"/>
  <c r="M4" i="70"/>
  <c r="S3" i="70"/>
  <c r="N3" i="70"/>
  <c r="M3" i="70"/>
  <c r="D1" i="70"/>
  <c r="S2" i="70"/>
  <c r="N2" i="70"/>
  <c r="M2" i="70"/>
  <c r="N1" i="70"/>
  <c r="M1" i="70"/>
  <c r="G21" i="6"/>
  <c r="G20" i="6"/>
  <c r="N8" i="69"/>
  <c r="I7" i="69"/>
  <c r="H7" i="69"/>
  <c r="I6" i="69"/>
  <c r="I5" i="69"/>
  <c r="D3" i="69"/>
  <c r="D4" i="69"/>
  <c r="D2" i="69"/>
  <c r="B5" i="69"/>
  <c r="C5" i="69"/>
  <c r="A6" i="1"/>
  <c r="A7" i="1"/>
  <c r="E20" i="6"/>
  <c r="A8" i="1"/>
  <c r="E21" i="6"/>
  <c r="BQ13" i="3"/>
  <c r="BQ14" i="3"/>
  <c r="BQ15" i="3"/>
  <c r="BS13" i="3"/>
  <c r="BS14" i="3"/>
  <c r="BS15" i="3"/>
  <c r="BR13" i="3"/>
  <c r="BR14" i="3"/>
  <c r="BR15" i="3"/>
  <c r="BT13" i="3"/>
  <c r="BT14" i="3"/>
  <c r="BT15" i="3"/>
  <c r="M16" i="1"/>
  <c r="C13" i="68"/>
  <c r="F14" i="68"/>
  <c r="C14" i="68"/>
  <c r="B2" i="1"/>
  <c r="F15" i="68"/>
  <c r="C15" i="68"/>
  <c r="BC13" i="3"/>
  <c r="BD13" i="3"/>
  <c r="BE13" i="3"/>
  <c r="BF13" i="3"/>
  <c r="BG13" i="3"/>
  <c r="BH13" i="3"/>
  <c r="BI13" i="3"/>
  <c r="BJ13" i="3"/>
  <c r="BK13" i="3"/>
  <c r="BM13" i="3"/>
  <c r="BN13" i="3"/>
  <c r="BO13" i="3"/>
  <c r="BP13" i="3"/>
  <c r="BL13" i="3"/>
  <c r="BC14" i="3"/>
  <c r="BB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D16" i="68"/>
  <c r="E16" i="68"/>
  <c r="C16" i="68"/>
  <c r="F17" i="68"/>
  <c r="C17" i="68"/>
  <c r="C18" i="68"/>
  <c r="F19" i="68"/>
  <c r="C19" i="68"/>
  <c r="C1" i="65"/>
  <c r="H1" i="65"/>
  <c r="F24" i="68"/>
  <c r="F20" i="68"/>
  <c r="C26" i="68"/>
  <c r="D24" i="68" s="1"/>
  <c r="F27" i="68"/>
  <c r="C27" i="68"/>
  <c r="C20" i="68"/>
  <c r="N16" i="1"/>
  <c r="C29" i="68"/>
  <c r="F31" i="68"/>
  <c r="C31" i="68"/>
  <c r="Y5" i="59"/>
  <c r="AB5" i="59"/>
  <c r="X5" i="59"/>
  <c r="Z5" i="59"/>
  <c r="G19" i="46"/>
  <c r="J20" i="46"/>
  <c r="D32" i="68"/>
  <c r="D32" i="43"/>
  <c r="BB11" i="3"/>
  <c r="BC11" i="3"/>
  <c r="BD11" i="3"/>
  <c r="C6" i="68"/>
  <c r="G23" i="68"/>
  <c r="G22" i="68"/>
  <c r="G21" i="68"/>
  <c r="K9" i="68"/>
  <c r="J9" i="68"/>
  <c r="I9" i="68"/>
  <c r="H9" i="68"/>
  <c r="G9" i="68"/>
  <c r="F9" i="68"/>
  <c r="E9" i="68"/>
  <c r="D9" i="68"/>
  <c r="C9" i="68"/>
  <c r="H14" i="3"/>
  <c r="G14" i="3"/>
  <c r="H15" i="3"/>
  <c r="G15" i="3"/>
  <c r="K1" i="68"/>
  <c r="AH5" i="59"/>
  <c r="AG5" i="59"/>
  <c r="AE5" i="59"/>
  <c r="AF5" i="59"/>
  <c r="AD5" i="59"/>
  <c r="Q6" i="59"/>
  <c r="Q5" i="59"/>
  <c r="Q7" i="59"/>
  <c r="Q8" i="59"/>
  <c r="Q9" i="59"/>
  <c r="Q10" i="59"/>
  <c r="Q11" i="59"/>
  <c r="Q12" i="59"/>
  <c r="Q13" i="59"/>
  <c r="Q14" i="59"/>
  <c r="Q15" i="59"/>
  <c r="Q16" i="59"/>
  <c r="Q17" i="59"/>
  <c r="Q18" i="59"/>
  <c r="Q19" i="59"/>
  <c r="Q20" i="59"/>
  <c r="Q21" i="59"/>
  <c r="Q22" i="59"/>
  <c r="P6" i="59"/>
  <c r="P5" i="59"/>
  <c r="P7" i="59"/>
  <c r="P8" i="59"/>
  <c r="P9" i="59"/>
  <c r="P10" i="59"/>
  <c r="P11" i="59"/>
  <c r="P12" i="59"/>
  <c r="P13" i="59"/>
  <c r="P14" i="59"/>
  <c r="P15" i="59"/>
  <c r="P16" i="59"/>
  <c r="P17" i="59"/>
  <c r="P18" i="59"/>
  <c r="P19" i="59"/>
  <c r="P20" i="59"/>
  <c r="P21" i="59"/>
  <c r="P22" i="59"/>
  <c r="O6" i="59"/>
  <c r="O5" i="59"/>
  <c r="O7" i="59"/>
  <c r="O8" i="59"/>
  <c r="O9" i="59"/>
  <c r="O10" i="59"/>
  <c r="O11" i="59"/>
  <c r="O12" i="59"/>
  <c r="O13" i="59"/>
  <c r="O14" i="59"/>
  <c r="O15" i="59"/>
  <c r="O16" i="59"/>
  <c r="O17" i="59"/>
  <c r="O18" i="59"/>
  <c r="O19" i="59"/>
  <c r="O20" i="59"/>
  <c r="O21" i="59"/>
  <c r="O22" i="59"/>
  <c r="N6" i="59"/>
  <c r="N5" i="59"/>
  <c r="N7" i="59"/>
  <c r="N8" i="59"/>
  <c r="N9" i="59"/>
  <c r="N10" i="59"/>
  <c r="N11" i="59"/>
  <c r="N12" i="59"/>
  <c r="N13" i="59"/>
  <c r="N14" i="59"/>
  <c r="N15" i="59"/>
  <c r="N16" i="59"/>
  <c r="N17" i="59"/>
  <c r="N18" i="59"/>
  <c r="N19" i="59"/>
  <c r="N20" i="59"/>
  <c r="N21" i="59"/>
  <c r="N22"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G2" i="46"/>
  <c r="I2" i="46"/>
  <c r="M4" i="46"/>
  <c r="M7" i="46"/>
  <c r="C6" i="46"/>
  <c r="C17" i="46"/>
  <c r="F39" i="46"/>
  <c r="F38" i="46"/>
  <c r="F37" i="46"/>
  <c r="D5" i="46"/>
  <c r="F36" i="46"/>
  <c r="F35" i="46"/>
  <c r="F34" i="46"/>
  <c r="G1" i="15"/>
  <c r="F6" i="1"/>
  <c r="F9" i="1"/>
  <c r="J50" i="15"/>
  <c r="J51" i="15"/>
  <c r="M47" i="15"/>
  <c r="G1" i="44"/>
  <c r="M48" i="44"/>
  <c r="J51" i="44"/>
  <c r="J52" i="44"/>
  <c r="AD5" i="3"/>
  <c r="AH5" i="3"/>
  <c r="AL5" i="3"/>
  <c r="AP5" i="3"/>
  <c r="I5" i="3"/>
  <c r="O5" i="3"/>
  <c r="I4" i="6"/>
  <c r="F33" i="46"/>
  <c r="C10" i="46"/>
  <c r="C11" i="46"/>
  <c r="E8" i="46"/>
  <c r="E9" i="46"/>
  <c r="E10" i="46"/>
  <c r="E11" i="46"/>
  <c r="E15" i="46"/>
  <c r="E17" i="46"/>
  <c r="E22"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N7" i="46"/>
  <c r="F58" i="46"/>
  <c r="F69" i="46"/>
  <c r="N4" i="46"/>
  <c r="F80" i="46"/>
  <c r="F99" i="46"/>
  <c r="F100" i="46"/>
  <c r="F101" i="46"/>
  <c r="F102" i="46"/>
  <c r="F103" i="46"/>
  <c r="F104" i="46"/>
  <c r="F105" i="46"/>
  <c r="F106" i="46"/>
  <c r="F107" i="46"/>
  <c r="F108" i="46"/>
  <c r="F109" i="46"/>
  <c r="F113" i="46"/>
  <c r="F115" i="46"/>
  <c r="F116" i="46"/>
  <c r="F117" i="46"/>
  <c r="F118" i="46"/>
  <c r="H33"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H6" i="59"/>
  <c r="AG6" i="59"/>
  <c r="AE6" i="59"/>
  <c r="AF6" i="59"/>
  <c r="AD6" i="59"/>
  <c r="I3" i="59"/>
  <c r="L3" i="59"/>
  <c r="K3" i="59"/>
  <c r="J3" i="59"/>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E3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19" i="4"/>
  <c r="F8" i="1"/>
  <c r="E19" i="4"/>
  <c r="F7" i="1"/>
  <c r="B2" i="52"/>
  <c r="E22" i="52" s="1"/>
  <c r="N12" i="46"/>
  <c r="A7" i="46"/>
  <c r="F41" i="4"/>
  <c r="J52" i="40"/>
  <c r="H61" i="49"/>
  <c r="H39" i="46"/>
  <c r="H38" i="46"/>
  <c r="H37" i="46"/>
  <c r="H36" i="46"/>
  <c r="H35" i="46"/>
  <c r="H34" i="46"/>
  <c r="E23" i="6"/>
  <c r="E24" i="6"/>
  <c r="E25" i="6"/>
  <c r="E26" i="6"/>
  <c r="D38" i="4"/>
  <c r="C39" i="4"/>
  <c r="C35" i="4"/>
  <c r="E19"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D114" i="34"/>
  <c r="J38"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F70" i="35"/>
  <c r="G70" i="35"/>
  <c r="F66" i="35"/>
  <c r="G66" i="35"/>
  <c r="F64" i="35"/>
  <c r="G64"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F109" i="34"/>
  <c r="G109" i="34"/>
  <c r="H109" i="34"/>
  <c r="I109" i="34"/>
  <c r="J109" i="34"/>
  <c r="K109" i="34"/>
  <c r="L109" i="34"/>
  <c r="M109"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E115" i="21"/>
  <c r="F115" i="21"/>
  <c r="G115" i="21"/>
  <c r="H115" i="21"/>
  <c r="I115" i="21"/>
  <c r="J115" i="21"/>
  <c r="K115" i="21"/>
  <c r="L115" i="21"/>
  <c r="M115" i="21"/>
  <c r="D113" i="21"/>
  <c r="E113" i="21"/>
  <c r="F113" i="21"/>
  <c r="G113" i="21"/>
  <c r="H113"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D10" i="3"/>
  <c r="BC10" i="3"/>
  <c r="H5" i="3"/>
  <c r="BB10" i="3"/>
  <c r="AE5" i="3"/>
  <c r="AF5" i="3"/>
  <c r="AG5" i="3"/>
  <c r="AI5" i="3"/>
  <c r="AJ5" i="3"/>
  <c r="AK5" i="3"/>
  <c r="AM5" i="3"/>
  <c r="AN5" i="3"/>
  <c r="AO5" i="3"/>
  <c r="AQ5" i="3"/>
  <c r="AR5" i="3"/>
  <c r="AS5" i="3"/>
  <c r="AT5" i="3"/>
  <c r="L5" i="3"/>
  <c r="M5" i="3"/>
  <c r="N5" i="3"/>
  <c r="P5" i="3"/>
  <c r="Q5" i="3"/>
  <c r="R5" i="3"/>
  <c r="S5" i="3"/>
  <c r="T5" i="3"/>
  <c r="U5" i="3"/>
  <c r="V5" i="3"/>
  <c r="W5" i="3"/>
  <c r="X5" i="3"/>
  <c r="Y5" i="3"/>
  <c r="Z5" i="3"/>
  <c r="AA5" i="3"/>
  <c r="AB5" i="3"/>
  <c r="F5" i="3"/>
  <c r="G27" i="6"/>
  <c r="F34" i="21"/>
  <c r="AA34" i="21"/>
  <c r="H34" i="21"/>
  <c r="U34" i="21"/>
  <c r="S43" i="21"/>
  <c r="F32" i="21"/>
  <c r="S38" i="21"/>
  <c r="S36" i="21"/>
  <c r="F39" i="21"/>
  <c r="AA39" i="21"/>
  <c r="J40" i="21"/>
  <c r="W40" i="21"/>
  <c r="J8" i="21"/>
  <c r="AC8" i="21"/>
  <c r="J9" i="21"/>
  <c r="AC9" i="21"/>
  <c r="H8" i="21"/>
  <c r="H9" i="21"/>
  <c r="AB9" i="21"/>
  <c r="H10" i="21"/>
  <c r="U10" i="21"/>
  <c r="H39" i="21"/>
  <c r="AB39" i="21"/>
  <c r="J34" i="21"/>
  <c r="W34" i="21"/>
  <c r="U36"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U9" i="21"/>
  <c r="J27" i="36"/>
  <c r="W27" i="36"/>
  <c r="J34" i="36"/>
  <c r="W34" i="36"/>
  <c r="J30" i="35"/>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B8" i="34"/>
  <c r="AC37" i="33"/>
  <c r="AA13" i="33"/>
  <c r="AC45" i="33"/>
  <c r="U19" i="21"/>
  <c r="AC33" i="21"/>
  <c r="S39" i="33"/>
  <c r="F43" i="33"/>
  <c r="AA43" i="33"/>
  <c r="AA23" i="37"/>
  <c r="S10" i="35"/>
  <c r="AB44" i="33"/>
  <c r="G107" i="37"/>
  <c r="H107" i="37"/>
  <c r="I107" i="37"/>
  <c r="J107" i="37"/>
  <c r="K107" i="37"/>
  <c r="L107" i="37"/>
  <c r="M107" i="37"/>
  <c r="AA9" i="21"/>
  <c r="F37" i="21"/>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U43" i="21"/>
  <c r="AA13" i="40"/>
  <c r="E78" i="40"/>
  <c r="F78" i="40"/>
  <c r="G78" i="40"/>
  <c r="H78" i="40"/>
  <c r="I78" i="40"/>
  <c r="J78" i="40"/>
  <c r="K78" i="40"/>
  <c r="L78" i="40"/>
  <c r="M78" i="40"/>
  <c r="BH5" i="3"/>
  <c r="R16" i="4"/>
  <c r="P16" i="4"/>
  <c r="D3" i="35"/>
  <c r="G4" i="4"/>
  <c r="S37" i="34"/>
  <c r="W16" i="35"/>
  <c r="U42" i="21"/>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AC45" i="21"/>
  <c r="S28" i="33"/>
  <c r="S14" i="21"/>
  <c r="AA44" i="34"/>
  <c r="U29" i="35"/>
  <c r="AC19" i="33"/>
  <c r="W19" i="33"/>
  <c r="U43" i="34"/>
  <c r="AB43" i="34"/>
  <c r="AC34" i="37"/>
  <c r="S35" i="37"/>
  <c r="AA35" i="37"/>
  <c r="AA32" i="21"/>
  <c r="S32" i="21"/>
  <c r="U38" i="21"/>
  <c r="AB34" i="21"/>
  <c r="AB40" i="33"/>
  <c r="U40" i="33"/>
  <c r="AA35" i="34"/>
  <c r="S35" i="34"/>
  <c r="E90" i="34"/>
  <c r="H27" i="34"/>
  <c r="AB27" i="34"/>
  <c r="AB8" i="35"/>
  <c r="U8" i="35"/>
  <c r="S9"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C12" i="21"/>
  <c r="W12" i="21"/>
  <c r="AB33" i="21"/>
  <c r="S35" i="21"/>
  <c r="AB10" i="21"/>
  <c r="U8" i="21"/>
  <c r="AB8" i="21"/>
  <c r="S34" i="21"/>
  <c r="AB8" i="33"/>
  <c r="U8" i="33"/>
  <c r="E106" i="33"/>
  <c r="H34" i="33"/>
  <c r="U34" i="33"/>
  <c r="F34" i="33"/>
  <c r="S34" i="33"/>
  <c r="E121" i="33"/>
  <c r="F41" i="33"/>
  <c r="S41" i="33"/>
  <c r="AC34" i="34"/>
  <c r="W34" i="34"/>
  <c r="AA39" i="34"/>
  <c r="S39" i="34"/>
  <c r="S43" i="34"/>
  <c r="F78" i="34"/>
  <c r="AC28" i="35"/>
  <c r="W28" i="35"/>
  <c r="E72" i="35"/>
  <c r="F72" i="35"/>
  <c r="G72"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G78"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W11" i="34"/>
  <c r="S17" i="34"/>
  <c r="AC36" i="33"/>
  <c r="F25" i="40"/>
  <c r="AA25" i="40"/>
  <c r="J11" i="33"/>
  <c r="W11" i="33"/>
  <c r="H33" i="37"/>
  <c r="AB33" i="37"/>
  <c r="W15" i="34"/>
  <c r="U20" i="35"/>
  <c r="W23" i="40"/>
  <c r="D73" i="9"/>
  <c r="N73" i="9"/>
  <c r="AP11" i="1"/>
  <c r="B11" i="1"/>
  <c r="E11" i="1"/>
  <c r="B9" i="1"/>
  <c r="E9" i="1"/>
  <c r="B7" i="1"/>
  <c r="E7" i="1"/>
  <c r="C20" i="43"/>
  <c r="AP6" i="1"/>
  <c r="G11" i="1"/>
  <c r="M22" i="44"/>
  <c r="F32" i="15"/>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C9" i="35"/>
  <c r="S8" i="35"/>
  <c r="U33" i="35"/>
  <c r="W20" i="35"/>
  <c r="S23" i="35"/>
  <c r="S16" i="35"/>
  <c r="U9" i="35"/>
  <c r="W13" i="35"/>
  <c r="AC18" i="35"/>
  <c r="W18" i="35"/>
  <c r="U18" i="35"/>
  <c r="AB18" i="35"/>
  <c r="S30"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E413" i="3"/>
  <c r="BK5" i="3"/>
  <c r="BO5" i="3"/>
  <c r="BP5" i="3"/>
  <c r="BN5" i="3"/>
  <c r="BC5" i="3"/>
  <c r="E8" i="6"/>
  <c r="BD5" i="3"/>
  <c r="BL5" i="3"/>
  <c r="BM5" i="3"/>
  <c r="H48" i="46"/>
  <c r="H52" i="46"/>
  <c r="H53" i="46"/>
  <c r="G28" i="12"/>
  <c r="G22" i="43"/>
  <c r="G26" i="12"/>
  <c r="D24" i="44"/>
  <c r="D26" i="44"/>
  <c r="G27" i="12"/>
  <c r="G23" i="43"/>
  <c r="G21" i="43"/>
  <c r="H54" i="46"/>
  <c r="H50" i="46"/>
  <c r="H55" i="46"/>
  <c r="H51" i="46"/>
  <c r="N8" i="46"/>
  <c r="N1" i="46"/>
  <c r="M9" i="46"/>
  <c r="M2" i="46"/>
  <c r="N11" i="46"/>
  <c r="N9" i="46"/>
  <c r="M12" i="46"/>
  <c r="M8" i="46"/>
  <c r="M3" i="46"/>
  <c r="M5" i="46"/>
  <c r="H6" i="48"/>
  <c r="H15" i="48"/>
  <c r="H5" i="48"/>
  <c r="H14" i="48"/>
  <c r="H13" i="48"/>
  <c r="H11" i="48"/>
  <c r="B78" i="46"/>
  <c r="B67" i="46"/>
  <c r="A4" i="64"/>
  <c r="A4" i="51"/>
  <c r="C51" i="10"/>
  <c r="H58" i="46"/>
  <c r="H61" i="46"/>
  <c r="H62" i="46"/>
  <c r="H71" i="46"/>
  <c r="H75" i="46"/>
  <c r="H76" i="46"/>
  <c r="I100"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0" i="52"/>
  <c r="B14" i="52"/>
  <c r="B9" i="52"/>
  <c r="E21" i="52"/>
  <c r="B4" i="52"/>
  <c r="B22" i="52"/>
  <c r="B8" i="52"/>
  <c r="B13" i="52"/>
  <c r="E9" i="52"/>
  <c r="B5" i="52"/>
  <c r="E10" i="52"/>
  <c r="E8" i="52"/>
  <c r="B23" i="52"/>
  <c r="B11" i="52"/>
  <c r="B16" i="52"/>
  <c r="E16" i="52"/>
  <c r="B6" i="52"/>
  <c r="E4" i="52"/>
  <c r="E5" i="52"/>
  <c r="D24" i="15"/>
  <c r="AG6" i="1"/>
  <c r="G6" i="1"/>
  <c r="E86" i="3"/>
  <c r="AE11" i="46"/>
  <c r="AE13" i="46"/>
  <c r="F29" i="6"/>
  <c r="AJ11" i="46"/>
  <c r="AJ13" i="46"/>
  <c r="G101" i="46"/>
  <c r="G102" i="46"/>
  <c r="H101" i="46"/>
  <c r="H102"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AI11" i="46"/>
  <c r="AI13" i="46"/>
  <c r="AA11" i="46"/>
  <c r="AA13" i="46"/>
  <c r="E297" i="3"/>
  <c r="AO6" i="3"/>
  <c r="E561" i="3"/>
  <c r="E476" i="3"/>
  <c r="S3" i="46"/>
  <c r="S7" i="46"/>
  <c r="AH11" i="46"/>
  <c r="AH13" i="46"/>
  <c r="AD11" i="46"/>
  <c r="AD13" i="46"/>
  <c r="Z11" i="46"/>
  <c r="Z13" i="46"/>
  <c r="S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13" i="6"/>
  <c r="E11" i="6"/>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G49" i="34"/>
  <c r="G53" i="34"/>
  <c r="H53" i="34"/>
  <c r="E48" i="35"/>
  <c r="F48" i="35"/>
  <c r="G48" i="35"/>
  <c r="H48" i="35"/>
  <c r="I48" i="35"/>
  <c r="J48" i="35"/>
  <c r="K48" i="35"/>
  <c r="L48" i="35"/>
  <c r="M48" i="35"/>
  <c r="N48" i="35"/>
  <c r="O48" i="35"/>
  <c r="F7" i="35"/>
  <c r="J7" i="35"/>
  <c r="AC7" i="35"/>
  <c r="I38" i="35"/>
  <c r="H7" i="35"/>
  <c r="AB7"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F18" i="11"/>
  <c r="C18" i="11" s="1"/>
  <c r="AP16" i="1"/>
  <c r="F22" i="11"/>
  <c r="E4" i="4"/>
  <c r="C4" i="4"/>
  <c r="G66" i="36"/>
  <c r="J18" i="36"/>
  <c r="AE8" i="1"/>
  <c r="AE7" i="1"/>
  <c r="H7" i="37"/>
  <c r="J7" i="37"/>
  <c r="F7" i="37"/>
  <c r="AA7" i="37"/>
  <c r="R42" i="37"/>
  <c r="E42" i="37"/>
  <c r="H6" i="3"/>
  <c r="L109" i="46"/>
  <c r="G109" i="46"/>
  <c r="M109" i="46"/>
  <c r="H109" i="46"/>
  <c r="U7" i="35"/>
  <c r="AC7" i="36"/>
  <c r="V36" i="36"/>
  <c r="I36" i="36"/>
  <c r="I40" i="36"/>
  <c r="J40" i="36"/>
  <c r="W18" i="36"/>
  <c r="AC18" i="36"/>
  <c r="U7" i="36"/>
  <c r="G41" i="36"/>
  <c r="H41" i="36"/>
  <c r="W7" i="35"/>
  <c r="S7" i="37"/>
  <c r="U7" i="34"/>
  <c r="E48" i="33"/>
  <c r="E52" i="33"/>
  <c r="F52" i="33"/>
  <c r="H12" i="40"/>
  <c r="AB12" i="40"/>
  <c r="H12" i="39"/>
  <c r="U12" i="39"/>
  <c r="F12" i="39"/>
  <c r="AA12" i="39"/>
  <c r="F31" i="6"/>
  <c r="F12" i="40"/>
  <c r="AA12" i="40"/>
  <c r="J12" i="39"/>
  <c r="AC12" i="39"/>
  <c r="AC6" i="3"/>
  <c r="D12" i="11"/>
  <c r="C12" i="11"/>
  <c r="E59" i="40"/>
  <c r="E29" i="6"/>
  <c r="L20" i="6"/>
  <c r="E58" i="40"/>
  <c r="E63" i="39"/>
  <c r="E16" i="6"/>
  <c r="F24" i="43"/>
  <c r="C26" i="43" s="1"/>
  <c r="D24" i="43" s="1"/>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B21" i="55"/>
  <c r="B72" i="63"/>
  <c r="B20" i="55"/>
  <c r="B70" i="63"/>
  <c r="S7" i="36"/>
  <c r="AA7" i="36"/>
  <c r="R36" i="36"/>
  <c r="E36" i="36"/>
  <c r="E40" i="36"/>
  <c r="F40" i="36"/>
  <c r="S7" i="35"/>
  <c r="AA7" i="35"/>
  <c r="W7" i="34"/>
  <c r="AC7" i="34"/>
  <c r="I49" i="34"/>
  <c r="G54" i="34"/>
  <c r="H54" i="34"/>
  <c r="S7" i="34"/>
  <c r="AA7" i="34"/>
  <c r="AC7" i="37"/>
  <c r="V42" i="37"/>
  <c r="I42" i="37"/>
  <c r="I46" i="37"/>
  <c r="J46" i="37"/>
  <c r="W7" i="37"/>
  <c r="F7" i="21"/>
  <c r="J7" i="21"/>
  <c r="H7" i="21"/>
  <c r="G43" i="35"/>
  <c r="H43" i="35"/>
  <c r="I42" i="35"/>
  <c r="J42" i="35"/>
  <c r="G52" i="33"/>
  <c r="H52" i="33"/>
  <c r="G53" i="33"/>
  <c r="H53" i="33"/>
  <c r="E67" i="40"/>
  <c r="F65" i="40"/>
  <c r="E72" i="39"/>
  <c r="F70" i="39"/>
  <c r="I53" i="34"/>
  <c r="J53" i="34"/>
  <c r="AB12" i="39"/>
  <c r="AC12" i="40"/>
  <c r="W12" i="40"/>
  <c r="E46" i="37"/>
  <c r="F46" i="37"/>
  <c r="C48" i="33"/>
  <c r="C49" i="33"/>
  <c r="B3" i="33"/>
  <c r="B2" i="33"/>
  <c r="U7" i="37"/>
  <c r="AB7" i="37"/>
  <c r="T42" i="37"/>
  <c r="G42" i="37"/>
  <c r="S12" i="40"/>
  <c r="S12" i="39"/>
  <c r="E6" i="3"/>
  <c r="J22" i="46"/>
  <c r="W12" i="39"/>
  <c r="U12" i="40"/>
  <c r="E41" i="36"/>
  <c r="F41" i="36"/>
  <c r="I47" i="37"/>
  <c r="J47" i="37"/>
  <c r="G47" i="37"/>
  <c r="H47" i="37"/>
  <c r="E53" i="33"/>
  <c r="F53" i="33"/>
  <c r="I53" i="33"/>
  <c r="J53" i="33"/>
  <c r="L27" i="6"/>
  <c r="E38" i="35"/>
  <c r="I43" i="35"/>
  <c r="J43" i="35"/>
  <c r="I41" i="36"/>
  <c r="J41" i="36"/>
  <c r="R37" i="36"/>
  <c r="K16" i="1"/>
  <c r="M20" i="6"/>
  <c r="I20" i="6"/>
  <c r="S20" i="6"/>
  <c r="S7" i="1"/>
  <c r="K27" i="6"/>
  <c r="M19" i="6"/>
  <c r="S6" i="1"/>
  <c r="M21" i="6"/>
  <c r="I21" i="6"/>
  <c r="S21" i="6"/>
  <c r="S8" i="1"/>
  <c r="M22" i="6"/>
  <c r="I22" i="6"/>
  <c r="S22" i="6"/>
  <c r="S9" i="1"/>
  <c r="B1" i="66"/>
  <c r="R43" i="37"/>
  <c r="B3" i="34"/>
  <c r="B2" i="34"/>
  <c r="E49" i="34"/>
  <c r="C39" i="35"/>
  <c r="B3" i="35"/>
  <c r="B2" i="35"/>
  <c r="AC7" i="21"/>
  <c r="I48" i="21"/>
  <c r="W7" i="21"/>
  <c r="U7" i="21"/>
  <c r="AB7" i="21"/>
  <c r="G48" i="21"/>
  <c r="S7" i="21"/>
  <c r="AA7" i="21"/>
  <c r="F72" i="39"/>
  <c r="G70" i="39"/>
  <c r="F67" i="40"/>
  <c r="G65" i="40"/>
  <c r="G46" i="37"/>
  <c r="H46" i="37"/>
  <c r="E47" i="37"/>
  <c r="F47" i="37"/>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D10" i="1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T10" i="1"/>
  <c r="T9" i="1"/>
  <c r="T6" i="1"/>
  <c r="T11" i="1"/>
  <c r="T8" i="1"/>
  <c r="T12" i="1"/>
  <c r="O16" i="1"/>
  <c r="C13" i="43"/>
  <c r="C17" i="43" s="1"/>
  <c r="L16" i="1"/>
  <c r="C29" i="43"/>
  <c r="D13" i="11"/>
  <c r="C13" i="11"/>
  <c r="I27" i="6"/>
  <c r="S19" i="6"/>
  <c r="S27" i="6"/>
  <c r="H19" i="6"/>
  <c r="C22" i="4"/>
  <c r="D19" i="6"/>
  <c r="D24" i="6"/>
  <c r="D21" i="6"/>
  <c r="D26" i="6"/>
  <c r="D25" i="6"/>
  <c r="D10" i="6"/>
  <c r="D11" i="6"/>
  <c r="D13" i="6"/>
  <c r="D12" i="6"/>
  <c r="H21" i="6"/>
  <c r="H20" i="6"/>
  <c r="H24" i="6"/>
  <c r="H25" i="6"/>
  <c r="D6" i="6"/>
  <c r="D9" i="6"/>
  <c r="D23" i="6"/>
  <c r="D5" i="6"/>
  <c r="D14" i="6"/>
  <c r="D29" i="6"/>
  <c r="D28" i="6"/>
  <c r="D20" i="6"/>
  <c r="D15" i="6"/>
  <c r="D8" i="6"/>
  <c r="H26" i="6"/>
  <c r="H23" i="6"/>
  <c r="E53" i="21"/>
  <c r="F53" i="21"/>
  <c r="E52" i="21"/>
  <c r="F52" i="21"/>
  <c r="C49" i="21"/>
  <c r="B3" i="21"/>
  <c r="B2" i="21"/>
  <c r="I53" i="21"/>
  <c r="J53" i="21"/>
  <c r="I70" i="39"/>
  <c r="H72" i="39"/>
  <c r="I65" i="40"/>
  <c r="H67" i="40"/>
  <c r="T16" i="1"/>
  <c r="H27" i="6"/>
  <c r="R20" i="6"/>
  <c r="R7" i="1"/>
  <c r="R24" i="6"/>
  <c r="D16" i="6"/>
  <c r="D30" i="6"/>
  <c r="R23" i="6"/>
  <c r="R25" i="6"/>
  <c r="R21" i="6"/>
  <c r="R8" i="1"/>
  <c r="R19" i="6"/>
  <c r="R6" i="1"/>
  <c r="D27" i="6"/>
  <c r="A6" i="51"/>
  <c r="B7" i="63"/>
  <c r="A20" i="64"/>
  <c r="A6" i="64"/>
  <c r="A20" i="51"/>
  <c r="B15" i="63"/>
  <c r="N5" i="54"/>
  <c r="B43" i="63"/>
  <c r="R26" i="6"/>
  <c r="C14" i="43"/>
  <c r="J65" i="40"/>
  <c r="I67" i="40"/>
  <c r="J70" i="39"/>
  <c r="I72" i="39"/>
  <c r="R16" i="1"/>
  <c r="D31" i="6"/>
  <c r="I6" i="6"/>
  <c r="R27" i="6"/>
  <c r="K70" i="39"/>
  <c r="J72" i="39"/>
  <c r="K65" i="40"/>
  <c r="J67" i="40"/>
  <c r="I5" i="6"/>
  <c r="K67" i="40"/>
  <c r="L65" i="40"/>
  <c r="K72" i="39"/>
  <c r="L70" i="39"/>
  <c r="L72" i="39"/>
  <c r="M70" i="39"/>
  <c r="M65" i="40"/>
  <c r="L67" i="40"/>
  <c r="N70" i="39"/>
  <c r="N72" i="39"/>
  <c r="M72" i="39"/>
  <c r="N65" i="40"/>
  <c r="N67" i="40"/>
  <c r="M67" i="40"/>
  <c r="J9" i="40"/>
  <c r="F9" i="40"/>
  <c r="H9" i="40"/>
  <c r="J9" i="39"/>
  <c r="H9" i="39"/>
  <c r="F9" i="39"/>
  <c r="S9" i="39"/>
  <c r="AA9" i="39"/>
  <c r="R49" i="39"/>
  <c r="W9" i="39"/>
  <c r="AC9" i="39"/>
  <c r="V49" i="39"/>
  <c r="I49" i="39"/>
  <c r="AA9" i="40"/>
  <c r="R44" i="40"/>
  <c r="S9" i="40"/>
  <c r="U9" i="39"/>
  <c r="AB9" i="39"/>
  <c r="T49" i="39"/>
  <c r="G49" i="39"/>
  <c r="AB9" i="40"/>
  <c r="T44" i="40"/>
  <c r="G44" i="40"/>
  <c r="U9" i="40"/>
  <c r="AC9" i="40"/>
  <c r="V44" i="40"/>
  <c r="I44" i="40"/>
  <c r="W9" i="40"/>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B3" i="40"/>
  <c r="B4" i="40"/>
  <c r="B5" i="40"/>
  <c r="B3" i="39"/>
  <c r="B4" i="39"/>
  <c r="B5" i="39"/>
  <c r="C45" i="9"/>
  <c r="H14" i="66"/>
  <c r="B7" i="66"/>
  <c r="D7" i="66"/>
  <c r="C7" i="66"/>
  <c r="C44" i="9"/>
  <c r="G14" i="66"/>
  <c r="B6" i="66"/>
  <c r="F14" i="66"/>
  <c r="D45" i="9"/>
  <c r="E45" i="9"/>
  <c r="O40" i="9"/>
  <c r="F45" i="9"/>
  <c r="E14" i="66"/>
  <c r="B5" i="66"/>
  <c r="C5" i="66"/>
  <c r="D6" i="66"/>
  <c r="C6" i="66"/>
  <c r="K31" i="9"/>
  <c r="K32" i="9"/>
  <c r="R7" i="54"/>
  <c r="B52" i="63"/>
  <c r="N69" i="9"/>
  <c r="O39" i="9"/>
  <c r="K29" i="9"/>
  <c r="D44" i="9"/>
  <c r="E44" i="9"/>
  <c r="F44" i="9"/>
  <c r="M86" i="9"/>
  <c r="N86" i="9"/>
  <c r="M84" i="9"/>
  <c r="N84" i="9"/>
  <c r="M88" i="9"/>
  <c r="N88" i="9"/>
  <c r="M87" i="9"/>
  <c r="N87" i="9"/>
  <c r="M85" i="9"/>
  <c r="N85" i="9"/>
  <c r="M83" i="9"/>
  <c r="N83" i="9"/>
  <c r="D5" i="66"/>
  <c r="K30" i="9"/>
  <c r="R6" i="54"/>
  <c r="B50" i="63"/>
  <c r="N89" i="9"/>
  <c r="O89" i="9"/>
  <c r="N76" i="9"/>
  <c r="C46" i="9"/>
  <c r="K33" i="9"/>
  <c r="F46" i="9"/>
  <c r="O41" i="9"/>
  <c r="I14" i="66"/>
  <c r="B8" i="66"/>
  <c r="E46" i="9"/>
  <c r="D46" i="9"/>
  <c r="K34" i="9"/>
  <c r="C8" i="66"/>
  <c r="D8" i="66"/>
  <c r="R8" i="54"/>
  <c r="B54" i="63"/>
  <c r="D16" i="12"/>
  <c r="D21" i="74"/>
  <c r="D21" i="71"/>
  <c r="C15" i="12"/>
  <c r="D22" i="12"/>
  <c r="D16" i="74"/>
  <c r="D16" i="71"/>
  <c r="I3" i="65"/>
  <c r="L49" i="44"/>
  <c r="F11" i="67"/>
  <c r="E8" i="67"/>
  <c r="E12" i="67"/>
  <c r="B9" i="67"/>
  <c r="B13" i="67"/>
  <c r="N5" i="65"/>
  <c r="J5" i="65"/>
  <c r="I6" i="65"/>
  <c r="M27" i="15"/>
  <c r="M28" i="15"/>
  <c r="F39" i="44"/>
  <c r="F16" i="15"/>
  <c r="J36" i="15"/>
  <c r="F36" i="15"/>
  <c r="M28" i="44"/>
  <c r="F8" i="44"/>
  <c r="M31" i="44"/>
  <c r="M9" i="15"/>
  <c r="M30" i="44"/>
  <c r="F13" i="15"/>
  <c r="F46" i="44"/>
  <c r="M21" i="15"/>
  <c r="F8" i="67"/>
  <c r="F12" i="67"/>
  <c r="E9" i="67"/>
  <c r="E13" i="67"/>
  <c r="B10" i="67"/>
  <c r="B14" i="67"/>
  <c r="I7" i="65"/>
  <c r="N3" i="65"/>
  <c r="J3" i="65"/>
  <c r="M11" i="44"/>
  <c r="M24" i="15"/>
  <c r="F15" i="44"/>
  <c r="F6" i="15"/>
  <c r="M29" i="44"/>
  <c r="M26" i="44"/>
  <c r="M22" i="15"/>
  <c r="M8" i="15"/>
  <c r="F9" i="44"/>
  <c r="F43" i="15"/>
  <c r="M29" i="15"/>
  <c r="M24" i="44"/>
  <c r="AE6" i="1"/>
  <c r="F41" i="15"/>
  <c r="C16" i="44"/>
  <c r="F37" i="44"/>
  <c r="M10" i="44"/>
  <c r="F7" i="15"/>
  <c r="F8" i="15"/>
  <c r="F9" i="15"/>
  <c r="C14" i="15"/>
  <c r="F10" i="67"/>
  <c r="E11" i="67"/>
  <c r="B12" i="67"/>
  <c r="J6" i="65"/>
  <c r="M6" i="15"/>
  <c r="M25" i="44"/>
  <c r="F42" i="15"/>
  <c r="F40" i="15"/>
  <c r="M23" i="15"/>
  <c r="F45" i="44"/>
  <c r="J15" i="15"/>
  <c r="C19" i="44"/>
  <c r="F35" i="15"/>
  <c r="F31" i="15"/>
  <c r="I4" i="65"/>
  <c r="F33" i="12"/>
  <c r="D22" i="74"/>
  <c r="D22" i="71"/>
  <c r="D21" i="12"/>
  <c r="I5" i="65"/>
  <c r="F33" i="74"/>
  <c r="F33" i="71"/>
  <c r="L48" i="15"/>
  <c r="F9" i="67"/>
  <c r="F13" i="67"/>
  <c r="E10" i="67"/>
  <c r="E14" i="67"/>
  <c r="B11" i="67"/>
  <c r="J7" i="65"/>
  <c r="N4" i="65"/>
  <c r="J4" i="65"/>
  <c r="F11" i="44"/>
  <c r="F18" i="44"/>
  <c r="J17" i="44"/>
  <c r="M26" i="15"/>
  <c r="M8" i="44"/>
  <c r="F28" i="44"/>
  <c r="L47" i="15"/>
  <c r="F38" i="15"/>
  <c r="F38" i="44"/>
  <c r="M23" i="44"/>
  <c r="F14" i="67"/>
  <c r="B8" i="67"/>
  <c r="N7" i="65"/>
  <c r="N6" i="65"/>
  <c r="F26" i="15"/>
  <c r="L48" i="44"/>
  <c r="F10" i="44"/>
  <c r="F40" i="44"/>
  <c r="F37" i="15"/>
  <c r="F43" i="44"/>
  <c r="F33" i="44"/>
  <c r="C18" i="43" l="1"/>
  <c r="C36" i="44"/>
  <c r="F62" i="15"/>
  <c r="C61" i="15" s="1"/>
  <c r="C34" i="15"/>
  <c r="C17" i="44"/>
  <c r="C20" i="44"/>
  <c r="F68" i="15"/>
  <c r="Q73" i="44"/>
  <c r="F70" i="15"/>
  <c r="F64" i="15"/>
  <c r="M9" i="44"/>
  <c r="F67" i="15"/>
  <c r="C6" i="15"/>
  <c r="L60" i="44"/>
  <c r="L59" i="44"/>
  <c r="C27" i="15"/>
  <c r="J1" i="65"/>
  <c r="J22" i="44"/>
  <c r="J20" i="15"/>
  <c r="C15" i="15"/>
  <c r="C18" i="15"/>
  <c r="F65" i="15"/>
  <c r="F50" i="15"/>
  <c r="L58" i="15"/>
  <c r="L59" i="15"/>
  <c r="C8" i="44"/>
  <c r="F49" i="15"/>
  <c r="M7" i="15"/>
  <c r="C29" i="44"/>
  <c r="F63" i="15"/>
  <c r="J8" i="44"/>
  <c r="Q72" i="15"/>
  <c r="C4" i="65"/>
  <c r="B39" i="1" s="1"/>
  <c r="J54" i="44"/>
  <c r="J58" i="44"/>
  <c r="J56" i="44" s="1"/>
  <c r="J59" i="44" s="1"/>
  <c r="Q52" i="44" s="1"/>
  <c r="J61" i="44"/>
  <c r="Q50" i="44" s="1"/>
  <c r="I55" i="44"/>
  <c r="J60" i="44"/>
  <c r="L57" i="44"/>
  <c r="L47" i="44"/>
  <c r="J53" i="15"/>
  <c r="I54" i="15"/>
  <c r="J57" i="15"/>
  <c r="J55" i="15" s="1"/>
  <c r="J58" i="15" s="1"/>
  <c r="Q51" i="15" s="1"/>
  <c r="L56" i="15"/>
  <c r="C34" i="71"/>
  <c r="D33" i="71" s="1"/>
  <c r="C16" i="71"/>
  <c r="C18" i="71" s="1"/>
  <c r="D19" i="71"/>
  <c r="C19" i="71" s="1"/>
  <c r="C34" i="74"/>
  <c r="D33" i="74" s="1"/>
  <c r="C16" i="74"/>
  <c r="C18" i="74" s="1"/>
  <c r="D19" i="74"/>
  <c r="C19" i="74" s="1"/>
  <c r="C22" i="12"/>
  <c r="C21" i="12"/>
  <c r="C22" i="71"/>
  <c r="C21" i="71"/>
  <c r="C20" i="71" s="1"/>
  <c r="C22" i="74"/>
  <c r="C21" i="74"/>
  <c r="C20" i="74" s="1"/>
  <c r="C34" i="12"/>
  <c r="D33" i="12" s="1"/>
  <c r="C16" i="12"/>
  <c r="C18" i="12" s="1"/>
  <c r="D19" i="12"/>
  <c r="C19" i="12" s="1"/>
  <c r="E20" i="46"/>
  <c r="E20" i="75"/>
  <c r="E20" i="70"/>
  <c r="C19" i="43"/>
  <c r="C25" i="43"/>
  <c r="C24" i="43" s="1"/>
  <c r="C25" i="68"/>
  <c r="C24" i="68" s="1"/>
  <c r="E2" i="65"/>
  <c r="F58" i="15"/>
  <c r="C17" i="15"/>
  <c r="M17" i="15"/>
  <c r="M19" i="44"/>
  <c r="C16" i="15"/>
  <c r="C18" i="44"/>
  <c r="E3" i="65"/>
  <c r="B40" i="1" l="1"/>
  <c r="C21" i="44"/>
  <c r="F17" i="11"/>
  <c r="C17" i="11" s="1"/>
  <c r="C19" i="11" s="1"/>
  <c r="C19" i="15"/>
  <c r="O17" i="75"/>
  <c r="G20" i="75" s="1"/>
  <c r="C20" i="75" s="1"/>
  <c r="P17" i="75"/>
  <c r="M17" i="75"/>
  <c r="N17" i="75"/>
  <c r="C20" i="12"/>
  <c r="F26" i="12"/>
  <c r="C27" i="12" s="1"/>
  <c r="D26" i="12" s="1"/>
  <c r="C32" i="12" s="1"/>
  <c r="D30" i="12" s="1"/>
  <c r="F26" i="74"/>
  <c r="C27" i="74" s="1"/>
  <c r="D26" i="74" s="1"/>
  <c r="C32" i="74" s="1"/>
  <c r="D30" i="74" s="1"/>
  <c r="F26" i="71"/>
  <c r="C27" i="71" s="1"/>
  <c r="D26" i="71" s="1"/>
  <c r="C32" i="71" s="1"/>
  <c r="D30" i="71" s="1"/>
  <c r="F21" i="68"/>
  <c r="F24" i="15"/>
  <c r="C24" i="15" s="1"/>
  <c r="F26" i="44"/>
  <c r="C26" i="44" s="1"/>
  <c r="F21" i="43"/>
  <c r="C23" i="74"/>
  <c r="C35" i="74" s="1"/>
  <c r="C33" i="74" s="1"/>
  <c r="F1" i="15"/>
  <c r="Q53" i="15"/>
  <c r="Q54" i="44"/>
  <c r="F1" i="44"/>
  <c r="Q74" i="15"/>
  <c r="Q61" i="15"/>
  <c r="Q63" i="44"/>
  <c r="Q76" i="44"/>
  <c r="O17" i="70"/>
  <c r="G20" i="70" s="1"/>
  <c r="C20" i="70" s="1"/>
  <c r="M17" i="70"/>
  <c r="N17" i="70"/>
  <c r="P17" i="70"/>
  <c r="N17" i="46"/>
  <c r="G20" i="46" s="1"/>
  <c r="C20" i="46" s="1"/>
  <c r="P17" i="46"/>
  <c r="M17" i="46"/>
  <c r="O17" i="46"/>
  <c r="C23" i="71"/>
  <c r="C35" i="71" s="1"/>
  <c r="C33" i="71" s="1"/>
  <c r="F11" i="15"/>
  <c r="F13" i="44"/>
  <c r="C12" i="44" s="1"/>
  <c r="C7" i="44" s="1"/>
  <c r="M11" i="15"/>
  <c r="J10" i="15" s="1"/>
  <c r="M13" i="44"/>
  <c r="J12" i="44" s="1"/>
  <c r="J7" i="44" s="1"/>
  <c r="Q75" i="15"/>
  <c r="Q62" i="15"/>
  <c r="C48" i="15"/>
  <c r="J6" i="15"/>
  <c r="J5" i="15" s="1"/>
  <c r="Q62" i="44"/>
  <c r="Q75" i="44"/>
  <c r="C28" i="74" l="1"/>
  <c r="C26" i="74" s="1"/>
  <c r="C31" i="74" s="1"/>
  <c r="C30" i="74" s="1"/>
  <c r="C40" i="44"/>
  <c r="C34" i="44"/>
  <c r="C28" i="71"/>
  <c r="C26" i="71" s="1"/>
  <c r="C31" i="71" s="1"/>
  <c r="C30" i="71" s="1"/>
  <c r="C22" i="68"/>
  <c r="C21" i="68" s="1"/>
  <c r="C23" i="68"/>
  <c r="D21" i="68" s="1"/>
  <c r="F36" i="74"/>
  <c r="C37" i="75"/>
  <c r="T16" i="75"/>
  <c r="V16" i="75" s="1"/>
  <c r="T15" i="75"/>
  <c r="V15" i="75" s="1"/>
  <c r="C38" i="75"/>
  <c r="C39" i="75"/>
  <c r="C36" i="75"/>
  <c r="C35" i="75"/>
  <c r="C34" i="75"/>
  <c r="C33" i="75"/>
  <c r="C29" i="75"/>
  <c r="T14" i="75"/>
  <c r="V14" i="75" s="1"/>
  <c r="T10" i="75"/>
  <c r="V10" i="75" s="1"/>
  <c r="T6" i="75"/>
  <c r="V6" i="75" s="1"/>
  <c r="T4" i="75"/>
  <c r="V4" i="75" s="1"/>
  <c r="T3" i="75"/>
  <c r="V3" i="75" s="1"/>
  <c r="T13" i="75"/>
  <c r="V13" i="75" s="1"/>
  <c r="T12" i="75"/>
  <c r="V12" i="75" s="1"/>
  <c r="T11" i="75"/>
  <c r="V11" i="75" s="1"/>
  <c r="T9" i="75"/>
  <c r="V9" i="75" s="1"/>
  <c r="T8" i="75"/>
  <c r="V8" i="75" s="1"/>
  <c r="T7" i="75"/>
  <c r="V7" i="75" s="1"/>
  <c r="T5" i="75"/>
  <c r="V5" i="75" s="1"/>
  <c r="T2" i="75"/>
  <c r="V2" i="75" s="1"/>
  <c r="C23" i="12"/>
  <c r="C28" i="12" s="1"/>
  <c r="C26" i="12" s="1"/>
  <c r="C20" i="11"/>
  <c r="C21" i="11" s="1"/>
  <c r="C22" i="11" s="1"/>
  <c r="C23" i="11" s="1"/>
  <c r="B2" i="11" s="1"/>
  <c r="J18" i="15"/>
  <c r="J24" i="15"/>
  <c r="J26" i="15"/>
  <c r="J29" i="15" s="1"/>
  <c r="J20" i="44"/>
  <c r="J26" i="44"/>
  <c r="J28" i="44"/>
  <c r="J31" i="44" s="1"/>
  <c r="C52" i="15"/>
  <c r="C47" i="15" s="1"/>
  <c r="C10" i="15"/>
  <c r="C5" i="15" s="1"/>
  <c r="C29" i="46"/>
  <c r="F36" i="12"/>
  <c r="F32" i="43" s="1"/>
  <c r="F32" i="68" s="1"/>
  <c r="C38" i="46"/>
  <c r="C35" i="46"/>
  <c r="C33" i="46"/>
  <c r="T3" i="46"/>
  <c r="V3" i="46" s="1"/>
  <c r="T4" i="46"/>
  <c r="V4"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9" i="46"/>
  <c r="C37" i="46"/>
  <c r="C36" i="46"/>
  <c r="C34" i="46"/>
  <c r="T2" i="46"/>
  <c r="V2" i="46" s="1"/>
  <c r="T7" i="46"/>
  <c r="V7" i="46" s="1"/>
  <c r="F36" i="71"/>
  <c r="C38" i="70"/>
  <c r="C36" i="70"/>
  <c r="C35" i="70"/>
  <c r="C34" i="70"/>
  <c r="C33" i="70"/>
  <c r="C29" i="70"/>
  <c r="T16" i="70"/>
  <c r="V16" i="70" s="1"/>
  <c r="T15" i="70"/>
  <c r="V15" i="70" s="1"/>
  <c r="T14" i="70"/>
  <c r="V14" i="70" s="1"/>
  <c r="T10" i="70"/>
  <c r="V10" i="70" s="1"/>
  <c r="T6" i="70"/>
  <c r="V6" i="70" s="1"/>
  <c r="T4" i="70"/>
  <c r="V4" i="70" s="1"/>
  <c r="T3" i="70"/>
  <c r="V3" i="70" s="1"/>
  <c r="C39" i="70"/>
  <c r="C37" i="70"/>
  <c r="T13" i="70"/>
  <c r="V13" i="70" s="1"/>
  <c r="T12" i="70"/>
  <c r="V12" i="70" s="1"/>
  <c r="T11" i="70"/>
  <c r="V11" i="70" s="1"/>
  <c r="T9" i="70"/>
  <c r="V9" i="70" s="1"/>
  <c r="T8" i="70"/>
  <c r="V8" i="70" s="1"/>
  <c r="T7" i="70"/>
  <c r="V7" i="70" s="1"/>
  <c r="T5" i="70"/>
  <c r="V5" i="70" s="1"/>
  <c r="T2" i="70"/>
  <c r="V2" i="70" s="1"/>
  <c r="C23" i="43"/>
  <c r="D21" i="43" s="1"/>
  <c r="C22" i="43"/>
  <c r="C21" i="43" s="1"/>
  <c r="C35" i="12"/>
  <c r="C33" i="12" s="1"/>
  <c r="C20" i="15"/>
  <c r="C23" i="15" s="1"/>
  <c r="C22" i="44"/>
  <c r="C28" i="44"/>
  <c r="C25" i="44"/>
  <c r="C31" i="44"/>
  <c r="L52" i="44"/>
  <c r="C29" i="15" l="1"/>
  <c r="J14" i="15" s="1"/>
  <c r="C26" i="15"/>
  <c r="C36" i="74"/>
  <c r="D6" i="72" s="1"/>
  <c r="C28" i="68"/>
  <c r="C30" i="68" s="1"/>
  <c r="C32" i="68" s="1"/>
  <c r="B2" i="68" s="1"/>
  <c r="C31" i="12"/>
  <c r="C30" i="12" s="1"/>
  <c r="C36" i="12" s="1"/>
  <c r="B2" i="12" s="1"/>
  <c r="Q69" i="44"/>
  <c r="L58" i="44"/>
  <c r="L61" i="44" s="1"/>
  <c r="J19" i="15"/>
  <c r="C56" i="15"/>
  <c r="C33" i="15"/>
  <c r="C36" i="15"/>
  <c r="C65" i="15"/>
  <c r="C59" i="15"/>
  <c r="D3" i="72"/>
  <c r="B3" i="11"/>
  <c r="B4" i="11"/>
  <c r="B5" i="11"/>
  <c r="D7" i="72"/>
  <c r="C28" i="43"/>
  <c r="C30" i="43" s="1"/>
  <c r="C32" i="43" s="1"/>
  <c r="B2" i="43" s="1"/>
  <c r="G37" i="70"/>
  <c r="I37" i="70" s="1"/>
  <c r="E37" i="70"/>
  <c r="E33" i="70"/>
  <c r="G33" i="70"/>
  <c r="I33" i="70" s="1"/>
  <c r="E35" i="70"/>
  <c r="G35" i="70"/>
  <c r="I35" i="70" s="1"/>
  <c r="G38" i="70"/>
  <c r="I38" i="70" s="1"/>
  <c r="B4" i="72"/>
  <c r="E38" i="70"/>
  <c r="G34" i="46"/>
  <c r="I34" i="46" s="1"/>
  <c r="E34" i="46"/>
  <c r="G37" i="46"/>
  <c r="I37" i="46" s="1"/>
  <c r="E37" i="46"/>
  <c r="G35" i="46"/>
  <c r="I35" i="46" s="1"/>
  <c r="E35" i="46"/>
  <c r="C32" i="15"/>
  <c r="C31" i="15" s="1"/>
  <c r="C38" i="15"/>
  <c r="Q67" i="44"/>
  <c r="Q49" i="44"/>
  <c r="Q55" i="44" s="1"/>
  <c r="Q58" i="44"/>
  <c r="G33" i="75"/>
  <c r="I33" i="75" s="1"/>
  <c r="E33" i="75"/>
  <c r="G35" i="75"/>
  <c r="I35" i="75" s="1"/>
  <c r="E35" i="75"/>
  <c r="B7" i="72"/>
  <c r="G39" i="75"/>
  <c r="I39" i="75" s="1"/>
  <c r="E39" i="75"/>
  <c r="E37" i="75"/>
  <c r="G37" i="75"/>
  <c r="I37" i="75" s="1"/>
  <c r="C35" i="44"/>
  <c r="C33" i="44" s="1"/>
  <c r="J21" i="44"/>
  <c r="Q51" i="44"/>
  <c r="C38" i="44"/>
  <c r="C15" i="44"/>
  <c r="J16" i="44"/>
  <c r="B5" i="72"/>
  <c r="E39" i="70"/>
  <c r="G39" i="70"/>
  <c r="I39" i="70" s="1"/>
  <c r="C30" i="70"/>
  <c r="E30" i="70" s="1"/>
  <c r="E29" i="70"/>
  <c r="C26" i="70" s="1"/>
  <c r="B2" i="70" s="1"/>
  <c r="E34" i="70"/>
  <c r="G34" i="70"/>
  <c r="I34" i="70" s="1"/>
  <c r="E36" i="70"/>
  <c r="G36" i="70"/>
  <c r="I36" i="70" s="1"/>
  <c r="G36" i="46"/>
  <c r="I36" i="46" s="1"/>
  <c r="E36" i="46"/>
  <c r="G39" i="46"/>
  <c r="I39" i="46" s="1"/>
  <c r="E39" i="46"/>
  <c r="E33" i="46"/>
  <c r="G33" i="46"/>
  <c r="I33" i="46" s="1"/>
  <c r="E38" i="46"/>
  <c r="G38" i="46"/>
  <c r="I38" i="46" s="1"/>
  <c r="B3" i="72"/>
  <c r="F3" i="72" s="1"/>
  <c r="E29" i="46"/>
  <c r="C30" i="46"/>
  <c r="E30" i="46" s="1"/>
  <c r="J19" i="44"/>
  <c r="J17" i="15"/>
  <c r="C30" i="75"/>
  <c r="E30" i="75" s="1"/>
  <c r="E29" i="75"/>
  <c r="G34" i="75"/>
  <c r="I34" i="75" s="1"/>
  <c r="E34" i="75"/>
  <c r="G36" i="75"/>
  <c r="I36" i="75" s="1"/>
  <c r="E36" i="75"/>
  <c r="B6" i="72"/>
  <c r="E38" i="75"/>
  <c r="G38" i="75"/>
  <c r="I38" i="75" s="1"/>
  <c r="B5" i="68"/>
  <c r="B3" i="68"/>
  <c r="B4" i="68"/>
  <c r="C36" i="71"/>
  <c r="C19" i="9"/>
  <c r="D19" i="9"/>
  <c r="D20" i="9"/>
  <c r="D21" i="9"/>
  <c r="F7" i="67"/>
  <c r="L44" i="9" l="1"/>
  <c r="F7" i="72"/>
  <c r="E16" i="72" s="1"/>
  <c r="B2" i="74"/>
  <c r="J59" i="15"/>
  <c r="J60" i="15" s="1"/>
  <c r="C13" i="15"/>
  <c r="C55" i="15" s="1"/>
  <c r="C64" i="15" s="1"/>
  <c r="Q50" i="15"/>
  <c r="F6" i="72"/>
  <c r="E15" i="72" s="1"/>
  <c r="D22" i="9"/>
  <c r="L43" i="9"/>
  <c r="G19" i="9"/>
  <c r="E4" i="67"/>
  <c r="C26" i="75"/>
  <c r="B2" i="75" s="1"/>
  <c r="C27" i="46"/>
  <c r="I3" i="72"/>
  <c r="E12" i="72"/>
  <c r="C27" i="70"/>
  <c r="J15" i="44"/>
  <c r="J25" i="44" s="1"/>
  <c r="J24" i="44"/>
  <c r="C63" i="15"/>
  <c r="C60" i="15"/>
  <c r="D5" i="72"/>
  <c r="F5" i="72" s="1"/>
  <c r="D4" i="72"/>
  <c r="B2" i="71"/>
  <c r="F8" i="72"/>
  <c r="I8" i="72" s="1"/>
  <c r="C27" i="75"/>
  <c r="J18" i="44"/>
  <c r="J27" i="44" s="1"/>
  <c r="C26" i="46"/>
  <c r="B4" i="70"/>
  <c r="D4" i="70"/>
  <c r="B3" i="70"/>
  <c r="C43" i="44"/>
  <c r="C39" i="44"/>
  <c r="C32" i="44" s="1"/>
  <c r="C42" i="44" s="1"/>
  <c r="Q72" i="44"/>
  <c r="F16" i="72"/>
  <c r="E19" i="72"/>
  <c r="F19" i="72" s="1"/>
  <c r="F4" i="72"/>
  <c r="B3" i="43"/>
  <c r="B4" i="43"/>
  <c r="B5" i="43"/>
  <c r="G3" i="72"/>
  <c r="C58" i="15"/>
  <c r="Q49" i="15"/>
  <c r="L46" i="15"/>
  <c r="J35" i="15"/>
  <c r="C37" i="15"/>
  <c r="C30" i="15" s="1"/>
  <c r="C39" i="15" s="1"/>
  <c r="J22" i="15"/>
  <c r="J13" i="15"/>
  <c r="J23" i="15" s="1"/>
  <c r="Q59" i="44"/>
  <c r="Q64" i="44" s="1"/>
  <c r="Q68" i="44"/>
  <c r="Q77" i="44" s="1"/>
  <c r="B3" i="74"/>
  <c r="B5" i="74"/>
  <c r="B5" i="12"/>
  <c r="B4" i="74"/>
  <c r="B4" i="12"/>
  <c r="B3" i="12"/>
  <c r="E7" i="67"/>
  <c r="J16" i="15" l="1"/>
  <c r="J25" i="15" s="1"/>
  <c r="Q71" i="15"/>
  <c r="E3" i="67"/>
  <c r="Q70" i="15"/>
  <c r="Q69" i="15" s="1"/>
  <c r="C40" i="15"/>
  <c r="Q71" i="44"/>
  <c r="Q70" i="44" s="1"/>
  <c r="C44" i="44"/>
  <c r="C45" i="44" s="1"/>
  <c r="B2" i="44" s="1"/>
  <c r="J39" i="15"/>
  <c r="J40" i="15" s="1"/>
  <c r="F12" i="72"/>
  <c r="F13" i="72"/>
  <c r="B4" i="75"/>
  <c r="D4" i="75"/>
  <c r="B3" i="75"/>
  <c r="C57" i="15"/>
  <c r="C66" i="15" s="1"/>
  <c r="C67" i="15" s="1"/>
  <c r="B2" i="46"/>
  <c r="F15" i="72"/>
  <c r="F17" i="72" s="1"/>
  <c r="F21" i="72" s="1"/>
  <c r="E18" i="72"/>
  <c r="F18" i="72" s="1"/>
  <c r="F20" i="72" s="1"/>
  <c r="C32" i="9"/>
  <c r="G22" i="9"/>
  <c r="N43" i="9"/>
  <c r="C20" i="9"/>
  <c r="B3" i="71"/>
  <c r="L51" i="15"/>
  <c r="B4" i="71"/>
  <c r="B7" i="67"/>
  <c r="C21" i="9"/>
  <c r="B5" i="71"/>
  <c r="G21" i="9" l="1"/>
  <c r="G20" i="9"/>
  <c r="Q68" i="15"/>
  <c r="L57" i="15"/>
  <c r="L60" i="15" s="1"/>
  <c r="B2" i="67"/>
  <c r="C42" i="9"/>
  <c r="C33" i="9"/>
  <c r="C35" i="9"/>
  <c r="F42" i="9" s="1"/>
  <c r="O38" i="9"/>
  <c r="C34" i="9"/>
  <c r="O43" i="9"/>
  <c r="C70" i="15"/>
  <c r="C46" i="15"/>
  <c r="B4" i="44"/>
  <c r="B5" i="44"/>
  <c r="B3" i="44"/>
  <c r="D4" i="46"/>
  <c r="B4" i="46"/>
  <c r="B3" i="46"/>
  <c r="F14" i="72"/>
  <c r="Q48" i="15"/>
  <c r="Q54" i="15" s="1"/>
  <c r="Q66" i="15"/>
  <c r="C43" i="15"/>
  <c r="Q57" i="15"/>
  <c r="B2" i="15"/>
  <c r="B3" i="15" s="1"/>
  <c r="J42" i="15"/>
  <c r="J43" i="15" s="1"/>
  <c r="M38" i="9" l="1"/>
  <c r="K27" i="9" s="1"/>
  <c r="E42" i="9"/>
  <c r="P5" i="54" s="1"/>
  <c r="B46" i="63" s="1"/>
  <c r="R5" i="54"/>
  <c r="B48" i="63" s="1"/>
  <c r="D63" i="9"/>
  <c r="N68" i="9"/>
  <c r="Q58" i="15"/>
  <c r="Q63" i="15" s="1"/>
  <c r="Q67" i="15"/>
  <c r="Q76" i="15" s="1"/>
  <c r="K25" i="9"/>
  <c r="K26" i="9"/>
  <c r="N38" i="9"/>
  <c r="K28" i="9" s="1"/>
  <c r="D42" i="9"/>
  <c r="Q5" i="54" s="1"/>
  <c r="B47" i="63" s="1"/>
  <c r="B4" i="67"/>
  <c r="B3" i="67"/>
  <c r="C96" i="9" l="1"/>
  <c r="C91" i="9" s="1"/>
  <c r="C103" i="9"/>
  <c r="C90" i="9"/>
  <c r="C97" i="9" s="1"/>
  <c r="C111" i="9"/>
  <c r="C104" i="9" s="1"/>
  <c r="D71" i="9"/>
  <c r="D66" i="9" s="1"/>
  <c r="N72" i="9" s="1"/>
  <c r="D77" i="9"/>
  <c r="N75" i="9" s="1"/>
  <c r="D70" i="9"/>
  <c r="C82" i="9"/>
  <c r="C81" i="9" s="1"/>
  <c r="C85" i="9" s="1"/>
  <c r="C86" i="9" s="1"/>
  <c r="D72" i="9" s="1"/>
  <c r="C113" i="9" l="1"/>
  <c r="C98" i="9"/>
  <c r="E98" i="9" s="1"/>
  <c r="E99" i="9" s="1"/>
  <c r="C99" i="9"/>
  <c r="C114" i="9" l="1"/>
  <c r="E114" i="9" s="1"/>
  <c r="E115" i="9" s="1"/>
  <c r="C115" i="9"/>
  <c r="D76" i="9" s="1"/>
  <c r="D74" i="9" s="1"/>
  <c r="N74" i="9" s="1"/>
  <c r="O77" i="9" s="1"/>
  <c r="O78" i="9" l="1"/>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<sst xmlns="http://schemas.openxmlformats.org/spreadsheetml/2006/main" count="8066" uniqueCount="3188">
  <si>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</si>
  <si>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</si>
  <si>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</si>
  <si>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</si>
  <si>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</si>
  <si>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</si>
  <si>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</si>
  <si>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</si>
  <si>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</si>
  <si>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</si>
  <si>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</si>
  <si>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</si>
  <si>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</si>
  <si>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</si>
  <si>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</si>
  <si>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</si>
  <si>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</si>
  <si>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</si>
  <si>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</si>
  <si>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</si>
  <si>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</si>
  <si>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</si>
  <si>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</si>
  <si>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</si>
  <si>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</si>
  <si>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</si>
  <si>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</si>
  <si>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</si>
  <si>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</si>
  <si>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</si>
  <si>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</si>
  <si>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</si>
  <si>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</si>
  <si>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</si>
  <si>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</si>
  <si>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</si>
  <si>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</si>
  <si>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</si>
  <si>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</si>
  <si>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</si>
  <si>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</si>
  <si>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</si>
  <si>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</si>
  <si>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</si>
  <si>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</si>
  <si>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</si>
  <si>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</si>
  <si>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</si>
  <si>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</si>
  <si>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</si>
  <si>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</si>
  <si>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</si>
  <si>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</si>
  <si>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</si>
  <si>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</si>
  <si>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</si>
  <si>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</si>
  <si>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</si>
  <si>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</si>
  <si>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</si>
  <si>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</si>
  <si>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</si>
  <si>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</si>
  <si>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</si>
  <si>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</si>
  <si>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</si>
  <si>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</si>
  <si>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</si>
  <si>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</si>
  <si>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</si>
  <si>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</si>
  <si>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</si>
  <si>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</si>
  <si>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</si>
  <si>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</si>
  <si>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</si>
  <si>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</si>
  <si>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</si>
  <si>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</si>
  <si>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</si>
  <si>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</si>
  <si>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</si>
  <si>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</si>
  <si>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</si>
  <si>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</si>
  <si>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</si>
  <si>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</si>
  <si>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</si>
  <si>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</si>
  <si>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</si>
  <si>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</si>
  <si>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</si>
  <si>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</si>
  <si>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</si>
  <si>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</si>
  <si>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</si>
  <si>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</si>
  <si>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</si>
  <si>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</si>
  <si>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</si>
  <si>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</si>
  <si>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</si>
  <si>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</si>
  <si>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</si>
  <si>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</si>
  <si>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</si>
  <si>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</si>
  <si>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</si>
  <si>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</si>
  <si>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</si>
  <si>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</si>
  <si>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</si>
  <si>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</si>
  <si>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</si>
  <si>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</si>
  <si>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</si>
  <si>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</si>
  <si>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</si>
  <si>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</si>
  <si>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</si>
  <si>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</si>
  <si>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</si>
  <si>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</si>
  <si>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</si>
  <si>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</si>
  <si>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</si>
  <si>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</si>
  <si>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</si>
  <si>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</si>
  <si>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</si>
  <si>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</si>
  <si>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</si>
  <si>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</si>
  <si>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</si>
  <si>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</si>
  <si>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</si>
  <si>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</si>
  <si>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</si>
  <si>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</si>
  <si>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</si>
  <si>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</si>
  <si>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</si>
  <si>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</si>
  <si>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</si>
  <si>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</si>
  <si>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</si>
  <si>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</si>
  <si>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</si>
  <si>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</si>
  <si>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</si>
  <si>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</si>
  <si>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</si>
  <si>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</si>
  <si>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</si>
  <si>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</si>
  <si>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</si>
  <si>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</si>
  <si>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</si>
  <si>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</si>
  <si>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</si>
  <si>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</si>
  <si>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</si>
  <si>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</si>
  <si>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</si>
  <si>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</si>
  <si>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</si>
  <si>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</si>
  <si>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</si>
  <si>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</si>
  <si>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</si>
  <si>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</si>
  <si>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</si>
  <si>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</si>
  <si>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</si>
  <si>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</si>
  <si>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</si>
  <si>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</si>
  <si>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</si>
  <si>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</si>
  <si>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</si>
  <si>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</si>
  <si>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</si>
  <si>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</si>
  <si>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</si>
  <si>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</si>
  <si>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</si>
  <si>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</si>
  <si>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</si>
  <si>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</si>
  <si>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</si>
  <si>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</si>
  <si>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</si>
  <si>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</si>
  <si>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</si>
  <si>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</si>
  <si>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</si>
  <si>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</si>
  <si>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</si>
  <si>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</si>
  <si>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</si>
  <si>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</si>
  <si>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</si>
  <si>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</si>
  <si>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</si>
  <si>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</si>
  <si>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</si>
  <si>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</si>
  <si>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</si>
  <si>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</si>
  <si>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</si>
  <si>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</si>
  <si>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</si>
  <si>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</si>
  <si>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</si>
  <si>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</si>
  <si>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</si>
  <si>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</si>
  <si>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</si>
  <si>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</si>
  <si>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</si>
  <si>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</si>
  <si>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</si>
  <si>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</si>
  <si>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</si>
  <si>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</si>
  <si>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</si>
  <si>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</si>
  <si>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</si>
  <si>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</si>
  <si>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</si>
  <si>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</si>
  <si>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</si>
  <si>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</si>
  <si>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</si>
  <si>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</si>
  <si>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</si>
  <si>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</si>
  <si>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</si>
  <si>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</si>
  <si>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</si>
  <si>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</si>
  <si>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</si>
  <si>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</si>
  <si>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</si>
  <si>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</si>
  <si>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</si>
  <si>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</si>
  <si>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</si>
  <si>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</si>
  <si>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</si>
  <si>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</si>
  <si>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</si>
  <si>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</si>
  <si>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</si>
  <si>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</si>
  <si>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</si>
  <si>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</si>
  <si>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</si>
  <si>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</si>
  <si>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</si>
  <si>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</si>
  <si>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</si>
  <si>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</si>
  <si>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</si>
  <si>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</si>
  <si>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</si>
  <si>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</si>
  <si>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</si>
  <si>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</si>
  <si>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</si>
  <si>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</si>
  <si>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</si>
  <si>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</si>
  <si>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</si>
  <si>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</si>
  <si>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</si>
  <si>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</si>
  <si>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</si>
  <si>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</si>
  <si>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</si>
  <si>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</si>
  <si>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</si>
  <si>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</si>
  <si>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</si>
  <si>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</si>
  <si>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</si>
  <si>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</si>
  <si>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</si>
  <si>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</si>
  <si>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</si>
  <si>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</si>
  <si>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</si>
  <si>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</si>
  <si>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</si>
  <si>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</si>
  <si>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</si>
  <si>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</si>
  <si>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</si>
  <si>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</si>
  <si>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</si>
  <si>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</si>
  <si>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</si>
  <si>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</si>
  <si>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</si>
  <si>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</si>
  <si>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</si>
  <si>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</si>
  <si>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</si>
  <si>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</si>
  <si>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</si>
  <si>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</si>
  <si>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</si>
  <si>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</si>
  <si>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</si>
  <si>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</si>
  <si>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</si>
  <si>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</si>
  <si>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</si>
  <si>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</si>
  <si>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</si>
  <si>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</si>
  <si>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</si>
  <si>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</si>
  <si>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</si>
  <si>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</si>
  <si>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</si>
  <si>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</si>
  <si>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</si>
  <si>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</si>
  <si>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</si>
  <si>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</si>
  <si>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</si>
  <si>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</si>
  <si>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</si>
  <si>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</si>
  <si>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</si>
  <si>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</si>
  <si>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</si>
  <si>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</si>
  <si>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</si>
  <si>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</si>
  <si>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</si>
  <si>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</si>
  <si>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</si>
  <si>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</si>
  <si>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</si>
  <si>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</si>
  <si>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</si>
  <si>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</si>
  <si>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</si>
  <si>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</si>
  <si>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</si>
  <si>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</si>
  <si>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</si>
  <si>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</si>
  <si>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</si>
  <si>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</si>
  <si>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</si>
  <si>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</si>
  <si>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</si>
  <si>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</si>
  <si>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</si>
  <si>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</si>
  <si>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</si>
  <si>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</si>
  <si>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</si>
  <si>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</si>
  <si>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</si>
  <si>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</si>
  <si>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</si>
  <si>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</si>
  <si>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</si>
  <si>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</si>
  <si>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</si>
  <si>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</si>
  <si>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</si>
  <si>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</si>
  <si>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</si>
  <si>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</si>
  <si>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</si>
  <si>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</si>
  <si>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</si>
  <si>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</si>
  <si>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</si>
  <si>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</si>
  <si>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</si>
  <si>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</si>
  <si>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</si>
  <si>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</si>
  <si>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</si>
  <si>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</si>
  <si>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</si>
  <si>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</si>
  <si>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</si>
  <si>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</si>
  <si>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</si>
  <si>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</si>
  <si>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</si>
  <si>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</si>
  <si>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</si>
  <si>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</si>
  <si>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</si>
  <si>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</si>
  <si>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</si>
  <si>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</si>
  <si>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</si>
  <si>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</si>
  <si>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</si>
  <si>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</si>
  <si>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</si>
  <si>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</si>
  <si>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</si>
  <si>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</si>
  <si>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</si>
  <si>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</si>
  <si>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</si>
  <si>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</si>
  <si>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</si>
  <si>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</si>
  <si>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</si>
  <si>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</si>
  <si>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</si>
  <si>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</si>
  <si>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</si>
  <si>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</si>
  <si>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</si>
  <si>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</si>
  <si>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</si>
  <si>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</si>
  <si>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</si>
  <si>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</si>
  <si>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</si>
  <si>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</si>
  <si>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</si>
  <si>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</si>
  <si>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</si>
  <si>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</si>
  <si>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</si>
  <si>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</si>
  <si>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</si>
  <si>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</si>
  <si>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</si>
  <si>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</si>
  <si>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</si>
  <si>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</si>
  <si>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</si>
  <si>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</si>
  <si>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</si>
  <si>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</si>
  <si>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</si>
  <si>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</si>
  <si>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</si>
  <si>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</si>
  <si>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</si>
  <si>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</si>
  <si>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</si>
  <si>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</si>
  <si>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</si>
  <si>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</si>
  <si>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</si>
  <si>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</si>
  <si>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</si>
  <si>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</si>
  <si>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</si>
  <si>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</si>
  <si>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</si>
  <si>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</si>
  <si>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</si>
  <si>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</si>
  <si>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</si>
  <si>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</si>
  <si>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</si>
  <si>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</si>
  <si>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</si>
  <si>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</si>
  <si>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</si>
  <si>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</si>
  <si>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</si>
  <si>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</si>
  <si>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</si>
  <si>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</si>
  <si>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</si>
  <si>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</si>
  <si>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</si>
  <si>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</si>
  <si>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</si>
  <si>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</si>
  <si>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</si>
  <si>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</si>
  <si>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</si>
  <si>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</si>
  <si>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</si>
  <si>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</si>
  <si>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</si>
  <si>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</si>
  <si>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</si>
  <si>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</si>
  <si>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</si>
  <si>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</si>
  <si>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</si>
  <si>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</si>
  <si>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</si>
  <si>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</si>
  <si>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</si>
  <si>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</si>
  <si>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</si>
  <si>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</si>
  <si>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</si>
  <si>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</si>
  <si>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</si>
  <si>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</si>
  <si>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</si>
  <si>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</si>
  <si>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</si>
  <si>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</si>
  <si>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</si>
  <si>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</si>
  <si>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</si>
  <si>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</si>
  <si>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</si>
  <si>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</si>
  <si>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</si>
  <si>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</si>
  <si>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</si>
  <si>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</si>
  <si>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</si>
  <si>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</si>
  <si>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</si>
  <si>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</si>
  <si>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</si>
  <si>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</si>
  <si>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</si>
  <si>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</si>
  <si>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</si>
  <si>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</si>
  <si>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</si>
  <si>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</si>
  <si>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</si>
  <si>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</si>
  <si>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</si>
  <si>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</si>
  <si>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</si>
  <si>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</si>
  <si>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</si>
  <si>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</si>
  <si>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</si>
  <si>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</si>
  <si>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</si>
  <si>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</si>
  <si>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</si>
  <si>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</si>
  <si>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</si>
  <si>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</si>
  <si>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</si>
  <si>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</si>
  <si>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</si>
  <si>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</si>
  <si>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</si>
  <si>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</si>
  <si>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</si>
  <si>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</si>
  <si>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</si>
  <si>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</si>
  <si>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</si>
  <si>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</si>
  <si>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</si>
  <si>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</si>
  <si>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</si>
  <si>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</si>
  <si>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</si>
  <si>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</si>
  <si>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</si>
  <si>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</si>
  <si>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</si>
  <si>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</si>
  <si>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</si>
  <si>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</si>
  <si>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</si>
  <si>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</si>
  <si>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</si>
  <si>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</si>
  <si>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</si>
  <si>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</si>
  <si>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</si>
  <si>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</si>
  <si>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</si>
  <si>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</si>
  <si>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</si>
  <si>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</si>
  <si>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</si>
  <si>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</si>
  <si>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</si>
  <si>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</si>
  <si>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</si>
  <si>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</si>
  <si>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</si>
  <si>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</si>
  <si>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</si>
  <si>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</si>
  <si>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</si>
  <si>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</si>
  <si>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</si>
  <si>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</si>
  <si>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</si>
  <si>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</si>
  <si>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</si>
  <si>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</si>
  <si>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</si>
  <si>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</si>
  <si>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</si>
  <si>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</si>
  <si>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</si>
  <si>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</si>
  <si>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</si>
  <si>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</si>
  <si>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</si>
  <si>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</si>
  <si>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</si>
  <si>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</si>
  <si>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</si>
  <si>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</si>
  <si>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</si>
  <si>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</si>
  <si>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</si>
  <si>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</si>
  <si>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</si>
  <si>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</si>
  <si>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</si>
  <si>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</si>
  <si>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</si>
  <si>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</si>
  <si>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</si>
  <si>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</si>
  <si>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</si>
  <si>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</si>
  <si>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</si>
  <si>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</si>
  <si>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</si>
  <si>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</si>
  <si>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</si>
  <si>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</si>
  <si>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</si>
  <si>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</si>
  <si>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</si>
  <si>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</si>
  <si>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</si>
  <si>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</si>
  <si>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</si>
  <si>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</si>
  <si>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</si>
  <si>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</si>
  <si>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</si>
  <si>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</si>
  <si>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</si>
  <si>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</si>
  <si>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</si>
  <si>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</si>
  <si>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</si>
  <si>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</si>
  <si>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</si>
  <si>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</si>
  <si>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</si>
  <si>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</si>
  <si>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</si>
  <si>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</si>
  <si>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</si>
  <si>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</si>
  <si>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</si>
  <si>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</si>
  <si>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</si>
  <si>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</si>
  <si>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</si>
  <si>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</si>
  <si>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</si>
  <si>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</si>
  <si>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</si>
  <si>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</si>
  <si>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</si>
  <si>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</si>
  <si>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</si>
  <si>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</si>
  <si>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</si>
  <si>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</si>
  <si>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</si>
  <si>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</si>
  <si>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</si>
  <si>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</si>
  <si>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</si>
  <si>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</si>
  <si>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</si>
  <si>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</si>
  <si>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</si>
  <si>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</si>
  <si>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</si>
  <si>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</si>
  <si>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</si>
  <si>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</si>
  <si>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</si>
  <si>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</si>
  <si>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</si>
  <si>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</si>
  <si>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</si>
  <si>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</si>
  <si>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</si>
  <si>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</si>
  <si>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</si>
  <si>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</si>
  <si>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</si>
  <si>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</si>
  <si>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</si>
  <si>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</si>
  <si>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</si>
  <si>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</si>
  <si>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</si>
  <si>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</si>
  <si>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</si>
  <si>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</si>
  <si>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</si>
  <si>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</si>
  <si>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</si>
  <si>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</si>
  <si>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</si>
  <si>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</si>
  <si>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</si>
  <si>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</si>
  <si>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</si>
  <si>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</si>
  <si>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</si>
  <si>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</si>
  <si>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</si>
  <si>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</si>
  <si>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</si>
  <si>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</si>
  <si>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</si>
  <si>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</si>
  <si>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</si>
  <si>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</si>
  <si>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</si>
  <si>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</si>
  <si>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</si>
  <si>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</si>
  <si>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</si>
  <si>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</si>
  <si>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</si>
  <si>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</si>
  <si>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</si>
  <si>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</si>
  <si>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</si>
  <si>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</si>
  <si>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</si>
  <si>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</si>
  <si>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</si>
  <si>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</si>
  <si>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</si>
  <si>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</si>
  <si>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</si>
  <si>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</si>
  <si>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</si>
  <si>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</si>
  <si>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</si>
  <si>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</si>
  <si>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</si>
  <si>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</si>
  <si>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</si>
  <si>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</si>
  <si>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</si>
  <si>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</si>
  <si>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</si>
  <si>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</si>
  <si>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</si>
  <si>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</si>
  <si>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</si>
  <si>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</si>
  <si>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</si>
  <si>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</si>
  <si>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</si>
  <si>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</si>
  <si>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</si>
  <si>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</si>
  <si>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</si>
  <si>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</si>
  <si>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</si>
  <si>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</si>
  <si>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</si>
  <si>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</si>
  <si>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</si>
  <si>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</si>
  <si>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</si>
  <si>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</si>
  <si>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</si>
  <si>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</si>
  <si>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</si>
  <si>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</si>
  <si>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</si>
  <si>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</si>
  <si>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</si>
  <si>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</si>
  <si>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</si>
  <si>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</si>
  <si>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</si>
  <si>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</si>
  <si>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</si>
  <si>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</si>
  <si>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</si>
  <si>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</si>
  <si>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</si>
  <si>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</si>
  <si>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</si>
  <si>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</si>
  <si>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</si>
  <si>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</si>
  <si>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</si>
  <si>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</si>
  <si>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</si>
  <si>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</si>
  <si>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</si>
  <si>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</si>
  <si>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</si>
  <si>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</si>
  <si>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</si>
  <si>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</si>
  <si>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</si>
  <si>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</si>
  <si>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</si>
  <si>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</si>
  <si>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</si>
  <si>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</si>
  <si>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</si>
  <si>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</si>
  <si>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</si>
  <si>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</si>
  <si>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</si>
  <si>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</si>
  <si>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</si>
  <si>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</si>
  <si>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</si>
  <si>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</si>
  <si>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</si>
  <si>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</si>
  <si>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</si>
  <si>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</si>
  <si>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</si>
  <si>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</si>
  <si>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</si>
  <si>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</si>
  <si>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</si>
  <si>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</si>
  <si>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</si>
  <si>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</si>
  <si>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</si>
  <si>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</si>
  <si>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</si>
  <si>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</si>
  <si>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</si>
  <si>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</si>
  <si>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</si>
  <si>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</si>
  <si>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</si>
  <si>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</si>
  <si>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</si>
  <si>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</si>
  <si>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</si>
  <si>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</si>
  <si>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</si>
  <si>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</si>
  <si>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</si>
  <si>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</si>
  <si>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</si>
  <si>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</si>
  <si>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</si>
  <si>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</si>
  <si>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</si>
  <si>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</si>
  <si>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</si>
  <si>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</si>
  <si>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</si>
  <si>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</si>
  <si>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</si>
  <si>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</si>
  <si>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</si>
  <si>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</si>
  <si>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</si>
  <si>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</si>
  <si>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</si>
  <si>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</si>
  <si>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</si>
  <si>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</si>
  <si>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</si>
  <si>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</si>
  <si>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</si>
  <si>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</si>
  <si>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</si>
  <si>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</si>
  <si>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</si>
  <si>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</si>
  <si>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</si>
  <si>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</si>
  <si>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</si>
  <si>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</si>
  <si>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</si>
  <si>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</si>
  <si>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</si>
  <si>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</si>
  <si>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</si>
  <si>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</si>
  <si>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</si>
  <si>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</si>
  <si>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</si>
  <si>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</si>
  <si>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</si>
  <si>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</si>
  <si>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</si>
  <si>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</si>
  <si>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</si>
  <si>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</si>
  <si>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</si>
  <si>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</si>
  <si>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</si>
  <si>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</si>
  <si>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</si>
  <si>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</si>
  <si>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</si>
  <si>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</si>
  <si>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</si>
  <si>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</si>
  <si>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</si>
  <si>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</si>
  <si>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</si>
  <si>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</si>
  <si>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</si>
  <si>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</si>
  <si>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</si>
  <si>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</si>
  <si>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</si>
  <si>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</si>
  <si>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</si>
  <si>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</si>
  <si>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</si>
  <si>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</si>
  <si>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</si>
  <si>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</si>
  <si>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</si>
  <si>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</si>
  <si>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</si>
  <si>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</si>
  <si>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</si>
  <si>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</si>
  <si>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</si>
  <si>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</si>
  <si>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</si>
  <si>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</si>
  <si>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</si>
  <si>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</si>
  <si>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</si>
  <si>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</si>
  <si>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</si>
  <si>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</si>
  <si>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</si>
  <si>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</si>
  <si>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</si>
  <si>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</si>
  <si>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</si>
  <si>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</si>
  <si>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</si>
  <si>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</si>
  <si>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</si>
  <si>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</si>
  <si>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</si>
  <si>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</si>
  <si>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</si>
  <si>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</si>
  <si>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</si>
  <si>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</si>
  <si>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</si>
  <si>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</si>
  <si>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</si>
  <si>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</si>
  <si>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</si>
  <si>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</si>
  <si>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</si>
  <si>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</si>
  <si>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</si>
  <si>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</si>
  <si>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</si>
  <si>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</si>
  <si>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</si>
  <si>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</si>
  <si>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</si>
  <si>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</si>
  <si>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</si>
  <si>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</si>
  <si>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</si>
  <si>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</si>
  <si>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</si>
  <si>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</si>
  <si>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</si>
  <si>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</si>
  <si>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</si>
  <si>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</si>
  <si>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</si>
  <si>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</si>
  <si>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</si>
  <si>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</si>
  <si>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</si>
  <si>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</si>
  <si>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</si>
  <si>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</si>
  <si>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</si>
  <si>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</si>
  <si>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</si>
  <si>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</si>
  <si>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</si>
  <si>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</si>
  <si>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</si>
  <si>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</si>
  <si>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</si>
  <si>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</si>
  <si>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</si>
  <si>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</si>
  <si>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</si>
  <si>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</si>
  <si>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</si>
  <si>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</si>
  <si>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</si>
  <si>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</si>
  <si>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</si>
  <si>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</si>
  <si>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</si>
  <si>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</si>
  <si>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</si>
  <si>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</si>
  <si>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</si>
  <si>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</si>
  <si>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</si>
  <si>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</si>
  <si>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</si>
  <si>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</si>
  <si>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</si>
  <si>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</si>
  <si>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</si>
  <si>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</si>
  <si>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</si>
  <si>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</si>
  <si>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</si>
  <si>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</si>
  <si>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</si>
  <si>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</si>
  <si>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</si>
  <si>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</si>
  <si>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</si>
  <si>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</si>
  <si>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</si>
  <si>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</si>
  <si>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</si>
  <si>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</si>
  <si>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</si>
  <si>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</si>
  <si>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</si>
  <si>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</si>
  <si>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</si>
  <si>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</si>
  <si>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</si>
  <si>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</si>
  <si>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</si>
  <si>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</si>
  <si>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</si>
  <si>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</si>
  <si>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</si>
  <si>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</si>
  <si>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</si>
  <si>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</si>
  <si>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</si>
  <si>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</si>
  <si>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</si>
  <si>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</si>
  <si>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</si>
  <si>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</si>
  <si>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</si>
  <si>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</si>
  <si>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</si>
  <si>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</si>
  <si>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</si>
  <si>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</si>
  <si>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</si>
  <si>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</si>
  <si>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</si>
  <si>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</si>
  <si>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</si>
  <si>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</si>
  <si>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</si>
  <si>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</si>
  <si>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</si>
  <si>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</si>
  <si>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</si>
  <si>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</si>
  <si>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</si>
  <si>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</si>
  <si>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</si>
  <si>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</si>
  <si>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</si>
  <si>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</si>
  <si>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</si>
  <si>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</si>
  <si>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</si>
  <si>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</si>
  <si>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</si>
  <si>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</si>
  <si>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</si>
  <si>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</si>
  <si>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</si>
  <si>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</si>
  <si>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</si>
  <si>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</si>
  <si>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</si>
  <si>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</si>
  <si>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</si>
  <si>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</si>
  <si>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</si>
  <si>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</si>
  <si>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</si>
  <si>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</si>
  <si>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</si>
  <si>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</si>
  <si>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</si>
  <si>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</si>
  <si>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</si>
  <si>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</si>
  <si>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</si>
  <si>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</si>
  <si>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</si>
  <si>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</si>
  <si>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</si>
  <si>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</si>
  <si>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</si>
  <si>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</si>
  <si>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</si>
  <si>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</si>
  <si>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</si>
  <si>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</si>
  <si>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</si>
  <si>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</si>
  <si>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</si>
  <si>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</si>
  <si>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</si>
  <si>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</si>
  <si>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</si>
  <si>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</si>
  <si>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</si>
  <si>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</si>
  <si>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</si>
  <si>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</si>
  <si>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</si>
  <si>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</si>
  <si>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</si>
  <si>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</si>
  <si>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</si>
  <si>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</si>
  <si>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</si>
  <si>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</si>
  <si>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</si>
  <si>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</si>
  <si>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</si>
  <si>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</si>
  <si>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</si>
  <si>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</si>
  <si>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</si>
  <si>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</si>
  <si>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</si>
  <si>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</si>
  <si>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</si>
  <si>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</si>
  <si>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</si>
  <si>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</si>
  <si>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</si>
  <si>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</si>
  <si>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</si>
  <si>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</si>
  <si>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</si>
  <si>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</si>
  <si>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</si>
  <si>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</si>
  <si>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</si>
  <si>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</si>
  <si>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</si>
  <si>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</si>
  <si>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</si>
  <si>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</si>
  <si>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</si>
  <si>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</si>
  <si>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</si>
  <si>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</si>
  <si>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</si>
  <si>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</si>
  <si>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</si>
  <si>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</si>
  <si>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</si>
  <si>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</si>
  <si>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</si>
  <si>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</si>
  <si>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</si>
  <si>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</si>
  <si>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</si>
  <si>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</si>
  <si>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</si>
  <si>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</si>
  <si>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</si>
  <si>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</si>
  <si>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</si>
  <si>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</si>
  <si>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</si>
  <si>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</si>
  <si>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</si>
  <si>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</si>
  <si>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</si>
  <si>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</si>
  <si>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</si>
  <si>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</si>
  <si>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</si>
  <si>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</si>
  <si>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</si>
  <si>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</si>
  <si>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</si>
  <si>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</si>
  <si>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</si>
  <si>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</si>
  <si>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</si>
  <si>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</si>
  <si>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</si>
  <si>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</si>
  <si>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</si>
  <si>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</si>
  <si>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</si>
  <si>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</si>
  <si>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</si>
  <si>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</si>
  <si>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</si>
  <si>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</si>
  <si>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</si>
  <si>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</si>
  <si>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</si>
  <si>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</si>
  <si>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</si>
  <si>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</si>
  <si>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</si>
  <si>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</si>
  <si>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</si>
  <si>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</si>
  <si>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</si>
  <si>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</si>
  <si>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</si>
  <si>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</si>
  <si>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</si>
  <si>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</si>
  <si>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</si>
  <si>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</si>
  <si>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</si>
  <si>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</si>
  <si>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</si>
  <si>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</si>
  <si>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</si>
  <si>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</si>
  <si>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</si>
  <si>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</si>
  <si>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</si>
  <si>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</si>
  <si>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</si>
  <si>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</si>
  <si>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</si>
  <si>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</si>
  <si>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</si>
  <si>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</si>
  <si>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</si>
  <si>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</si>
  <si>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</si>
  <si>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</si>
  <si>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</si>
  <si>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</si>
  <si>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</si>
  <si>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</si>
  <si>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</si>
  <si>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</si>
  <si>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</si>
  <si>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</si>
  <si>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</si>
  <si>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</si>
  <si>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</si>
  <si>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</si>
  <si>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</si>
  <si>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</si>
  <si>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</si>
  <si>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</si>
  <si>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</si>
  <si>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</si>
  <si>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</si>
  <si>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</si>
  <si>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</si>
  <si>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</si>
  <si>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</si>
  <si>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</si>
  <si>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</si>
  <si>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</si>
  <si>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</si>
  <si>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</si>
  <si>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</si>
  <si>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</si>
  <si>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</si>
  <si>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</si>
  <si>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</si>
  <si>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</si>
  <si>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</si>
  <si>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</si>
  <si>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</si>
  <si>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</si>
  <si>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</si>
  <si>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</si>
  <si>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</si>
  <si>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</si>
  <si>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</si>
  <si>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</si>
  <si>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</si>
  <si>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</si>
  <si>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</si>
  <si>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</si>
  <si>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</si>
  <si>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</si>
  <si>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</si>
  <si>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</si>
  <si>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</si>
  <si>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</si>
  <si>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</si>
  <si>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</si>
  <si>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</si>
  <si>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</si>
  <si>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</si>
  <si>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</si>
  <si>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</si>
  <si>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</si>
  <si>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</si>
  <si>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</si>
  <si>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</si>
  <si>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</si>
  <si>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</si>
  <si>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</si>
  <si>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</si>
  <si>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</si>
  <si>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</si>
  <si>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</si>
  <si>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</si>
  <si>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</si>
  <si>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</si>
  <si>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</si>
  <si>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</si>
  <si>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</si>
  <si>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</si>
  <si>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</si>
  <si>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</si>
  <si>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</si>
  <si>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</si>
  <si>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</si>
  <si>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</si>
  <si>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</si>
  <si>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</si>
  <si>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</si>
  <si>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</si>
  <si>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</si>
  <si>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</si>
  <si>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</si>
  <si>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</si>
  <si>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</si>
  <si>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</si>
  <si>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</si>
  <si>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</si>
  <si>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</si>
  <si>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</si>
  <si>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</si>
  <si>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</si>
  <si>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</si>
  <si>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</si>
  <si>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</si>
  <si>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</si>
  <si>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</si>
  <si>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</si>
  <si>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</si>
  <si>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</si>
  <si>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</si>
  <si>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</si>
  <si>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</si>
  <si>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</si>
  <si>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</si>
  <si>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</si>
  <si>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</si>
  <si>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</si>
  <si>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</si>
  <si>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</si>
  <si>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</si>
  <si>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</si>
  <si>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</si>
  <si>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</si>
  <si>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</si>
  <si>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</si>
  <si>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</si>
  <si>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</si>
  <si>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</si>
  <si>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</si>
  <si>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</si>
  <si>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</si>
  <si>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</si>
  <si>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</si>
  <si>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</si>
  <si>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</si>
  <si>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</si>
  <si>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</si>
  <si>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</si>
  <si>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</si>
  <si>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</si>
  <si>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</si>
  <si>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</si>
  <si>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</si>
  <si>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</si>
  <si>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</si>
  <si>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</si>
  <si>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</si>
  <si>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</si>
  <si>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</si>
  <si>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</si>
  <si>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</si>
  <si>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</si>
  <si>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</si>
  <si>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</si>
  <si>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</si>
  <si>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</si>
  <si>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</si>
  <si>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</si>
  <si>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</si>
  <si>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</si>
  <si>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</si>
  <si>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</si>
  <si>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</si>
  <si>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</si>
  <si>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</si>
  <si>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</si>
  <si>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</si>
  <si>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</si>
  <si>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</si>
  <si>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</si>
  <si>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</si>
  <si>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</si>
  <si>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</si>
  <si>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</si>
  <si>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</si>
  <si>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</si>
  <si>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</si>
  <si>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</si>
  <si>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</si>
  <si>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</si>
  <si>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</si>
  <si>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</si>
  <si>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</si>
  <si>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</si>
  <si>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</si>
  <si>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</si>
  <si>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</si>
  <si>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</si>
  <si>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</si>
  <si>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</si>
  <si>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</si>
  <si>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</si>
  <si>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</si>
  <si>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</si>
  <si>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</si>
  <si>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</si>
  <si>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</si>
  <si>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</si>
  <si>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</si>
  <si>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</si>
  <si>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</si>
  <si>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</si>
  <si>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</si>
  <si>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</si>
  <si>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</si>
  <si>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</si>
  <si>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</si>
  <si>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</si>
  <si>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</si>
  <si>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</si>
  <si>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</si>
  <si>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</si>
  <si>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</si>
  <si>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</si>
  <si>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</si>
  <si>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</si>
  <si>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</si>
  <si>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</si>
  <si>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</si>
  <si>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</si>
  <si>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</si>
  <si>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</si>
  <si>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</si>
  <si>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</si>
  <si>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</si>
  <si>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</si>
  <si>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</si>
  <si>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</si>
  <si>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</si>
  <si>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</si>
  <si>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</si>
  <si>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</si>
  <si>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</si>
  <si>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</si>
  <si>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</si>
  <si>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</si>
  <si>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</si>
  <si>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</si>
  <si>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</si>
  <si>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</si>
  <si>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</si>
  <si>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</si>
  <si>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</si>
  <si>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</si>
  <si>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</si>
  <si>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</si>
  <si>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</si>
  <si>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</si>
  <si>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</si>
  <si>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</si>
  <si>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</si>
  <si>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</si>
  <si>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</si>
  <si>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</si>
  <si>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</si>
  <si>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</si>
  <si>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</si>
  <si>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</si>
  <si>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</si>
  <si>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</si>
  <si>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</si>
  <si>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</si>
  <si>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</si>
  <si>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</si>
  <si>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</si>
  <si>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</si>
  <si>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</si>
  <si>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</si>
  <si>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</si>
  <si>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</si>
  <si>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</si>
  <si>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</si>
  <si>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</si>
  <si>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</si>
  <si>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</si>
  <si>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</si>
  <si>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</si>
  <si>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</si>
  <si>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</si>
  <si>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</si>
  <si>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</si>
  <si>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</si>
  <si>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</si>
  <si>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</si>
  <si>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</si>
  <si>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</si>
  <si>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</si>
  <si>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</si>
  <si>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</si>
  <si>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</si>
  <si>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</si>
  <si>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</si>
  <si>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</si>
  <si>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</si>
  <si>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</si>
  <si>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</si>
  <si>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</si>
  <si>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</si>
  <si>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</si>
  <si>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</si>
  <si>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</si>
  <si>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</si>
  <si>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</si>
  <si>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</si>
  <si>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</si>
  <si>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</si>
  <si>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</si>
  <si>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</si>
  <si>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</si>
  <si>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</si>
  <si>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</si>
  <si>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</si>
  <si>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</si>
  <si>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</si>
  <si>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</si>
  <si>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</si>
  <si>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</si>
  <si>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</si>
  <si>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</si>
  <si>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</si>
  <si>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</si>
  <si>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</si>
  <si>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</si>
  <si>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</si>
  <si>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</si>
  <si>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</si>
  <si>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</si>
  <si>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</si>
  <si>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</si>
  <si>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</si>
  <si>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</si>
  <si>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</si>
  <si>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</si>
  <si>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</si>
  <si>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</si>
  <si>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</si>
  <si>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</si>
  <si>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</si>
  <si>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</si>
  <si>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</si>
  <si>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</si>
  <si>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</si>
  <si>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</si>
  <si>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</si>
  <si>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</si>
  <si>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</si>
  <si>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</si>
  <si>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</si>
  <si>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</si>
  <si>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</si>
  <si>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</si>
  <si>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</si>
  <si>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</si>
  <si>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</si>
  <si>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</si>
  <si>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</si>
  <si>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</si>
  <si>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</si>
  <si>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</si>
  <si>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</si>
  <si>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</si>
  <si>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</si>
  <si>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</si>
  <si>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</si>
  <si>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</si>
  <si>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</si>
  <si>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</si>
  <si>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</si>
  <si>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</si>
  <si>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</si>
  <si>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</si>
  <si>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</si>
  <si>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</si>
  <si>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</si>
  <si>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</si>
  <si>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</si>
  <si>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</si>
  <si>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</si>
  <si>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</si>
  <si>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</si>
  <si>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</si>
  <si>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</si>
  <si>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</si>
  <si>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</si>
  <si>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</si>
  <si>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</si>
  <si>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</si>
  <si>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</si>
  <si>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</si>
  <si>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</si>
  <si>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</si>
  <si>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</si>
  <si>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</si>
  <si>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</si>
  <si>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</si>
  <si>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</si>
  <si>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</si>
  <si>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</si>
  <si>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</si>
  <si>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</si>
  <si>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</si>
  <si>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</si>
  <si>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</si>
  <si>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</si>
  <si>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</si>
  <si>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</si>
  <si>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</si>
  <si>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</si>
  <si>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</si>
  <si>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</si>
  <si>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</si>
  <si>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</si>
  <si>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</si>
  <si>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</si>
  <si>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</si>
  <si>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</si>
  <si>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</si>
  <si>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</si>
  <si>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</si>
  <si>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</si>
  <si>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</si>
  <si>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</si>
  <si>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</si>
  <si>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</si>
  <si>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</si>
  <si>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</si>
  <si>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</si>
  <si>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</si>
  <si>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</si>
  <si>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</si>
  <si>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</si>
  <si>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</si>
  <si>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</si>
  <si>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</si>
  <si>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</si>
  <si>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</si>
  <si>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</si>
  <si>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</si>
  <si>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</si>
  <si>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</si>
  <si>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</si>
  <si>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</si>
  <si>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</si>
  <si>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</si>
  <si>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</si>
  <si>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</si>
  <si>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</si>
  <si>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</si>
  <si>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</si>
  <si>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</si>
  <si>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</si>
  <si>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</si>
  <si>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</si>
  <si>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</si>
  <si>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</si>
  <si>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</si>
  <si>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</si>
  <si>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</si>
  <si>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</si>
  <si>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</si>
  <si>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</si>
  <si>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</si>
  <si>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</si>
  <si>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</si>
  <si>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</si>
  <si>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</si>
  <si>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</si>
  <si>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</si>
  <si>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</si>
  <si>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</si>
  <si>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</si>
  <si>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</si>
  <si>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</si>
  <si>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</si>
  <si>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</si>
  <si>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</si>
  <si>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</si>
  <si>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</si>
  <si>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</si>
  <si>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</si>
  <si>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</si>
  <si>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</si>
  <si>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</si>
  <si>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</si>
  <si>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</si>
  <si>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</si>
  <si>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</si>
  <si>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</si>
  <si>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</si>
  <si>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</si>
  <si>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</si>
  <si>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</si>
  <si>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</si>
  <si>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</si>
  <si>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</si>
  <si>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</si>
  <si>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</si>
  <si>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</si>
  <si>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</si>
  <si>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</si>
  <si>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</si>
  <si>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</si>
  <si>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</si>
  <si>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</si>
  <si>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</si>
  <si>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</si>
  <si>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</si>
  <si>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</si>
  <si>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</si>
  <si>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</si>
  <si>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</si>
  <si>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</si>
  <si>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</si>
  <si>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</si>
  <si>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</si>
  <si>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</si>
  <si>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</si>
  <si>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</si>
  <si>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</si>
  <si>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</si>
  <si>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</si>
  <si>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</si>
  <si>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</si>
  <si>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</si>
  <si>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</si>
  <si>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</si>
  <si>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</si>
  <si>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</si>
  <si>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</si>
  <si>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</si>
  <si>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</si>
  <si>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</si>
  <si>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</si>
  <si>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</si>
  <si>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</si>
  <si>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</si>
  <si>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</si>
  <si>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</si>
  <si>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</si>
  <si>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</si>
  <si>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</si>
  <si>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</si>
  <si>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</si>
  <si>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</si>
  <si>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</si>
  <si>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</si>
  <si>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</si>
  <si>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</si>
  <si>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</si>
  <si>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</si>
  <si>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</si>
  <si>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</si>
  <si>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</si>
  <si>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</si>
  <si>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</si>
  <si>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</si>
  <si>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</si>
  <si>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</si>
  <si>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</si>
  <si>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</si>
  <si>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</si>
  <si>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</si>
  <si>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</si>
  <si>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</si>
  <si>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</si>
  <si>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</si>
  <si>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</si>
  <si>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</si>
  <si>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</si>
  <si>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</si>
  <si>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</si>
  <si>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</si>
  <si>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</si>
  <si>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</si>
  <si>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</si>
  <si>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</si>
  <si>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</si>
  <si>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</si>
  <si>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</si>
  <si>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</si>
  <si>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</si>
  <si>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</si>
  <si>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</si>
  <si>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</si>
  <si>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</si>
  <si>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</si>
  <si>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</si>
  <si>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</si>
  <si>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</si>
  <si>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</si>
  <si>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</si>
  <si>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</si>
  <si>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</si>
  <si>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</si>
  <si>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</si>
  <si>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</si>
  <si>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</si>
  <si>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</si>
  <si>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</si>
  <si>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</si>
  <si>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</si>
  <si>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</si>
  <si>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</si>
  <si>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</si>
  <si>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</si>
  <si>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</si>
  <si>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</si>
  <si>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</si>
  <si>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</si>
  <si>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</si>
  <si>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</si>
  <si>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</si>
  <si>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</si>
  <si>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</si>
  <si>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</si>
  <si>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</si>
  <si>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</si>
  <si>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</si>
  <si>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</si>
  <si>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</si>
  <si>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</si>
  <si>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</si>
  <si>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</si>
  <si>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</si>
  <si>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</si>
  <si>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</si>
  <si>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</si>
  <si>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</si>
  <si>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</si>
  <si>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</si>
  <si>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</si>
  <si>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</si>
  <si>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</si>
  <si>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</si>
  <si>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</si>
  <si>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</si>
  <si>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</si>
  <si>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</si>
  <si>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</si>
  <si>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</si>
  <si>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</si>
  <si>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</si>
  <si>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</si>
  <si>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</si>
  <si>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</si>
  <si>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</si>
  <si>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</si>
  <si>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</si>
  <si>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</si>
  <si>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</si>
  <si>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</si>
  <si>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</si>
  <si>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</si>
  <si>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</si>
  <si>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</si>
  <si>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</si>
  <si>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</si>
  <si>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</si>
  <si>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</si>
  <si>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</si>
  <si>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</si>
  <si>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</si>
  <si>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</si>
  <si>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</si>
  <si>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</si>
  <si>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</si>
  <si>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</si>
  <si>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</si>
  <si>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</si>
  <si>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</si>
  <si>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</si>
  <si>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</si>
  <si>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</si>
  <si>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</si>
  <si>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</si>
  <si>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</si>
  <si>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</si>
  <si>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</si>
  <si>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</si>
  <si>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</si>
  <si>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</si>
  <si>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</si>
  <si>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</si>
  <si>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</si>
  <si>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</si>
  <si>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</si>
  <si>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</si>
  <si>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</si>
  <si>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</si>
  <si>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</si>
  <si>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</si>
  <si>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</si>
  <si>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</si>
  <si>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</si>
  <si>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</si>
  <si>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</si>
  <si>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</si>
  <si>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</si>
  <si>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</si>
  <si>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</si>
  <si>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</si>
  <si>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</si>
  <si>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</si>
  <si>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</si>
  <si>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</si>
  <si>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</si>
  <si>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</si>
  <si>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</si>
  <si>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</si>
  <si>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</si>
  <si>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</si>
  <si>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</si>
  <si>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</si>
  <si>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</si>
  <si>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</si>
  <si>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</si>
  <si>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</si>
  <si>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</si>
  <si>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</si>
  <si>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</si>
  <si>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</si>
  <si>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</si>
  <si>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</si>
  <si>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</si>
  <si>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</si>
  <si>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</si>
  <si>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</si>
  <si>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</si>
  <si>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</si>
  <si>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</si>
  <si>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</si>
  <si>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</si>
  <si>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</si>
  <si>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</si>
  <si>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</si>
  <si>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</si>
  <si>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</si>
  <si>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</si>
  <si>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</si>
  <si>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</si>
  <si>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</si>
  <si>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</si>
  <si>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</si>
  <si>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</si>
  <si>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</si>
  <si>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</si>
  <si>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</si>
  <si>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</si>
  <si>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</si>
  <si>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</si>
  <si>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</si>
  <si>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</si>
  <si>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</si>
  <si>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</si>
  <si>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</si>
  <si>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</si>
  <si>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</si>
  <si>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</si>
  <si>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</si>
  <si>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</si>
  <si>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</si>
  <si>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</si>
  <si>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</si>
  <si>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</si>
  <si>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</si>
  <si>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</si>
  <si>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</si>
  <si>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</si>
  <si>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</si>
  <si>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</si>
  <si>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</si>
  <si>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</si>
  <si>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</si>
  <si>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</si>
  <si>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</si>
  <si>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</si>
  <si>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</si>
  <si>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</si>
  <si>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</si>
  <si>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</si>
  <si>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</si>
  <si>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</si>
  <si>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</si>
  <si>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</si>
  <si>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</si>
  <si>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</si>
  <si>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</si>
  <si>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</si>
  <si>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</si>
  <si>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</si>
  <si>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</si>
  <si>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</si>
  <si>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</si>
  <si>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</si>
  <si>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</si>
  <si>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</si>
  <si>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</si>
  <si>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</si>
  <si>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</si>
  <si>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</si>
  <si>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</si>
  <si>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</si>
  <si>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</si>
  <si>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</si>
  <si>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</si>
  <si>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</si>
  <si>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</si>
  <si>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</si>
  <si>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</si>
  <si>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</si>
  <si>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</si>
  <si>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</si>
  <si>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</si>
  <si>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</si>
  <si>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</si>
  <si>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</si>
  <si>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</si>
  <si>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</si>
  <si>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</si>
  <si>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</si>
  <si>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</si>
  <si>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</si>
  <si>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</si>
  <si>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</si>
  <si>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</si>
  <si>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</si>
  <si>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</si>
  <si>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</si>
  <si>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</si>
  <si>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</si>
  <si>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</si>
  <si>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</si>
  <si>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</si>
  <si>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</si>
  <si>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</si>
  <si>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</si>
  <si>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</si>
  <si>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</si>
  <si>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</si>
  <si>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</si>
  <si>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</si>
  <si>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</si>
  <si>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</si>
  <si>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</si>
  <si>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</si>
  <si>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</si>
  <si>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</si>
  <si>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</si>
  <si>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</si>
  <si>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</si>
  <si>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</si>
  <si>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</si>
  <si>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</si>
  <si>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</si>
  <si>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</si>
  <si>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</si>
  <si>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</si>
  <si>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</si>
  <si>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</si>
  <si>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</si>
  <si>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</si>
  <si>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</si>
  <si>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</si>
  <si>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</si>
  <si>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</si>
  <si>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</si>
  <si>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</si>
  <si>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</si>
  <si>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</si>
  <si>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</si>
  <si>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</si>
  <si>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</si>
  <si>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</si>
  <si>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</si>
  <si>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</si>
  <si>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</si>
  <si>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</si>
  <si>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</si>
  <si>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</si>
  <si>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</si>
  <si>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</si>
  <si>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</si>
  <si>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</si>
  <si>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</si>
  <si>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</si>
  <si>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</si>
  <si>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</si>
  <si>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</si>
  <si>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</si>
  <si>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</si>
  <si>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</si>
  <si>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</si>
  <si>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</si>
  <si>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</si>
  <si>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</si>
  <si>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</si>
  <si>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</si>
  <si>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</si>
  <si>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</si>
  <si>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</si>
  <si>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</si>
  <si>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</si>
  <si>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</si>
  <si>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</si>
  <si>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</si>
  <si>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</si>
  <si>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</si>
  <si>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</si>
  <si>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</si>
  <si>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</si>
  <si>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</si>
  <si>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</si>
  <si>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</si>
  <si>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</si>
  <si>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</si>
  <si>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</si>
  <si>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</si>
  <si>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</si>
  <si>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</si>
  <si>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</si>
  <si>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</si>
  <si>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</si>
  <si>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</si>
  <si>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</si>
  <si>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</si>
  <si>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</si>
  <si>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</si>
  <si>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</si>
  <si>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</si>
  <si>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</si>
  <si>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</si>
  <si>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</si>
  <si>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</si>
  <si>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</si>
  <si>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</si>
  <si>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</si>
  <si>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</si>
  <si>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</si>
  <si>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</si>
  <si>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</si>
  <si>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</si>
  <si>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</si>
  <si>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</si>
  <si>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</si>
  <si>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</si>
  <si>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</si>
  <si>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</si>
  <si>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</si>
  <si>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</si>
  <si>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</si>
  <si>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</si>
  <si>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</si>
  <si>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</si>
  <si>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</si>
  <si>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</si>
  <si>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</si>
  <si>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</si>
  <si>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</si>
  <si>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</si>
  <si>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</si>
  <si>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</si>
  <si>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</si>
  <si>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</si>
  <si>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</si>
  <si>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</si>
  <si>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</si>
  <si>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</si>
  <si>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</si>
  <si>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</si>
  <si>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</si>
  <si>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</si>
  <si>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</si>
  <si>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</si>
  <si>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</si>
  <si>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</si>
  <si>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</si>
  <si>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</si>
  <si>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</si>
  <si>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</si>
  <si>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</si>
  <si>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</si>
  <si>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</si>
  <si>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</si>
  <si>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</si>
  <si>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</si>
  <si>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</si>
  <si>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</si>
  <si>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</si>
  <si>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</si>
  <si>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</si>
  <si>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</si>
  <si>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</si>
  <si>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</si>
  <si>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</si>
  <si>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</si>
  <si>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</si>
  <si>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</si>
  <si>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</si>
  <si>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</si>
  <si>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</si>
  <si>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</si>
  <si>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</si>
  <si>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</si>
  <si>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</si>
  <si>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</si>
  <si>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</si>
  <si>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</si>
  <si>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</si>
  <si>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</si>
  <si>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</si>
  <si>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</si>
  <si>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</si>
  <si>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</si>
  <si>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</si>
  <si>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</si>
  <si>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</si>
  <si>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</si>
  <si>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</si>
  <si>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</si>
  <si>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</si>
  <si>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</si>
  <si>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</si>
  <si>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</si>
  <si>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</si>
  <si>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</si>
  <si>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</si>
  <si>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</si>
  <si>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</si>
  <si>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</si>
  <si>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</si>
  <si>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</si>
  <si>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</si>
  <si>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</si>
  <si>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</si>
  <si>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</si>
  <si>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</si>
  <si>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</si>
  <si>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</si>
  <si>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</si>
  <si>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</si>
  <si>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</si>
  <si>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</si>
  <si>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</si>
  <si>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</si>
  <si>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</si>
  <si>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</si>
  <si>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</si>
  <si>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</si>
  <si>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</si>
  <si>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</si>
  <si>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</si>
  <si>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</si>
  <si>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</si>
  <si>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</si>
  <si>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</si>
  <si>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</si>
  <si>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</si>
  <si>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</si>
  <si>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</si>
  <si>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</si>
  <si>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</si>
  <si>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</si>
  <si>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</si>
  <si>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</si>
  <si>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</si>
  <si>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</si>
  <si>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</si>
  <si>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</si>
  <si>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</si>
  <si>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</si>
  <si>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</si>
  <si>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</si>
  <si>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</si>
  <si>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</si>
  <si>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</si>
  <si>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</si>
  <si>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</si>
  <si>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</si>
  <si>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</si>
  <si>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</si>
  <si>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</si>
  <si>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</si>
  <si>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</si>
  <si>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</si>
  <si>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</si>
  <si>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</si>
  <si>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</si>
  <si>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</si>
  <si>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</si>
  <si>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</si>
  <si>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</si>
  <si>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</si>
  <si>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</si>
  <si>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</si>
  <si>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</si>
  <si>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</si>
  <si>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</si>
  <si>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</si>
  <si>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</si>
  <si>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</si>
  <si>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</si>
  <si>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</si>
  <si>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</si>
  <si>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</si>
  <si>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</si>
  <si>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</si>
  <si>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</si>
  <si>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</si>
  <si>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</si>
  <si>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</si>
  <si>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</si>
  <si>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</si>
  <si>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</si>
  <si>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</si>
  <si>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</si>
  <si>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</si>
  <si>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</si>
  <si>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</si>
  <si>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</si>
  <si>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</si>
  <si>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</si>
  <si>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</si>
  <si>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</si>
  <si>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</si>
  <si>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</si>
  <si>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</si>
  <si>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</si>
  <si>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</si>
  <si>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</si>
  <si>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</si>
  <si>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</si>
  <si>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</si>
  <si>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</si>
  <si>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</si>
  <si>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</si>
  <si>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</si>
  <si>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</si>
  <si>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</si>
  <si>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</si>
  <si>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</si>
  <si>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</si>
  <si>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</si>
  <si>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</si>
  <si>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</si>
  <si>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</si>
  <si>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</si>
  <si>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</si>
  <si>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</si>
  <si>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</si>
  <si>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</si>
  <si>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</si>
  <si>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</si>
  <si>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</si>
  <si>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</si>
  <si>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</si>
  <si>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</si>
  <si>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</si>
  <si>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</si>
  <si>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</si>
  <si>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</si>
  <si>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</si>
  <si>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</si>
  <si>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</si>
  <si>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</si>
  <si>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</si>
  <si>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</si>
  <si>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</si>
  <si>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</si>
  <si>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</si>
  <si>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</si>
  <si>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</si>
  <si>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</si>
  <si>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</si>
  <si>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</si>
  <si>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</si>
  <si>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</si>
  <si>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</si>
  <si>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</si>
  <si>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</si>
  <si>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</si>
  <si>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</si>
  <si>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</si>
  <si>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</si>
  <si>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</si>
  <si>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</si>
  <si>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</si>
  <si>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</si>
  <si>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</si>
  <si>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</si>
  <si>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</si>
  <si>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</si>
  <si>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</si>
  <si>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</si>
  <si>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</si>
  <si>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</si>
  <si>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</si>
  <si>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</si>
  <si>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</si>
  <si>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</si>
  <si>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</si>
  <si>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</si>
  <si>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</si>
  <si>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</si>
  <si>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</si>
  <si>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</si>
  <si>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</si>
  <si>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</si>
  <si>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</si>
  <si>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</si>
  <si>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</si>
  <si>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</si>
  <si>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</si>
  <si>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</si>
  <si>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</si>
  <si>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</si>
  <si>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</si>
  <si>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</si>
  <si>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</si>
  <si>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</si>
  <si>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</si>
  <si>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</si>
  <si>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</si>
  <si>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</si>
  <si>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</si>
  <si>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</si>
  <si>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</si>
  <si>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</si>
  <si>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</si>
  <si>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</si>
  <si>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</si>
  <si>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</si>
  <si>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</si>
  <si>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</si>
  <si>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</si>
  <si>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</si>
  <si>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</si>
  <si>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</si>
  <si>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</si>
  <si>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</si>
  <si>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</si>
  <si>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</si>
  <si>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</si>
  <si>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</si>
  <si>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</si>
  <si>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</si>
  <si>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</si>
  <si>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</si>
  <si>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</si>
  <si>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</si>
  <si>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</si>
  <si>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</si>
  <si>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</si>
  <si>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</si>
  <si>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</si>
  <si>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</si>
  <si>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</si>
  <si>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</si>
  <si>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</si>
  <si>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</si>
  <si>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</si>
  <si>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</si>
  <si>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</si>
  <si>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</si>
  <si>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</si>
  <si>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</si>
  <si>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</si>
  <si>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</si>
  <si>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</si>
  <si>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</si>
  <si>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</si>
  <si>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</si>
  <si>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</si>
  <si>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</si>
  <si>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</si>
  <si>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</si>
  <si>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</si>
  <si>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</si>
  <si>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</si>
  <si>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</si>
  <si>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</si>
  <si>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</si>
  <si>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</si>
  <si>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</si>
  <si>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</si>
  <si>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</si>
  <si>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</si>
  <si>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</si>
  <si>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</si>
  <si>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</si>
  <si>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</si>
  <si>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</si>
  <si>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</si>
  <si>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</si>
  <si>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</si>
  <si>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</si>
  <si>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</si>
  <si>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</si>
  <si>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</si>
  <si>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</si>
  <si>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</si>
  <si>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</si>
  <si>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</si>
  <si>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</si>
  <si>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</si>
  <si>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</si>
  <si>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</si>
  <si>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</si>
  <si>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</si>
  <si>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</si>
  <si>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</si>
  <si>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</si>
  <si>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</si>
  <si>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</si>
  <si>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</si>
  <si>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</si>
  <si>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</si>
  <si>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</si>
  <si>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</si>
  <si>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</si>
  <si>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</si>
  <si>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</si>
  <si>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</si>
  <si>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</si>
  <si>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</si>
  <si>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</si>
  <si>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</si>
  <si>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</si>
  <si>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</si>
  <si>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</si>
  <si>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</si>
  <si>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</si>
  <si>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</si>
  <si>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</si>
  <si>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</si>
  <si>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</si>
  <si>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</si>
  <si>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</si>
  <si>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</si>
  <si>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</si>
  <si>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</si>
  <si>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</si>
  <si>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</si>
  <si>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</si>
  <si>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</si>
  <si>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</si>
  <si>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</si>
  <si>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</si>
  <si>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</si>
  <si>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</si>
  <si>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</si>
  <si>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</si>
  <si>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</si>
  <si>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</si>
  <si>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</si>
  <si>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</si>
  <si>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</si>
  <si>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</si>
  <si>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</si>
  <si>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</si>
  <si>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</si>
  <si>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</si>
  <si>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</si>
  <si>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</si>
  <si>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</si>
  <si>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</si>
  <si>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</si>
  <si>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</si>
  <si>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</si>
  <si>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</si>
  <si>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</si>
  <si>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</si>
  <si>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</si>
  <si>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</si>
  <si>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</si>
  <si>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</si>
  <si>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</si>
  <si>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</si>
  <si>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</si>
  <si>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</si>
  <si>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</si>
  <si>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</si>
  <si>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</si>
  <si>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</si>
  <si>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</si>
  <si>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</si>
  <si>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</si>
  <si>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</si>
  <si>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</si>
  <si>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</si>
  <si>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</si>
  <si>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</si>
  <si>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</si>
  <si>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</si>
  <si>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</si>
  <si>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</si>
  <si>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</si>
  <si>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</si>
  <si>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</si>
  <si>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</si>
  <si>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</si>
  <si>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</si>
  <si>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</si>
  <si>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</si>
  <si>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</si>
  <si>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</si>
  <si>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</si>
  <si>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</si>
  <si>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</si>
  <si>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</si>
  <si>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</si>
  <si>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</si>
  <si>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</si>
  <si>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</si>
  <si>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</si>
  <si>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</si>
  <si>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</si>
  <si>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</si>
  <si>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</si>
  <si>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</si>
  <si>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</si>
  <si>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</si>
  <si>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</si>
  <si>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</si>
  <si>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</si>
  <si>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</si>
  <si>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</si>
  <si>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</si>
  <si>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</si>
  <si>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</si>
  <si>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</si>
  <si>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</si>
  <si>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</si>
  <si>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</si>
  <si>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</si>
  <si>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</si>
  <si>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</si>
  <si>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</si>
  <si>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</si>
  <si>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</si>
  <si>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</si>
  <si>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</si>
  <si>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</si>
  <si>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</si>
  <si>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</si>
  <si>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</si>
  <si>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</si>
  <si>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</si>
  <si>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</si>
  <si>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</si>
  <si>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</si>
  <si>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</si>
  <si>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</si>
  <si>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</si>
  <si>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</si>
  <si>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</si>
  <si>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</si>
  <si>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</si>
  <si>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</si>
  <si>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</si>
  <si>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</si>
  <si>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</si>
  <si>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</si>
  <si>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</si>
  <si>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</si>
  <si>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</si>
  <si>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</si>
  <si>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</si>
  <si>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</si>
  <si>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</si>
  <si>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</si>
  <si>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</si>
  <si>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</si>
  <si>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</si>
  <si>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</si>
  <si>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</si>
  <si>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</si>
  <si>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</si>
  <si>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</si>
  <si>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</si>
  <si>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</si>
  <si>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</si>
  <si>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</si>
  <si>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</si>
  <si>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</si>
  <si>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</si>
  <si>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</si>
  <si>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</si>
  <si>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</si>
  <si>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</si>
  <si>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</si>
  <si>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</si>
  <si>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</si>
  <si>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</si>
  <si>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</si>
  <si>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</si>
  <si>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</si>
  <si>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</si>
  <si>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</si>
  <si>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</si>
  <si>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</si>
  <si>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</si>
  <si>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</si>
  <si>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</si>
  <si>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</si>
  <si>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</si>
  <si>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</si>
  <si>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</si>
  <si>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</si>
  <si>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</si>
  <si>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</si>
  <si>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</si>
  <si>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</si>
  <si>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</si>
  <si>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</si>
  <si>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</si>
  <si>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</si>
  <si>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</si>
  <si>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</si>
  <si>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</si>
  <si>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</si>
  <si>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</si>
  <si>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</si>
  <si>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</si>
  <si>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</si>
  <si>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</si>
  <si>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</si>
  <si>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</si>
  <si>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</si>
  <si>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</si>
  <si>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</si>
  <si>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</si>
  <si>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</si>
  <si>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</si>
  <si>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</si>
  <si>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</si>
  <si>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</si>
  <si>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</si>
  <si>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</si>
  <si>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</si>
  <si>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</si>
  <si>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</si>
  <si>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</si>
  <si>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</si>
  <si>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</si>
  <si>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</si>
  <si>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</si>
  <si>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</si>
  <si>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</si>
  <si>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</si>
  <si>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</si>
  <si>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</si>
  <si>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</si>
  <si>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</si>
  <si>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</si>
  <si>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</si>
  <si>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</si>
  <si>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</si>
  <si>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</si>
  <si>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</si>
  <si>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</si>
  <si>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</si>
  <si>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</si>
  <si>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</si>
  <si>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</si>
  <si>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</si>
  <si>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</si>
  <si>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</si>
  <si>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</si>
  <si>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</si>
  <si>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</si>
  <si>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</si>
  <si>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</si>
  <si>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</si>
  <si>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</si>
  <si>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</si>
  <si>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</si>
  <si>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</si>
  <si>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</si>
  <si>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</si>
  <si>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</si>
  <si>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</si>
  <si>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</si>
  <si>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</si>
  <si>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</si>
  <si>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</si>
  <si>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</si>
  <si>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</si>
  <si>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</si>
  <si>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</si>
  <si>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</si>
  <si>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</si>
  <si>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</si>
  <si>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</si>
  <si>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</si>
  <si>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</si>
  <si>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</si>
  <si>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</si>
  <si>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</si>
  <si>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</si>
  <si>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</si>
  <si>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</si>
  <si>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</si>
  <si>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</si>
  <si>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</si>
  <si>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</si>
  <si>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</si>
  <si>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</si>
  <si>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</si>
  <si>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</si>
  <si>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</si>
  <si>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</si>
  <si>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</si>
  <si>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</si>
  <si>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</si>
  <si>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</si>
  <si>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</si>
  <si>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</si>
  <si>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</si>
  <si>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</si>
  <si>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</si>
  <si>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</si>
  <si>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</si>
  <si>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</si>
  <si>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</si>
  <si>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</si>
  <si>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</si>
  <si>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</si>
  <si>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</si>
  <si>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</si>
  <si>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</si>
  <si>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</si>
  <si>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</si>
  <si>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</si>
  <si>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</si>
  <si>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</si>
  <si>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</si>
  <si>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</si>
  <si>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</si>
  <si>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</si>
  <si>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</si>
  <si>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</si>
  <si>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</si>
  <si>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</si>
  <si>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</si>
  <si>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</si>
  <si>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</si>
  <si>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</si>
  <si>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</si>
  <si>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</si>
  <si>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</si>
  <si>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</si>
  <si>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</si>
  <si>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</si>
  <si>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</si>
  <si>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</si>
  <si>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</si>
  <si>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</si>
  <si>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</si>
  <si>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</si>
  <si>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</si>
  <si>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</si>
  <si>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</si>
  <si>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</si>
  <si>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</si>
  <si>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</si>
  <si>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</si>
  <si>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</si>
  <si>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</si>
  <si>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</si>
  <si>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</si>
  <si>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</si>
  <si>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</si>
  <si>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</si>
  <si>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</si>
  <si>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</si>
  <si>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</si>
  <si>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</si>
  <si>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</si>
  <si>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</si>
  <si>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</si>
  <si>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</si>
  <si>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</si>
  <si>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</si>
  <si>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</si>
  <si>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</si>
  <si>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</si>
  <si>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</si>
  <si>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</si>
  <si>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</si>
  <si>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</si>
  <si>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</si>
  <si>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</si>
  <si>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</si>
  <si>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</si>
  <si>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</si>
  <si>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</si>
  <si>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</si>
  <si>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</si>
  <si>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</si>
  <si>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</si>
  <si>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</si>
  <si>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</si>
  <si>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</si>
  <si>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</si>
  <si>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</si>
  <si>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</si>
  <si>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</si>
  <si>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</si>
  <si>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</si>
  <si>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</si>
  <si>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</si>
  <si>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r>
      <rPr>
        <sz val="11"/>
        <color theme="1"/>
        <rFont val="宋体"/>
        <family val="3"/>
        <charset val="134"/>
      </rPr>
      <t>剩余法</t>
    </r>
    <r>
      <rPr>
        <sz val="11"/>
        <color theme="1"/>
        <rFont val="Arial"/>
        <family val="2"/>
      </rPr>
      <t>-</t>
    </r>
    <r>
      <rPr>
        <sz val="11"/>
        <color theme="1"/>
        <rFont val="宋体"/>
        <family val="3"/>
        <charset val="134"/>
      </rPr>
      <t>四合院</t>
    </r>
    <phoneticPr fontId="14" type="noConversion"/>
  </si>
  <si>
    <t>剩余法-待开发</t>
  </si>
  <si>
    <t>剩余法-四合院</t>
  </si>
  <si>
    <t>年期修正系数</t>
    <phoneticPr fontId="15" type="noConversion"/>
  </si>
  <si>
    <t>按公示增长率计算</t>
  </si>
  <si>
    <t>土地级别</t>
  </si>
  <si>
    <t>变更后</t>
    <phoneticPr fontId="233" type="noConversion"/>
  </si>
  <si>
    <t>变更前</t>
    <phoneticPr fontId="233" type="noConversion"/>
  </si>
  <si>
    <t>差值</t>
    <phoneticPr fontId="233" type="noConversion"/>
  </si>
  <si>
    <t>办公</t>
    <phoneticPr fontId="233" type="noConversion"/>
  </si>
  <si>
    <t>地下仓储</t>
  </si>
  <si>
    <t>地下仓储</t>
    <phoneticPr fontId="233" type="noConversion"/>
  </si>
  <si>
    <t>地下车库</t>
    <phoneticPr fontId="233" type="noConversion"/>
  </si>
  <si>
    <t>合计</t>
    <phoneticPr fontId="233" type="noConversion"/>
  </si>
  <si>
    <t>分布</t>
    <phoneticPr fontId="233" type="noConversion"/>
  </si>
  <si>
    <t>地下仓储</t>
    <phoneticPr fontId="233" type="noConversion"/>
  </si>
  <si>
    <t>位置</t>
    <phoneticPr fontId="233" type="noConversion"/>
  </si>
  <si>
    <t>套数</t>
    <phoneticPr fontId="233" type="noConversion"/>
  </si>
  <si>
    <r>
      <t>2</t>
    </r>
    <r>
      <rPr>
        <sz val="11"/>
        <color theme="1"/>
        <rFont val="宋体"/>
        <family val="3"/>
        <charset val="134"/>
        <scheme val="minor"/>
      </rPr>
      <t>#--102</t>
    </r>
    <phoneticPr fontId="233" type="noConversion"/>
  </si>
  <si>
    <r>
      <t>5</t>
    </r>
    <r>
      <rPr>
        <sz val="11"/>
        <color theme="1"/>
        <rFont val="宋体"/>
        <family val="3"/>
        <charset val="134"/>
        <scheme val="minor"/>
      </rPr>
      <t>#--201、-202、-203、-204、-205</t>
    </r>
    <phoneticPr fontId="233" type="noConversion"/>
  </si>
  <si>
    <t>8#--101、-102、-103</t>
    <phoneticPr fontId="233" type="noConversion"/>
  </si>
  <si>
    <t>8#-201、-202、-203、-204、-205</t>
    <phoneticPr fontId="233" type="noConversion"/>
  </si>
  <si>
    <t>小计</t>
    <phoneticPr fontId="233" type="noConversion"/>
  </si>
  <si>
    <r>
      <t>地下二层4</t>
    </r>
    <r>
      <rPr>
        <sz val="11"/>
        <color theme="1"/>
        <rFont val="宋体"/>
        <family val="3"/>
        <charset val="134"/>
        <scheme val="minor"/>
      </rPr>
      <t>3个，地下一层40个</t>
    </r>
    <phoneticPr fontId="233" type="noConversion"/>
  </si>
  <si>
    <r>
      <t>101</t>
    </r>
    <r>
      <rPr>
        <sz val="11"/>
        <color theme="1"/>
        <rFont val="宋体"/>
        <family val="3"/>
        <charset val="134"/>
        <scheme val="minor"/>
      </rPr>
      <t>#</t>
    </r>
    <phoneticPr fontId="233" type="noConversion"/>
  </si>
  <si>
    <t>建筑面积</t>
    <phoneticPr fontId="233" type="noConversion"/>
  </si>
  <si>
    <t>分摊土地面积</t>
    <phoneticPr fontId="233" type="noConversion"/>
  </si>
  <si>
    <t>地上办公</t>
  </si>
  <si>
    <t>自定义容积率</t>
  </si>
  <si>
    <t>办公</t>
    <phoneticPr fontId="3" type="noConversion"/>
  </si>
  <si>
    <t>地上</t>
  </si>
  <si>
    <t>办公楼</t>
  </si>
  <si>
    <t>地下</t>
  </si>
  <si>
    <t>仓储</t>
  </si>
  <si>
    <t>非燃品库房</t>
  </si>
  <si>
    <t>地下仓储</t>
    <phoneticPr fontId="3" type="noConversion"/>
  </si>
  <si>
    <t>地下车库</t>
    <phoneticPr fontId="3" type="noConversion"/>
  </si>
  <si>
    <t>车库</t>
  </si>
  <si>
    <t>办公</t>
    <phoneticPr fontId="7" type="noConversion"/>
  </si>
  <si>
    <t>地下仓储</t>
    <phoneticPr fontId="7" type="noConversion"/>
  </si>
  <si>
    <t>地下车库</t>
    <phoneticPr fontId="7" type="noConversion"/>
  </si>
  <si>
    <t>基准地价住宅</t>
    <phoneticPr fontId="14" type="noConversion"/>
  </si>
  <si>
    <t>居住用地（指二类居住用地）</t>
  </si>
  <si>
    <t>101#地上</t>
    <phoneticPr fontId="233" type="noConversion"/>
  </si>
  <si>
    <t>剩余法待开发住宅</t>
    <phoneticPr fontId="14" type="noConversion"/>
  </si>
  <si>
    <t>用途</t>
  </si>
  <si>
    <t>土地面积</t>
    <phoneticPr fontId="233" type="noConversion"/>
  </si>
  <si>
    <t>容积率</t>
    <phoneticPr fontId="233" type="noConversion"/>
  </si>
  <si>
    <t>无</t>
  </si>
  <si>
    <t>1000米以外</t>
  </si>
  <si>
    <t>六通一平</t>
  </si>
  <si>
    <t>缺少</t>
  </si>
  <si>
    <t>通热</t>
  </si>
  <si>
    <t>出让</t>
  </si>
  <si>
    <t>基准地价</t>
    <phoneticPr fontId="233" type="noConversion"/>
  </si>
  <si>
    <t>剩余法</t>
    <phoneticPr fontId="233" type="noConversion"/>
  </si>
  <si>
    <t>办公</t>
    <phoneticPr fontId="233" type="noConversion"/>
  </si>
  <si>
    <t>楼面单价</t>
    <phoneticPr fontId="233" type="noConversion"/>
  </si>
  <si>
    <t>权重</t>
    <phoneticPr fontId="233" type="noConversion"/>
  </si>
  <si>
    <t>结果（楼面单价）</t>
    <phoneticPr fontId="233" type="noConversion"/>
  </si>
  <si>
    <t>住宅</t>
    <phoneticPr fontId="3" type="noConversion"/>
  </si>
  <si>
    <t>平层住宅</t>
  </si>
  <si>
    <t>住宅</t>
    <phoneticPr fontId="7" type="noConversion"/>
  </si>
  <si>
    <t>阳光星苑</t>
    <phoneticPr fontId="3" type="noConversion"/>
  </si>
  <si>
    <t>西红门南一街200号</t>
    <phoneticPr fontId="3" type="noConversion"/>
  </si>
  <si>
    <t>汽车坡道</t>
    <phoneticPr fontId="27" type="noConversion"/>
  </si>
  <si>
    <t>40-50（含）</t>
  </si>
  <si>
    <t>一般</t>
  </si>
  <si>
    <t>六通</t>
  </si>
  <si>
    <t>七通</t>
  </si>
  <si>
    <r>
      <rPr>
        <sz val="11"/>
        <color indexed="8"/>
        <rFont val="宋体"/>
        <family val="3"/>
        <charset val="134"/>
      </rPr>
      <t>地上</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</si>
  <si>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</si>
  <si>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27" type="noConversion"/>
  </si>
  <si>
    <t>地上1层</t>
  </si>
  <si>
    <t>地下1层</t>
  </si>
  <si>
    <t>普通装修</t>
  </si>
  <si>
    <t>普通装修</t>
    <phoneticPr fontId="27" type="noConversion"/>
  </si>
  <si>
    <t>平面</t>
  </si>
  <si>
    <t>平面</t>
    <phoneticPr fontId="27" type="noConversion"/>
  </si>
  <si>
    <t>是</t>
    <phoneticPr fontId="27" type="noConversion"/>
  </si>
  <si>
    <t>首开璞瑅</t>
    <phoneticPr fontId="3" type="noConversion"/>
  </si>
  <si>
    <t>方庄路</t>
    <phoneticPr fontId="3" type="noConversion"/>
  </si>
  <si>
    <t>正常</t>
  </si>
  <si>
    <t>车位</t>
  </si>
  <si>
    <t>车位</t>
    <phoneticPr fontId="27" type="noConversion"/>
  </si>
  <si>
    <t>30-40（含）</t>
  </si>
  <si>
    <t>较好</t>
  </si>
  <si>
    <t>好</t>
  </si>
  <si>
    <t>园博府</t>
    <phoneticPr fontId="3" type="noConversion"/>
  </si>
  <si>
    <t>园博大道</t>
    <phoneticPr fontId="3" type="noConversion"/>
  </si>
  <si>
    <t>公园懿府</t>
    <phoneticPr fontId="3" type="noConversion"/>
  </si>
  <si>
    <t>西红门南一街206号</t>
    <phoneticPr fontId="3" type="noConversion"/>
  </si>
  <si>
    <t>阳光星苑</t>
    <phoneticPr fontId="3" type="noConversion"/>
  </si>
  <si>
    <t>设定为商品住宅</t>
    <phoneticPr fontId="21" type="noConversion"/>
  </si>
  <si>
    <t>60-70（含）</t>
  </si>
  <si>
    <t>商品住宅</t>
  </si>
  <si>
    <t>商品住宅</t>
    <phoneticPr fontId="21" type="noConversion"/>
  </si>
  <si>
    <t>南北</t>
  </si>
  <si>
    <t>南北</t>
    <phoneticPr fontId="21" type="noConversion"/>
  </si>
  <si>
    <t>主</t>
    <phoneticPr fontId="21" type="noConversion"/>
  </si>
  <si>
    <t>次</t>
    <phoneticPr fontId="21" type="noConversion"/>
  </si>
  <si>
    <t>支</t>
    <phoneticPr fontId="21" type="noConversion"/>
  </si>
  <si>
    <t>高层板楼</t>
  </si>
  <si>
    <t>高层板楼</t>
    <phoneticPr fontId="21" type="noConversion"/>
  </si>
  <si>
    <t>钢混</t>
  </si>
  <si>
    <t>钢混</t>
    <phoneticPr fontId="21" type="noConversion"/>
  </si>
  <si>
    <t>高</t>
    <phoneticPr fontId="21" type="noConversion"/>
  </si>
  <si>
    <t>中</t>
  </si>
  <si>
    <t>中</t>
    <phoneticPr fontId="21" type="noConversion"/>
  </si>
  <si>
    <t>低</t>
  </si>
  <si>
    <t>低</t>
    <phoneticPr fontId="21" type="noConversion"/>
  </si>
  <si>
    <t>精装修</t>
  </si>
  <si>
    <t>精装修</t>
    <phoneticPr fontId="21" type="noConversion"/>
  </si>
  <si>
    <t>普通装修</t>
    <phoneticPr fontId="21" type="noConversion"/>
  </si>
  <si>
    <t>品牌专业</t>
  </si>
  <si>
    <t>品牌专业</t>
    <phoneticPr fontId="21" type="noConversion"/>
  </si>
  <si>
    <t>一般专业</t>
  </si>
  <si>
    <t>一般专业</t>
    <phoneticPr fontId="21" type="noConversion"/>
  </si>
  <si>
    <t>七通</t>
    <phoneticPr fontId="21" type="noConversion"/>
  </si>
  <si>
    <t>六通</t>
    <phoneticPr fontId="21" type="noConversion"/>
  </si>
  <si>
    <t>五通</t>
    <phoneticPr fontId="21" type="noConversion"/>
  </si>
  <si>
    <t>四通</t>
    <phoneticPr fontId="21" type="noConversion"/>
  </si>
  <si>
    <t>精装修</t>
    <phoneticPr fontId="21" type="noConversion"/>
  </si>
  <si>
    <t>简单装修</t>
    <phoneticPr fontId="21" type="noConversion"/>
  </si>
  <si>
    <t>毛坯</t>
  </si>
  <si>
    <t>毛坯</t>
    <phoneticPr fontId="21" type="noConversion"/>
  </si>
  <si>
    <t>13/15</t>
  </si>
  <si>
    <t>中楼层/16</t>
  </si>
  <si>
    <r>
      <rPr>
        <sz val="11"/>
        <rFont val="宋体"/>
        <family val="3"/>
        <charset val="134"/>
      </rPr>
      <t>中楼层</t>
    </r>
    <r>
      <rPr>
        <sz val="11"/>
        <rFont val="Arial"/>
        <family val="2"/>
      </rPr>
      <t>/16</t>
    </r>
    <phoneticPr fontId="21" type="noConversion"/>
  </si>
  <si>
    <t>13/15</t>
    <phoneticPr fontId="21" type="noConversion"/>
  </si>
  <si>
    <t>楼层</t>
    <phoneticPr fontId="21" type="noConversion"/>
  </si>
  <si>
    <r>
      <rPr>
        <sz val="11"/>
        <color indexed="8"/>
        <rFont val="宋体"/>
        <family val="3"/>
        <charset val="134"/>
      </rPr>
      <t>中楼层</t>
    </r>
    <r>
      <rPr>
        <sz val="11"/>
        <color indexed="8"/>
        <rFont val="Arial"/>
        <family val="2"/>
      </rPr>
      <t>/16</t>
    </r>
    <phoneticPr fontId="21" type="noConversion"/>
  </si>
  <si>
    <t>13/15</t>
    <phoneticPr fontId="21" type="noConversion"/>
  </si>
  <si>
    <t>天悦壹号</t>
    <phoneticPr fontId="3" type="noConversion"/>
  </si>
  <si>
    <t>地铁新宫站南500米</t>
    <phoneticPr fontId="3" type="noConversion"/>
  </si>
  <si>
    <t>5/13</t>
    <phoneticPr fontId="21" type="noConversion"/>
  </si>
  <si>
    <t>金府大院</t>
    <phoneticPr fontId="3" type="noConversion"/>
  </si>
  <si>
    <t>新宫地铁站南800米</t>
    <phoneticPr fontId="3" type="noConversion"/>
  </si>
  <si>
    <t>6/14</t>
    <phoneticPr fontId="21" type="noConversion"/>
  </si>
  <si>
    <t>6/14</t>
    <phoneticPr fontId="21" type="noConversion"/>
  </si>
  <si>
    <t>地下车库47.42年</t>
    <phoneticPr fontId="233" type="noConversion"/>
  </si>
  <si>
    <t>地下仓储50-地下车库50</t>
    <phoneticPr fontId="233" type="noConversion"/>
  </si>
  <si>
    <r>
      <rPr>
        <sz val="11"/>
        <color theme="1"/>
        <rFont val="宋体"/>
        <family val="3"/>
        <charset val="134"/>
      </rPr>
      <t>剩余法待开发住宅</t>
    </r>
    <r>
      <rPr>
        <sz val="11"/>
        <color theme="1"/>
        <rFont val="Arial"/>
        <family val="2"/>
      </rPr>
      <t>50</t>
    </r>
    <phoneticPr fontId="14" type="noConversion"/>
  </si>
  <si>
    <r>
      <rPr>
        <sz val="11"/>
        <color theme="1"/>
        <rFont val="宋体"/>
        <family val="3"/>
        <charset val="134"/>
      </rPr>
      <t>基准地价住宅</t>
    </r>
    <r>
      <rPr>
        <sz val="11"/>
        <color theme="1"/>
        <rFont val="Arial"/>
        <family val="2"/>
      </rPr>
      <t>50</t>
    </r>
    <phoneticPr fontId="14" type="noConversion"/>
  </si>
  <si>
    <t>地下仓储47.42年</t>
    <phoneticPr fontId="233" type="noConversion"/>
  </si>
  <si>
    <t>地下仓储50</t>
    <phoneticPr fontId="233" type="noConversion"/>
  </si>
  <si>
    <t>地下车库50</t>
    <phoneticPr fontId="233" type="noConversion"/>
  </si>
  <si>
    <t>较差</t>
  </si>
  <si>
    <t>次</t>
    <phoneticPr fontId="21" type="noConversion"/>
  </si>
  <si>
    <t>主</t>
    <phoneticPr fontId="21" type="noConversion"/>
  </si>
  <si>
    <t>容积率修正</t>
  </si>
  <si>
    <t>办公</t>
    <phoneticPr fontId="27" type="noConversion"/>
  </si>
  <si>
    <t>次</t>
  </si>
  <si>
    <t>次</t>
    <phoneticPr fontId="27" type="noConversion"/>
  </si>
  <si>
    <t>快</t>
    <phoneticPr fontId="27" type="noConversion"/>
  </si>
  <si>
    <t>主</t>
    <phoneticPr fontId="27" type="noConversion"/>
  </si>
  <si>
    <t>支</t>
    <phoneticPr fontId="27" type="noConversion"/>
  </si>
  <si>
    <t>钢混</t>
    <phoneticPr fontId="27" type="noConversion"/>
  </si>
  <si>
    <t>精装修</t>
    <phoneticPr fontId="27" type="noConversion"/>
  </si>
  <si>
    <t>普通装修</t>
    <phoneticPr fontId="27" type="noConversion"/>
  </si>
  <si>
    <t>简单装修</t>
  </si>
  <si>
    <t>简单装修</t>
    <phoneticPr fontId="27" type="noConversion"/>
  </si>
  <si>
    <t>毛坯</t>
    <phoneticPr fontId="27" type="noConversion"/>
  </si>
  <si>
    <t>标准写字楼</t>
  </si>
  <si>
    <t>标准写字楼</t>
    <phoneticPr fontId="27" type="noConversion"/>
  </si>
  <si>
    <t>非标准写字楼</t>
  </si>
  <si>
    <t>非标准写字楼</t>
    <phoneticPr fontId="27" type="noConversion"/>
  </si>
  <si>
    <t>专业公司</t>
  </si>
  <si>
    <t>专业公司</t>
    <phoneticPr fontId="27" type="noConversion"/>
  </si>
  <si>
    <t>普通公司</t>
  </si>
  <si>
    <t>普通公司</t>
    <phoneticPr fontId="27" type="noConversion"/>
  </si>
  <si>
    <t>六通</t>
    <phoneticPr fontId="27" type="noConversion"/>
  </si>
  <si>
    <t>诺德中心三期</t>
    <phoneticPr fontId="3" type="noConversion"/>
  </si>
  <si>
    <t>主</t>
  </si>
  <si>
    <t>东旭国际中心</t>
    <phoneticPr fontId="3" type="noConversion"/>
  </si>
  <si>
    <t>楼层</t>
    <phoneticPr fontId="27" type="noConversion"/>
  </si>
  <si>
    <t>1/1</t>
    <phoneticPr fontId="27" type="noConversion"/>
  </si>
  <si>
    <t>6/17</t>
    <phoneticPr fontId="27" type="noConversion"/>
  </si>
  <si>
    <t>6/17</t>
    <phoneticPr fontId="27" type="noConversion"/>
  </si>
  <si>
    <t>3/12</t>
    <phoneticPr fontId="27" type="noConversion"/>
  </si>
  <si>
    <t>丰台万达广场</t>
    <phoneticPr fontId="3" type="noConversion"/>
  </si>
  <si>
    <t>4/12</t>
    <phoneticPr fontId="27" type="noConversion"/>
  </si>
  <si>
    <t>商务金融用地（办公类）</t>
  </si>
  <si>
    <t>部位</t>
    <phoneticPr fontId="233" type="noConversion"/>
  </si>
  <si>
    <t>规划条件</t>
    <phoneticPr fontId="233" type="noConversion"/>
  </si>
  <si>
    <r>
      <t>出让建筑面积（</t>
    </r>
    <r>
      <rPr>
        <b/>
        <sz val="12"/>
        <color rgb="FF000000"/>
        <rFont val="华文仿宋"/>
        <family val="3"/>
        <charset val="134"/>
      </rPr>
      <t>㎡</t>
    </r>
    <r>
      <rPr>
        <b/>
        <sz val="12"/>
        <color rgb="FF000000"/>
        <rFont val="仿宋_GB2312"/>
        <family val="3"/>
        <charset val="134"/>
      </rPr>
      <t>）</t>
    </r>
  </si>
  <si>
    <r>
      <t>楼面熟地单价（元</t>
    </r>
    <r>
      <rPr>
        <b/>
        <sz val="12"/>
        <color rgb="FF000000"/>
        <rFont val="Arial"/>
        <family val="2"/>
      </rPr>
      <t>/</t>
    </r>
    <r>
      <rPr>
        <b/>
        <sz val="12"/>
        <color rgb="FF000000"/>
        <rFont val="华文仿宋"/>
        <family val="3"/>
        <charset val="134"/>
      </rPr>
      <t>㎡</t>
    </r>
    <r>
      <rPr>
        <b/>
        <sz val="12"/>
        <color rgb="FF000000"/>
        <rFont val="仿宋_GB2312"/>
        <family val="3"/>
        <charset val="134"/>
      </rPr>
      <t>）</t>
    </r>
  </si>
  <si>
    <t>熟地总价(万元）</t>
    <phoneticPr fontId="233" type="noConversion"/>
  </si>
  <si>
    <t>地上</t>
    <phoneticPr fontId="233" type="noConversion"/>
  </si>
  <si>
    <t>规划调整前</t>
    <phoneticPr fontId="233" type="noConversion"/>
  </si>
  <si>
    <t>规划调整后</t>
    <phoneticPr fontId="233" type="noConversion"/>
  </si>
  <si>
    <t>办公（公共服务设施）</t>
    <phoneticPr fontId="233" type="noConversion"/>
  </si>
  <si>
    <t>小计</t>
    <phoneticPr fontId="233" type="noConversion"/>
  </si>
  <si>
    <t>地下</t>
    <phoneticPr fontId="233" type="noConversion"/>
  </si>
  <si>
    <t>熟地价</t>
    <phoneticPr fontId="233" type="noConversion"/>
  </si>
  <si>
    <r>
      <rPr>
        <sz val="12"/>
        <color theme="1"/>
        <rFont val="仿宋_GB2312"/>
        <family val="3"/>
        <charset val="134"/>
      </rPr>
      <t>地下车库</t>
    </r>
    <phoneticPr fontId="233" type="noConversion"/>
  </si>
  <si>
    <r>
      <rPr>
        <sz val="12"/>
        <color theme="1"/>
        <rFont val="仿宋_GB2312"/>
        <family val="3"/>
        <charset val="134"/>
      </rPr>
      <t>规划调整后</t>
    </r>
    <phoneticPr fontId="233" type="noConversion"/>
  </si>
  <si>
    <r>
      <rPr>
        <sz val="12"/>
        <color theme="1"/>
        <rFont val="仿宋_GB2312"/>
        <family val="3"/>
        <charset val="134"/>
      </rPr>
      <t>地下仓储</t>
    </r>
    <phoneticPr fontId="233" type="noConversion"/>
  </si>
  <si>
    <r>
      <rPr>
        <sz val="12"/>
        <color theme="1"/>
        <rFont val="仿宋_GB2312"/>
        <family val="3"/>
        <charset val="134"/>
      </rPr>
      <t>规划调整前</t>
    </r>
    <phoneticPr fontId="233" type="noConversion"/>
  </si>
  <si>
    <r>
      <rPr>
        <sz val="12"/>
        <color theme="1"/>
        <rFont val="仿宋_GB2312"/>
        <family val="3"/>
        <charset val="134"/>
      </rPr>
      <t>地下仓储</t>
    </r>
    <phoneticPr fontId="233" type="noConversion"/>
  </si>
  <si>
    <t>--</t>
    <phoneticPr fontId="233" type="noConversion"/>
  </si>
  <si>
    <t>合计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</si>
</sst>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0000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2"/>
      <color rgb="FF000000"/>
      <name val="仿宋_GB2312"/>
      <family val="3"/>
      <charset val="134"/>
    </font>
    <font>
      <b/>
      <sz val="12"/>
      <color rgb="FF000000"/>
      <name val="华文仿宋"/>
      <family val="3"/>
      <charset val="134"/>
    </font>
    <font>
      <b/>
      <sz val="12"/>
      <color theme="1"/>
      <name val="仿宋_GB2312"/>
      <family val="3"/>
      <charset val="134"/>
    </font>
    <font>
      <b/>
      <sz val="12"/>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33" fillId="5" borderId="61" xfId="0" applyFont="1" applyFill="1" applyBorder="1" applyAlignment="1" applyProtection="1">
      <alignment vertical="center"/>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146" fillId="0" borderId="2" xfId="0" applyFont="1" applyBorder="1">
      <alignment vertical="center"/>
    </xf>
    <xf numFmtId="0" fontId="145" fillId="17" borderId="2" xfId="0" applyFont="1" applyFill="1" applyBorder="1">
      <alignment vertical="center"/>
    </xf>
    <xf numFmtId="0" fontId="0" fillId="17" borderId="2" xfId="0" applyFill="1" applyBorder="1">
      <alignment vertical="center"/>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77" fillId="0" borderId="2" xfId="0"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49" fontId="84" fillId="0" borderId="64" xfId="0" applyNumberFormat="1" applyFont="1" applyFill="1" applyBorder="1" applyAlignment="1" applyProtection="1">
      <alignment horizontal="center" vertical="center" wrapText="1"/>
      <protection locked="0"/>
    </xf>
    <xf numFmtId="0" fontId="145" fillId="0" borderId="3" xfId="0" applyFont="1" applyFill="1" applyBorder="1">
      <alignment vertical="center"/>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0" fontId="157" fillId="14" borderId="0" xfId="10" applyNumberFormat="1" applyFont="1" applyFill="1">
      <alignment vertical="center"/>
    </xf>
    <xf numFmtId="194" fontId="152" fillId="6" borderId="0" xfId="10" applyNumberFormat="1" applyFont="1" applyFill="1">
      <alignment vertical="center"/>
    </xf>
    <xf numFmtId="0" fontId="144" fillId="2" borderId="50"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179" fontId="71" fillId="0" borderId="74" xfId="0" applyNumberFormat="1" applyFont="1" applyFill="1" applyBorder="1" applyAlignment="1" applyProtection="1">
      <alignment horizontal="center" vertical="center" wrapText="1"/>
      <protection locked="0"/>
    </xf>
    <xf numFmtId="0" fontId="195" fillId="0" borderId="0" xfId="0" applyFont="1" applyAlignment="1">
      <alignment vertical="center" wrapText="1"/>
    </xf>
    <xf numFmtId="0" fontId="81" fillId="0" borderId="12" xfId="0"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5" fillId="6" borderId="3" xfId="0" applyFont="1" applyFill="1" applyBorder="1">
      <alignment vertical="center"/>
    </xf>
    <xf numFmtId="0" fontId="0" fillId="6" borderId="0" xfId="0" applyFill="1">
      <alignment vertical="center"/>
    </xf>
    <xf numFmtId="0" fontId="0" fillId="6" borderId="2" xfId="0" applyFill="1" applyBorder="1">
      <alignment vertical="center"/>
    </xf>
    <xf numFmtId="0" fontId="277" fillId="6" borderId="2" xfId="0" applyFont="1" applyFill="1" applyBorder="1" applyAlignment="1">
      <alignment horizontal="center" vertical="center" wrapText="1"/>
    </xf>
    <xf numFmtId="0" fontId="195" fillId="0" borderId="0" xfId="0" applyFont="1">
      <alignment vertical="center"/>
    </xf>
    <xf numFmtId="0" fontId="277" fillId="0" borderId="2" xfId="0" applyFont="1" applyBorder="1" applyAlignment="1">
      <alignment horizontal="left" vertical="center" wrapText="1"/>
    </xf>
    <xf numFmtId="0" fontId="279" fillId="0" borderId="2" xfId="0" applyFont="1" applyBorder="1" applyAlignment="1">
      <alignment horizontal="left" vertical="center" wrapText="1"/>
    </xf>
    <xf numFmtId="0" fontId="195" fillId="0" borderId="2" xfId="0" applyFont="1" applyBorder="1" applyAlignment="1">
      <alignment horizontal="left" vertical="center" wrapText="1"/>
    </xf>
    <xf numFmtId="0" fontId="176" fillId="0" borderId="2" xfId="0" applyFont="1" applyBorder="1" applyAlignment="1">
      <alignment horizontal="left" vertical="center" wrapText="1"/>
    </xf>
    <xf numFmtId="0" fontId="154" fillId="0" borderId="2" xfId="0" applyFont="1" applyBorder="1" applyAlignment="1">
      <alignment horizontal="left" vertical="center" wrapText="1"/>
    </xf>
    <xf numFmtId="0" fontId="279" fillId="0" borderId="2" xfId="0" quotePrefix="1" applyFont="1" applyBorder="1" applyAlignment="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277" fillId="0" borderId="2" xfId="0" applyFont="1" applyFill="1" applyBorder="1" applyAlignment="1">
      <alignment horizontal="center" vertical="center" wrapText="1"/>
    </xf>
    <xf numFmtId="0" fontId="145" fillId="0" borderId="10" xfId="0" applyFont="1" applyBorder="1" applyAlignment="1">
      <alignment horizontal="center" vertical="center" wrapText="1"/>
    </xf>
    <xf numFmtId="0" fontId="0" fillId="0" borderId="21" xfId="0" applyBorder="1" applyAlignment="1">
      <alignment horizontal="center" vertical="center" wrapText="1"/>
    </xf>
    <xf numFmtId="0" fontId="279" fillId="0" borderId="2" xfId="0" applyFont="1" applyBorder="1" applyAlignment="1">
      <alignment horizontal="left" vertical="center" wrapText="1"/>
    </xf>
    <xf numFmtId="0" fontId="195" fillId="0" borderId="10" xfId="0" applyFont="1" applyBorder="1" applyAlignment="1">
      <alignment horizontal="left" vertical="center" wrapText="1"/>
    </xf>
    <xf numFmtId="0" fontId="195" fillId="0" borderId="3" xfId="0" applyFont="1" applyBorder="1" applyAlignment="1">
      <alignment horizontal="left" vertical="center" wrapText="1"/>
    </xf>
    <xf numFmtId="0" fontId="195" fillId="0" borderId="21" xfId="0" applyFont="1" applyBorder="1" applyAlignment="1">
      <alignment horizontal="left" vertical="center" wrapText="1"/>
    </xf>
    <xf numFmtId="0" fontId="176" fillId="0" borderId="10" xfId="0" applyFont="1" applyBorder="1" applyAlignment="1">
      <alignment horizontal="left" vertical="center" wrapText="1"/>
    </xf>
    <xf numFmtId="0" fontId="176" fillId="0" borderId="21" xfId="0" applyFont="1" applyBorder="1" applyAlignment="1">
      <alignment horizontal="left" vertical="center" wrapText="1"/>
    </xf>
    <xf numFmtId="0" fontId="195" fillId="0" borderId="2" xfId="0" applyFont="1" applyBorder="1" applyAlignment="1">
      <alignment horizontal="left" vertical="center" wrapText="1"/>
    </xf>
    <xf numFmtId="0" fontId="176" fillId="0" borderId="10" xfId="0" applyFont="1" applyBorder="1" applyAlignment="1">
      <alignment horizontal="center" vertical="center" wrapText="1"/>
    </xf>
    <xf numFmtId="0" fontId="176" fillId="0" borderId="3" xfId="0" applyFont="1" applyBorder="1" applyAlignment="1">
      <alignment horizontal="center" vertical="center" wrapText="1"/>
    </xf>
    <xf numFmtId="0" fontId="176" fillId="0" borderId="21" xfId="0" applyFont="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389705</xdr:colOff>
      <xdr:row>26</xdr:row>
      <xdr:rowOff>142300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61905" cy="4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2245平方米。根据《建设工程规划许可证》[]、《出让合同》[]，估价对象规划建筑面积为27719.55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2018年6月22日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根据《国有土地使用证》[]，估价对象（分摊）出让国有建设用地使用权面积为2245平方米。根据《建设工程规划许可证》[]、《出让合同》[]，估价对象规划建筑面积为27719.55平方米。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估价期日：2018年6月22日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2245</v>
      </c>
    </row>
    <row r="44" spans="1:2">
      <c r="A44" s="2878" t="s">
        <v>2743</v>
      </c>
      <c r="B44" s="2879" t="str">
        <f>'预评函-2'!O3</f>
        <v>规划建筑面积/㎡</v>
      </c>
    </row>
    <row r="45" spans="1:2">
      <c r="A45" s="2878" t="s">
        <v>2725</v>
      </c>
      <c r="B45" s="2879">
        <f>'预评函-2'!O5</f>
        <v>27719.55</v>
      </c>
    </row>
    <row r="46" spans="1:2">
      <c r="A46" s="2878" t="s">
        <v>2726</v>
      </c>
      <c r="B46" s="2879" t="e">
        <f ca="1">'预评函-2'!P5</f>
        <v>#DIV/0!</v>
      </c>
    </row>
    <row r="47" spans="1:2">
      <c r="A47" s="2878" t="s">
        <v>2727</v>
      </c>
      <c r="B47" s="2879" t="e">
        <f ca="1">'预评函-2'!Q5</f>
        <v>#DIV/0!</v>
      </c>
    </row>
    <row r="48" spans="1:2">
      <c r="A48" s="2878" t="s">
        <v>2728</v>
      </c>
      <c r="B48" s="2879" t="e">
        <f ca="1">'预评函-2'!R5</f>
        <v>#DIV/0!</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B16" sqref="B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59" t="str">
        <f>IF(B10="北京市","北京市",C10)&amp;F10&amp;B16&amp;"国有建设用地使用权"&amp;B9&amp;"预评估"</f>
        <v>出让国有建设用地使用权预评估</v>
      </c>
      <c r="C1" s="3260"/>
      <c r="D1" s="3260"/>
      <c r="E1" s="3260"/>
      <c r="F1" s="3260"/>
      <c r="G1" s="3260"/>
      <c r="H1" s="3260"/>
      <c r="I1" s="3261"/>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43328</v>
      </c>
      <c r="C3" s="1662" t="s">
        <v>1998</v>
      </c>
      <c r="D3" s="1661">
        <v>43273</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2891</v>
      </c>
      <c r="C4" s="1845">
        <f>SUMIF(土地估价师,B4,估价师及机构信息!E3:E24)</f>
        <v>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65"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66"/>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62"/>
      <c r="C12" s="3263"/>
      <c r="D12" s="3264"/>
      <c r="E12" s="1698" t="s">
        <v>2064</v>
      </c>
      <c r="F12" s="3280" t="s">
        <v>2892</v>
      </c>
      <c r="G12" s="3281"/>
      <c r="H12" s="3281"/>
      <c r="I12" s="3282"/>
      <c r="J12" s="1693"/>
      <c r="K12" s="1773"/>
      <c r="L12" s="1722"/>
      <c r="M12" s="1722"/>
      <c r="N12" s="1693"/>
      <c r="O12" s="1694"/>
      <c r="P12" s="1693"/>
      <c r="Q12" s="1693"/>
      <c r="R12" s="1693"/>
      <c r="S12" s="1693"/>
      <c r="T12" s="1693"/>
      <c r="U12" s="1693"/>
    </row>
    <row r="13" spans="1:21">
      <c r="A13" s="1686" t="s">
        <v>2062</v>
      </c>
      <c r="B13" s="3262"/>
      <c r="C13" s="3263"/>
      <c r="D13" s="3264"/>
      <c r="E13" s="1698" t="s">
        <v>2064</v>
      </c>
      <c r="F13" s="3280" t="s">
        <v>2893</v>
      </c>
      <c r="G13" s="3281"/>
      <c r="H13" s="3281"/>
      <c r="I13" s="3282"/>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3039</v>
      </c>
      <c r="C16" s="1698" t="s">
        <v>1951</v>
      </c>
      <c r="D16" s="2646" t="s">
        <v>1952</v>
      </c>
      <c r="E16" s="1721"/>
      <c r="F16" s="1721" t="s">
        <v>3013</v>
      </c>
      <c r="G16" s="1721" t="s">
        <v>35</v>
      </c>
      <c r="H16" s="1721" t="s">
        <v>2996</v>
      </c>
      <c r="I16" s="1685" t="s">
        <v>1957</v>
      </c>
      <c r="J16" s="1693"/>
      <c r="K16" s="2456" t="str">
        <f>IF(D17="","",D16&amp;TEXT(D17,"yyyy年m月d日;;"))</f>
        <v>住宅2085年11月11日</v>
      </c>
      <c r="L16" s="1698" t="str">
        <f>IF(OR(K16="",M16=""),"","、")</f>
        <v/>
      </c>
      <c r="M16" s="2456" t="str">
        <f>IF(E17="","",E16&amp;TEXT(E17,"yyyy年m月d日;;"))</f>
        <v/>
      </c>
      <c r="N16" s="1698" t="str">
        <f>IF(OR(M16="",O16=""),"","、")</f>
        <v/>
      </c>
      <c r="O16" s="2456" t="str">
        <f>IF(F17="","",F16&amp;TEXT(F17,"yyyy年m月d日;;"))</f>
        <v>地上办公2065年11月11日</v>
      </c>
      <c r="P16" s="1698" t="str">
        <f>IF(OR(O16="",Q16=""),"","、")</f>
        <v>、</v>
      </c>
      <c r="Q16" s="2456" t="str">
        <f>IF(G17="","",G16&amp;TEXT(G17,"yyyy年m月d日;;"))</f>
        <v>地下车库2065年11月11日</v>
      </c>
      <c r="R16" s="1698" t="str">
        <f>IF(OR(Q16="",S16=""),"","、")</f>
        <v>、</v>
      </c>
      <c r="S16" s="2456" t="str">
        <f>IF(H17="","",H16&amp;TEXT(H17,"yyyy年m月d日;;"))</f>
        <v>地下仓储2065年11月11日</v>
      </c>
      <c r="T16" s="1698" t="str">
        <f>IF(OR(S16="",U16=""),"","、")</f>
        <v/>
      </c>
      <c r="U16" s="2456" t="str">
        <f>IF(I17="","",I16&amp;TEXT(I17,"yyyy年m月d日;;"))</f>
        <v/>
      </c>
    </row>
    <row r="17" spans="1:21">
      <c r="A17" s="1762"/>
      <c r="B17" s="1681"/>
      <c r="C17" s="1682" t="s">
        <v>1958</v>
      </c>
      <c r="D17" s="1699">
        <v>67887</v>
      </c>
      <c r="E17" s="1699"/>
      <c r="F17" s="1699">
        <v>60582</v>
      </c>
      <c r="G17" s="1699">
        <v>60582</v>
      </c>
      <c r="H17" s="1699">
        <v>60582</v>
      </c>
      <c r="I17" s="1699"/>
      <c r="J17" s="1693"/>
      <c r="K17" s="2455" t="str">
        <f>CONCATENATE(K16,L16,M16,N16,O16,P16,Q16,R16,S16,T16,,U16)</f>
        <v>住宅2085年11月11日地上办公2065年11月11日、地下车库2065年11月11日、地下仓储2065年11月11日</v>
      </c>
      <c r="L17" s="1722"/>
      <c r="M17" s="1722"/>
      <c r="N17" s="1693"/>
      <c r="O17" s="1694"/>
      <c r="P17" s="1693"/>
      <c r="Q17" s="1693"/>
      <c r="R17" s="1693"/>
      <c r="S17" s="1693"/>
      <c r="T17" s="1693"/>
      <c r="U17" s="1693"/>
    </row>
    <row r="18" spans="1:21">
      <c r="A18" s="1762"/>
      <c r="B18" s="1681"/>
      <c r="C18" s="1682" t="s">
        <v>1959</v>
      </c>
      <c r="D18" s="1683">
        <v>70</v>
      </c>
      <c r="E18" s="1683"/>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67.430000000000007</v>
      </c>
      <c r="E19" s="1684" t="str">
        <f>IF(B16="出让",IF(E17="","",ROUNDDOWN(MIN((E17-$D$3)/365,E18),2)),E18)</f>
        <v/>
      </c>
      <c r="F19" s="1684">
        <f>IF(B16="出让",IF(F17="","",ROUNDDOWN(MIN((F17-$D$3)/365,F18),2)),F18)</f>
        <v>47.42</v>
      </c>
      <c r="G19" s="1684">
        <f>IF(B16="出让",IF(G17="","",ROUNDDOWN(MIN((G17-$D$3)/365,G18),2)),G18)</f>
        <v>47.42</v>
      </c>
      <c r="H19" s="1684">
        <f>IF(B16="出让",IF(H17="","",ROUNDDOWN(MIN((H17-$D$3)/365,H18),2)),H18)</f>
        <v>47.42</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77"/>
      <c r="E20" s="3278"/>
      <c r="F20" s="3278"/>
      <c r="G20" s="3278"/>
      <c r="H20" s="3278"/>
      <c r="I20" s="3279"/>
      <c r="J20" s="1693"/>
      <c r="K20" s="1773"/>
      <c r="L20" s="1722"/>
      <c r="M20" s="1722"/>
      <c r="N20" s="1693"/>
      <c r="O20" s="1694"/>
      <c r="P20" s="1693"/>
      <c r="Q20" s="1693"/>
      <c r="R20" s="1693"/>
      <c r="S20" s="1693"/>
      <c r="T20" s="1693"/>
      <c r="U20" s="1693"/>
    </row>
    <row r="21" spans="1:21">
      <c r="A21" s="1762" t="s">
        <v>1961</v>
      </c>
      <c r="B21" s="1763" t="s">
        <v>1962</v>
      </c>
      <c r="C21" s="1758">
        <f>'数据-汇总表'!E3</f>
        <v>27719.55</v>
      </c>
      <c r="D21" s="1759" t="s">
        <v>1963</v>
      </c>
      <c r="E21" s="3267" t="s">
        <v>2001</v>
      </c>
      <c r="F21" s="3268"/>
      <c r="G21" s="3268"/>
      <c r="H21" s="3268"/>
      <c r="I21" s="3269"/>
      <c r="J21" s="1693"/>
      <c r="K21" s="1773"/>
      <c r="L21" s="1722"/>
      <c r="M21" s="1722"/>
      <c r="N21" s="1693"/>
      <c r="O21" s="1694"/>
      <c r="P21" s="1693"/>
      <c r="Q21" s="1693"/>
      <c r="R21" s="1693"/>
      <c r="S21" s="1693"/>
      <c r="T21" s="1693"/>
      <c r="U21" s="1693"/>
    </row>
    <row r="22" spans="1:21">
      <c r="A22" s="3149" t="s">
        <v>952</v>
      </c>
      <c r="B22" s="1660" t="s">
        <v>1964</v>
      </c>
      <c r="C22" s="1685">
        <f>'数据-汇总表'!D3</f>
        <v>2245</v>
      </c>
      <c r="D22" s="1686" t="s">
        <v>1963</v>
      </c>
      <c r="E22" s="3267" t="s">
        <v>2894</v>
      </c>
      <c r="F22" s="3268"/>
      <c r="G22" s="3268"/>
      <c r="H22" s="3268"/>
      <c r="I22" s="3269"/>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70" t="s">
        <v>1969</v>
      </c>
      <c r="C24" s="3271"/>
      <c r="D24" s="3272" t="s">
        <v>1970</v>
      </c>
      <c r="E24" s="3273"/>
      <c r="F24" s="1707" t="s">
        <v>1971</v>
      </c>
      <c r="G24" s="1693"/>
      <c r="H24" s="1693"/>
      <c r="I24" s="1706"/>
      <c r="J24" s="1693"/>
      <c r="K24" s="3258"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58"/>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58"/>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85" t="s">
        <v>2004</v>
      </c>
      <c r="B31" s="1763" t="s">
        <v>2005</v>
      </c>
      <c r="C31" s="3283"/>
      <c r="D31" s="3284"/>
      <c r="E31" s="1693"/>
      <c r="F31" s="1693"/>
      <c r="G31" s="1693"/>
      <c r="H31" s="1693"/>
      <c r="I31" s="1706"/>
      <c r="J31" s="1693"/>
      <c r="K31" s="2458"/>
      <c r="L31" s="1693"/>
      <c r="M31" s="1693"/>
      <c r="N31" s="1693"/>
      <c r="O31" s="1693"/>
      <c r="P31" s="1693"/>
      <c r="Q31" s="1693"/>
      <c r="R31" s="1693"/>
      <c r="S31" s="1693"/>
      <c r="T31" s="1693"/>
      <c r="U31" s="1693"/>
    </row>
    <row r="32" spans="1:21">
      <c r="A32" s="3285"/>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85"/>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86"/>
      <c r="B34" s="1660" t="s">
        <v>2008</v>
      </c>
      <c r="C34" s="3287"/>
      <c r="D34" s="3288"/>
      <c r="E34" s="1693"/>
      <c r="F34" s="1693"/>
      <c r="G34" s="1693"/>
      <c r="H34" s="1693"/>
      <c r="I34" s="1706"/>
      <c r="J34" s="1693"/>
      <c r="K34" s="2458"/>
      <c r="L34" s="1693"/>
      <c r="M34" s="1693"/>
      <c r="N34" s="1693"/>
      <c r="O34" s="1693"/>
      <c r="P34" s="1693"/>
      <c r="Q34" s="1693"/>
      <c r="R34" s="1693"/>
      <c r="S34" s="1693"/>
      <c r="T34" s="1693"/>
      <c r="U34" s="1693"/>
    </row>
    <row r="35" spans="1:21">
      <c r="A35" s="3289" t="s">
        <v>847</v>
      </c>
      <c r="B35" s="1721"/>
      <c r="C35" s="1775" t="str">
        <f>IF(B35="场地平整","——","具体情况：")</f>
        <v>具体情况：</v>
      </c>
      <c r="D35" s="3291"/>
      <c r="E35" s="3292"/>
      <c r="F35" s="3292"/>
      <c r="G35" s="3292"/>
      <c r="H35" s="3292"/>
      <c r="I35" s="3293"/>
      <c r="J35" s="1693"/>
      <c r="K35" s="1774"/>
      <c r="L35" s="1722"/>
      <c r="M35" s="1722"/>
      <c r="N35" s="1693"/>
      <c r="O35" s="1694"/>
      <c r="P35" s="1693"/>
      <c r="Q35" s="1693"/>
      <c r="R35" s="1693"/>
      <c r="S35" s="1693"/>
      <c r="T35" s="1693"/>
      <c r="U35" s="1693"/>
    </row>
    <row r="36" spans="1:21">
      <c r="A36" s="3285"/>
      <c r="B36" s="3294" t="s">
        <v>2057</v>
      </c>
      <c r="C36" s="3295"/>
      <c r="D36" s="1791"/>
      <c r="E36" s="3296"/>
      <c r="F36" s="3296"/>
      <c r="G36" s="1686" t="str">
        <f>IF(B35="场地未平整","估价结果处理","")</f>
        <v/>
      </c>
      <c r="H36" s="3297"/>
      <c r="I36" s="3297"/>
      <c r="J36" s="1693"/>
      <c r="K36" s="1774"/>
      <c r="L36" s="1722"/>
      <c r="M36" s="1722"/>
      <c r="N36" s="1693"/>
      <c r="O36" s="1694"/>
      <c r="P36" s="1693"/>
      <c r="Q36" s="1693"/>
      <c r="R36" s="1693"/>
      <c r="S36" s="1693"/>
      <c r="T36" s="1693"/>
      <c r="U36" s="1693"/>
    </row>
    <row r="37" spans="1:21" ht="28.5">
      <c r="A37" s="3285"/>
      <c r="B37" s="3274"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85"/>
      <c r="B38" s="3275"/>
      <c r="C38" s="1668" t="s">
        <v>850</v>
      </c>
      <c r="D38" s="1790">
        <f>ROUNDDOWN(MIN(('数据-取费表'!$B$2-D37)/365,D34),1)</f>
        <v>118.5</v>
      </c>
      <c r="E38" s="1726" t="s">
        <v>851</v>
      </c>
      <c r="F38" s="1693"/>
      <c r="G38" s="1693"/>
      <c r="H38" s="1693"/>
      <c r="I38" s="1706"/>
      <c r="J38" s="1693"/>
      <c r="K38" s="1774"/>
      <c r="L38" s="1693"/>
      <c r="M38" s="1693"/>
      <c r="N38" s="1693"/>
      <c r="O38" s="1693"/>
      <c r="P38" s="1693"/>
      <c r="Q38" s="1693"/>
      <c r="R38" s="1693"/>
      <c r="S38" s="1693"/>
      <c r="T38" s="1693"/>
      <c r="U38" s="1693"/>
    </row>
    <row r="39" spans="1:21">
      <c r="A39" s="3286"/>
      <c r="B39" s="327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57" t="s">
        <v>1988</v>
      </c>
      <c r="T40" s="1730" t="str">
        <f>NUMBERSTRING(7-K40,1)&amp;"通"</f>
        <v>七通</v>
      </c>
      <c r="U40" s="1693"/>
    </row>
    <row r="41" spans="1:21">
      <c r="A41" s="1662"/>
      <c r="B41" s="3290" t="s">
        <v>1722</v>
      </c>
      <c r="C41" s="3290"/>
      <c r="D41" s="3290"/>
      <c r="E41" s="3290"/>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57"/>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t="s">
        <v>1412</v>
      </c>
      <c r="D43" s="1737" t="s">
        <v>1412</v>
      </c>
      <c r="E43" s="1737" t="s">
        <v>2991</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t="s">
        <v>1151</v>
      </c>
      <c r="D44" s="1737" t="s">
        <v>1151</v>
      </c>
      <c r="E44" s="1791" t="s">
        <v>952</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2245</v>
      </c>
      <c r="B3" s="22">
        <f>IF(C3="否",G5-AT5,G5)</f>
        <v>27719.55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27719.55</v>
      </c>
      <c r="H5" s="27">
        <f t="shared" ref="H5:AT5" si="0">SUM(H13:H641)</f>
        <v>27719.55</v>
      </c>
      <c r="I5" s="27">
        <f t="shared" si="0"/>
        <v>10000</v>
      </c>
      <c r="J5" s="27">
        <f t="shared" si="0"/>
        <v>0</v>
      </c>
      <c r="K5" s="27">
        <f t="shared" si="0"/>
        <v>3618.52</v>
      </c>
      <c r="L5" s="27">
        <f t="shared" si="0"/>
        <v>0</v>
      </c>
      <c r="M5" s="27">
        <f t="shared" si="0"/>
        <v>4101.03</v>
      </c>
      <c r="N5" s="27">
        <f t="shared" si="0"/>
        <v>0</v>
      </c>
      <c r="O5" s="27">
        <f t="shared" si="0"/>
        <v>10000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27719.55</v>
      </c>
      <c r="BA5" s="29">
        <f t="shared" si="1"/>
        <v>27719.55</v>
      </c>
      <c r="BB5" s="29">
        <f t="shared" si="1"/>
        <v>10000</v>
      </c>
      <c r="BC5" s="29">
        <f t="shared" si="1"/>
        <v>3618.52</v>
      </c>
      <c r="BD5" s="29">
        <f t="shared" si="1"/>
        <v>4101.03</v>
      </c>
      <c r="BE5" s="29">
        <f t="shared" si="1"/>
        <v>10000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2245</v>
      </c>
      <c r="F6" s="27" t="s">
        <v>1</v>
      </c>
      <c r="G6" s="27" t="s">
        <v>2</v>
      </c>
      <c r="H6" s="33">
        <f>SUMIF(I$12:AB$12,"总值",I6:AB6)</f>
        <v>2245</v>
      </c>
      <c r="I6" s="27">
        <f t="shared" ref="I6:AB6" si="2">ROUND($A$3*I5/$B$3,2)</f>
        <v>809.9</v>
      </c>
      <c r="J6" s="27">
        <f t="shared" si="2"/>
        <v>0</v>
      </c>
      <c r="K6" s="27">
        <f t="shared" si="2"/>
        <v>293.06</v>
      </c>
      <c r="L6" s="27">
        <f t="shared" si="2"/>
        <v>0</v>
      </c>
      <c r="M6" s="27">
        <f t="shared" si="2"/>
        <v>332.14</v>
      </c>
      <c r="N6" s="27">
        <f t="shared" si="2"/>
        <v>0</v>
      </c>
      <c r="O6" s="27">
        <f t="shared" si="2"/>
        <v>809.9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2245</v>
      </c>
      <c r="AZ6" s="27" t="s">
        <v>3</v>
      </c>
      <c r="BA6" s="27">
        <f>ROUND($AY$6*BA5/$AZ$5,2)</f>
        <v>2245</v>
      </c>
      <c r="BB6" s="27">
        <f>ROUND($AY$6*BB5/$AZ$5,2)</f>
        <v>809.9</v>
      </c>
      <c r="BC6" s="27">
        <f t="shared" ref="BC6:BH6" si="4">ROUND($AY$6*BC5/$AZ$5,2)</f>
        <v>293.06</v>
      </c>
      <c r="BD6" s="27">
        <f t="shared" si="4"/>
        <v>332.14</v>
      </c>
      <c r="BE6" s="27">
        <f t="shared" si="4"/>
        <v>809.9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3016</v>
      </c>
      <c r="J9" s="51"/>
      <c r="K9" s="3019" t="s">
        <v>3018</v>
      </c>
      <c r="L9" s="51"/>
      <c r="M9" s="3019" t="s">
        <v>3018</v>
      </c>
      <c r="N9" s="51"/>
      <c r="O9" s="59" t="s">
        <v>3016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1678</v>
      </c>
      <c r="J10" s="51"/>
      <c r="K10" s="3021" t="s">
        <v>3019</v>
      </c>
      <c r="L10" s="51"/>
      <c r="M10" s="3021" t="s">
        <v>3023</v>
      </c>
      <c r="N10" s="51"/>
      <c r="O10" s="66" t="s">
        <v>923</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3017</v>
      </c>
      <c r="J11" s="71"/>
      <c r="K11" s="3020" t="s">
        <v>3020</v>
      </c>
      <c r="L11" s="71"/>
      <c r="M11" s="70" t="s">
        <v>3023</v>
      </c>
      <c r="N11" s="71"/>
      <c r="O11" s="70" t="s">
        <v>3047</v>
      </c>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仓储</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办公楼</v>
      </c>
      <c r="BC12" s="79" t="str">
        <f>K11</f>
        <v>非燃品库房</v>
      </c>
      <c r="BD12" s="79" t="str">
        <f>M11</f>
        <v>车库</v>
      </c>
      <c r="BE12" s="50" t="str">
        <f>O11</f>
        <v>平层住宅</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3015</v>
      </c>
      <c r="D13" s="3015" t="s">
        <v>1679</v>
      </c>
      <c r="E13" s="27">
        <f t="shared" ref="E13:E20" si="6">IF($C$3="是",ROUND($A$3*G13/$B$3,2),ROUND($A$3*(G13-AT13)/$B$3,2))</f>
        <v>809.9</v>
      </c>
      <c r="F13" s="81"/>
      <c r="G13" s="82">
        <f t="shared" ref="G13:G20" si="7">H13+AC13+AT13</f>
        <v>10000</v>
      </c>
      <c r="H13" s="33">
        <f t="shared" ref="H13:H20" si="8">SUMIF(I$12:AB$12,"总值",I13:AB13)</f>
        <v>10000</v>
      </c>
      <c r="I13" s="3018">
        <v>10000</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办公</v>
      </c>
      <c r="AY13" s="996">
        <f t="shared" ref="AY13:AY20" si="11">ROUND($AY$6*AZ13/$AZ$5,2)</f>
        <v>809.9</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3021</v>
      </c>
      <c r="D14" s="3015" t="s">
        <v>1679</v>
      </c>
      <c r="E14" s="27">
        <f t="shared" si="6"/>
        <v>293.06</v>
      </c>
      <c r="F14" s="81"/>
      <c r="G14" s="82">
        <f t="shared" si="7"/>
        <v>3618.52</v>
      </c>
      <c r="H14" s="33">
        <f t="shared" si="8"/>
        <v>3618.52</v>
      </c>
      <c r="I14" s="3018"/>
      <c r="J14" s="3018"/>
      <c r="K14" s="3018">
        <v>3618.52</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地下仓储</v>
      </c>
      <c r="AY14" s="996">
        <f t="shared" si="11"/>
        <v>293.06</v>
      </c>
      <c r="AZ14" s="27">
        <f t="shared" si="12"/>
        <v>3618.52</v>
      </c>
      <c r="BA14" s="27">
        <f t="shared" si="13"/>
        <v>3618.52</v>
      </c>
      <c r="BB14" s="27">
        <f t="shared" si="14"/>
        <v>0</v>
      </c>
      <c r="BC14" s="27">
        <f t="shared" si="15"/>
        <v>3618.52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3022</v>
      </c>
      <c r="D15" s="3015" t="s">
        <v>1679</v>
      </c>
      <c r="E15" s="27">
        <f t="shared" si="6"/>
        <v>332.14</v>
      </c>
      <c r="F15" s="81"/>
      <c r="G15" s="82">
        <f t="shared" si="7"/>
        <v>4101.03</v>
      </c>
      <c r="H15" s="33">
        <f t="shared" si="8"/>
        <v>4101.03</v>
      </c>
      <c r="I15" s="3018"/>
      <c r="J15" s="3018"/>
      <c r="K15" s="3018"/>
      <c r="L15" s="3018"/>
      <c r="M15" s="3018">
        <v>4101.03</v>
      </c>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地下车库</v>
      </c>
      <c r="AY15" s="996">
        <f t="shared" si="11"/>
        <v>332.14</v>
      </c>
      <c r="AZ15" s="27">
        <f t="shared" si="12"/>
        <v>4101.03</v>
      </c>
      <c r="BA15" s="27">
        <f t="shared" si="13"/>
        <v>4101.03</v>
      </c>
      <c r="BB15" s="27">
        <f t="shared" si="14"/>
        <v>0</v>
      </c>
      <c r="BC15" s="27">
        <f t="shared" si="15"/>
        <v>0</v>
      </c>
      <c r="BD15" s="27">
        <f t="shared" si="16"/>
        <v>4101.03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t="s">
        <v>3046</v>
      </c>
      <c r="D16" s="3015" t="s">
        <v>1679</v>
      </c>
      <c r="E16" s="27">
        <f t="shared" si="6"/>
        <v>809.9</v>
      </c>
      <c r="F16" s="81"/>
      <c r="G16" s="82">
        <f t="shared" si="7"/>
        <v>10000</v>
      </c>
      <c r="H16" s="33">
        <f t="shared" si="8"/>
        <v>10000</v>
      </c>
      <c r="I16" s="3018"/>
      <c r="J16" s="3018"/>
      <c r="K16" s="3018"/>
      <c r="L16" s="3018"/>
      <c r="M16" s="3018"/>
      <c r="N16" s="83"/>
      <c r="O16" s="83">
        <v>10000</v>
      </c>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t="str">
        <f t="shared" si="10"/>
        <v>住宅</v>
      </c>
      <c r="AY16" s="996">
        <f t="shared" si="11"/>
        <v>809.9</v>
      </c>
      <c r="AZ16" s="27">
        <f t="shared" si="12"/>
        <v>10000</v>
      </c>
      <c r="BA16" s="27">
        <f t="shared" si="13"/>
        <v>10000</v>
      </c>
      <c r="BB16" s="27">
        <f t="shared" si="14"/>
        <v>0</v>
      </c>
      <c r="BC16" s="27">
        <f t="shared" si="15"/>
        <v>0</v>
      </c>
      <c r="BD16" s="27">
        <f t="shared" si="16"/>
        <v>0</v>
      </c>
      <c r="BE16" s="27">
        <f t="shared" si="17"/>
        <v>10000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9" t="s">
        <v>203</v>
      </c>
      <c r="B2" s="3309"/>
      <c r="C2" s="3309"/>
      <c r="D2" s="1975" t="s">
        <v>204</v>
      </c>
      <c r="E2" s="106" t="s">
        <v>205</v>
      </c>
      <c r="F2" s="1984"/>
      <c r="G2" s="1198"/>
      <c r="H2" s="1199"/>
      <c r="I2" s="1200" t="s">
        <v>857</v>
      </c>
      <c r="J2" s="1984"/>
      <c r="K2" s="1984"/>
      <c r="L2" s="1984"/>
    </row>
    <row r="3" spans="1:16" ht="15.75" thickBot="1">
      <c r="A3" s="3310" t="s">
        <v>206</v>
      </c>
      <c r="B3" s="3310"/>
      <c r="C3" s="3310"/>
      <c r="D3" s="107">
        <f>'数据-基础表'!AY6</f>
        <v>2245</v>
      </c>
      <c r="E3" s="107">
        <f>'数据-基础表'!AZ5</f>
        <v>27719.55</v>
      </c>
      <c r="F3" s="1984"/>
      <c r="G3" s="280" t="s">
        <v>858</v>
      </c>
      <c r="H3" s="275" t="s">
        <v>859</v>
      </c>
      <c r="I3" s="1976">
        <f>ROUND('数据-基础表'!B3/'数据-基础表'!A3,2)</f>
        <v>12.35</v>
      </c>
      <c r="J3" s="1984"/>
      <c r="K3" s="1984"/>
      <c r="L3" s="1984"/>
    </row>
    <row r="4" spans="1:16" ht="15">
      <c r="A4" s="3311"/>
      <c r="B4" s="3312"/>
      <c r="C4" s="3313"/>
      <c r="D4" s="108" t="s">
        <v>204</v>
      </c>
      <c r="E4" s="109" t="s">
        <v>205</v>
      </c>
      <c r="F4" s="1984"/>
      <c r="G4" s="1201"/>
      <c r="H4" s="275" t="s">
        <v>860</v>
      </c>
      <c r="I4" s="1976">
        <f>ROUND(SUMIF('数据-基础表'!I9:AS9,"地上",'数据-基础表'!I5:AS5)/'数据-基础表'!A3,2)</f>
        <v>8.91</v>
      </c>
      <c r="J4" s="1984"/>
      <c r="K4" s="1984"/>
      <c r="L4" s="1984"/>
    </row>
    <row r="5" spans="1:16">
      <c r="A5" s="110" t="s">
        <v>207</v>
      </c>
      <c r="B5" s="3314" t="s">
        <v>230</v>
      </c>
      <c r="C5" s="3314"/>
      <c r="D5" s="111">
        <f>ROUND($D$3*E5/$E$3,2)</f>
        <v>809.9</v>
      </c>
      <c r="E5" s="112">
        <f>SUMIF('数据-基础表'!$11:$11,"住宅",'数据-基础表'!$5:$5)</f>
        <v>10000</v>
      </c>
      <c r="F5" s="1984"/>
      <c r="G5" s="280" t="s">
        <v>861</v>
      </c>
      <c r="H5" s="275" t="s">
        <v>859</v>
      </c>
      <c r="I5" s="1976">
        <f>ROUND(E31/D31,2)</f>
        <v>12.35</v>
      </c>
      <c r="J5" s="1984"/>
      <c r="K5" s="1984"/>
      <c r="L5" s="1984"/>
    </row>
    <row r="6" spans="1:16" ht="15" thickBot="1">
      <c r="A6" s="113"/>
      <c r="B6" s="3314" t="s">
        <v>208</v>
      </c>
      <c r="C6" s="3314"/>
      <c r="D6" s="111">
        <f>ROUND($D$3*E6/$E$3,2)</f>
        <v>1435.1</v>
      </c>
      <c r="E6" s="112">
        <f>E3-E5</f>
        <v>17719.55</v>
      </c>
      <c r="F6" s="1984"/>
      <c r="G6" s="1201"/>
      <c r="H6" s="275" t="s">
        <v>860</v>
      </c>
      <c r="I6" s="1976">
        <f>ROUND(F31/D31,2)</f>
        <v>8.91</v>
      </c>
      <c r="J6" s="1984"/>
      <c r="K6" s="1984"/>
      <c r="L6" s="1984"/>
    </row>
    <row r="7" spans="1:16" ht="15">
      <c r="A7" s="3306"/>
      <c r="B7" s="3307"/>
      <c r="C7" s="3308"/>
      <c r="D7" s="108" t="s">
        <v>204</v>
      </c>
      <c r="E7" s="114" t="s">
        <v>231</v>
      </c>
      <c r="F7" s="1984"/>
      <c r="G7" s="1156" t="s">
        <v>1646</v>
      </c>
      <c r="H7" s="1157"/>
      <c r="I7" s="1846">
        <v>1</v>
      </c>
      <c r="J7" s="1984"/>
      <c r="K7" s="1984"/>
      <c r="L7" s="1984"/>
    </row>
    <row r="8" spans="1:16">
      <c r="A8" s="110" t="s">
        <v>209</v>
      </c>
      <c r="B8" s="115" t="s">
        <v>210</v>
      </c>
      <c r="C8" s="111" t="s">
        <v>211</v>
      </c>
      <c r="D8" s="111">
        <f t="shared" ref="D8:D15" si="0">ROUND($D$3*E8/$E$3,2)</f>
        <v>1619.8</v>
      </c>
      <c r="E8" s="116">
        <f>SUMIF('数据-基础表'!BB10:BK10,"地上",'数据-基础表'!BB5:BK5)</f>
        <v>20000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293.06</v>
      </c>
      <c r="E12" s="116">
        <f>SUMPRODUCT(('数据-基础表'!BB10:BK10="地下")*('数据-基础表'!BB11:BK11="仓储")*('数据-基础表'!BB5:BK5))</f>
        <v>3618.52</v>
      </c>
      <c r="F12" s="1984"/>
      <c r="G12" s="1986"/>
      <c r="H12" s="1986"/>
      <c r="I12" s="1984"/>
      <c r="J12" s="1984"/>
      <c r="K12" s="1984"/>
      <c r="L12" s="1984"/>
    </row>
    <row r="13" spans="1:16">
      <c r="A13" s="117"/>
      <c r="B13" s="118"/>
      <c r="C13" s="2331" t="s">
        <v>2337</v>
      </c>
      <c r="D13" s="111">
        <f t="shared" si="0"/>
        <v>332.14</v>
      </c>
      <c r="E13" s="116">
        <f>SUMPRODUCT(('数据-基础表'!BB10:BK10="地下")*('数据-基础表'!BB11:BK11="车库")*('数据-基础表'!BB5:BK5))</f>
        <v>4101.03</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2245</v>
      </c>
      <c r="E16" s="120">
        <f>SUM(E8:E15)</f>
        <v>27719.55</v>
      </c>
      <c r="F16" s="1984"/>
      <c r="G16" s="1986"/>
      <c r="H16" s="968" t="s">
        <v>219</v>
      </c>
      <c r="I16" s="969"/>
      <c r="J16" s="1984"/>
      <c r="K16" s="3300" t="s">
        <v>2569</v>
      </c>
      <c r="L16" s="3301"/>
      <c r="M16" s="3301"/>
      <c r="N16" s="3301"/>
      <c r="O16" s="3301"/>
      <c r="P16" s="3302"/>
    </row>
    <row r="17" spans="1:19" ht="15">
      <c r="A17" s="121" t="s">
        <v>216</v>
      </c>
      <c r="B17" s="122" t="s">
        <v>217</v>
      </c>
      <c r="C17" s="2298" t="s">
        <v>2316</v>
      </c>
      <c r="D17" s="108" t="s">
        <v>204</v>
      </c>
      <c r="E17" s="124" t="s">
        <v>205</v>
      </c>
      <c r="F17" s="125"/>
      <c r="G17" s="1365"/>
      <c r="H17" s="970" t="s">
        <v>218</v>
      </c>
      <c r="I17" s="971" t="s">
        <v>2315</v>
      </c>
      <c r="J17" s="1984"/>
      <c r="K17" s="3303" t="s">
        <v>2570</v>
      </c>
      <c r="L17" s="3304"/>
      <c r="M17" s="3305"/>
      <c r="N17" s="3303" t="s">
        <v>2571</v>
      </c>
      <c r="O17" s="3304"/>
      <c r="P17" s="3305"/>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3024</v>
      </c>
      <c r="D19" s="111">
        <f t="shared" ref="D19:D26" si="1">ROUND($D$3*E19/$E$3,2)</f>
        <v>809.9</v>
      </c>
      <c r="E19" s="134">
        <f t="shared" ref="E19:E26" si="2">SUM(F19:G19)</f>
        <v>10000</v>
      </c>
      <c r="F19" s="135">
        <f>'数据-基础表'!I13</f>
        <v>10000</v>
      </c>
      <c r="G19" s="1367"/>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809.9</v>
      </c>
      <c r="S19" s="2301">
        <f t="shared" si="5"/>
        <v>10000</v>
      </c>
    </row>
    <row r="20" spans="1:19">
      <c r="A20" s="138"/>
      <c r="B20" s="115" t="s">
        <v>226</v>
      </c>
      <c r="C20" s="3025" t="s">
        <v>3025</v>
      </c>
      <c r="D20" s="111">
        <f t="shared" si="1"/>
        <v>293.06</v>
      </c>
      <c r="E20" s="134">
        <f t="shared" si="2"/>
        <v>3618.52</v>
      </c>
      <c r="F20" s="135"/>
      <c r="G20" s="1367">
        <f>'数据-基础表'!K14</f>
        <v>3618.52</v>
      </c>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293.06</v>
      </c>
      <c r="S20" s="2301">
        <f t="shared" si="5"/>
        <v>3618.52</v>
      </c>
    </row>
    <row r="21" spans="1:19">
      <c r="A21" s="138"/>
      <c r="B21" s="115" t="s">
        <v>226</v>
      </c>
      <c r="C21" s="3025" t="s">
        <v>3026</v>
      </c>
      <c r="D21" s="111">
        <f t="shared" si="1"/>
        <v>332.14</v>
      </c>
      <c r="E21" s="134">
        <f t="shared" si="2"/>
        <v>4101.03</v>
      </c>
      <c r="F21" s="135"/>
      <c r="G21" s="1367">
        <f>'数据-基础表'!M15</f>
        <v>4101.03</v>
      </c>
      <c r="H21" s="974">
        <f t="shared" si="6"/>
        <v>0</v>
      </c>
      <c r="I21" s="116">
        <f t="shared" si="7"/>
        <v>0</v>
      </c>
      <c r="J21" s="1984"/>
      <c r="K21" s="2608">
        <f t="shared" si="3"/>
        <v>0</v>
      </c>
      <c r="L21" s="275">
        <f t="shared" si="4"/>
        <v>0</v>
      </c>
      <c r="M21" s="2609">
        <f t="shared" si="8"/>
        <v>0</v>
      </c>
      <c r="N21" s="2610"/>
      <c r="O21" s="2611"/>
      <c r="P21" s="2612">
        <f t="shared" si="9"/>
        <v>0</v>
      </c>
      <c r="R21" s="275">
        <f t="shared" si="5"/>
        <v>332.14</v>
      </c>
      <c r="S21" s="2301">
        <f t="shared" si="5"/>
        <v>4101.03</v>
      </c>
    </row>
    <row r="22" spans="1:19">
      <c r="A22" s="138"/>
      <c r="B22" s="115" t="s">
        <v>226</v>
      </c>
      <c r="C22" s="3198" t="s">
        <v>3048</v>
      </c>
      <c r="D22" s="111">
        <f t="shared" si="1"/>
        <v>809.9</v>
      </c>
      <c r="E22" s="134">
        <f t="shared" si="2"/>
        <v>10000</v>
      </c>
      <c r="F22" s="140">
        <f>'数据-基础表'!O16</f>
        <v>10000</v>
      </c>
      <c r="G22" s="1368"/>
      <c r="H22" s="974">
        <f t="shared" si="6"/>
        <v>0</v>
      </c>
      <c r="I22" s="116">
        <f t="shared" si="7"/>
        <v>0</v>
      </c>
      <c r="J22" s="1984"/>
      <c r="K22" s="2608">
        <f t="shared" si="3"/>
        <v>0</v>
      </c>
      <c r="L22" s="275">
        <f t="shared" si="4"/>
        <v>0</v>
      </c>
      <c r="M22" s="2609">
        <f t="shared" si="8"/>
        <v>0</v>
      </c>
      <c r="N22" s="2610"/>
      <c r="O22" s="2611"/>
      <c r="P22" s="2612">
        <f t="shared" si="9"/>
        <v>0</v>
      </c>
      <c r="R22" s="275">
        <f t="shared" si="5"/>
        <v>809.9</v>
      </c>
      <c r="S22" s="2301">
        <f t="shared" si="5"/>
        <v>10000</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2245</v>
      </c>
      <c r="E27" s="143">
        <f>IF(SUM(E19:E26)='数据-基础表'!BA5,SUM(E19:E26),IF(F27="地上面积有误","面积有误","地下面积有误"))</f>
        <v>27719.55</v>
      </c>
      <c r="F27" s="134">
        <f>IF(SUM(F19:F26)=E8,SUM(F19:F26),"地上面积有误")</f>
        <v>20000</v>
      </c>
      <c r="G27" s="112">
        <f>SUM(G19:G26)</f>
        <v>7719.5499999999993</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2245</v>
      </c>
      <c r="S27" s="275">
        <f>IF(SUM(S19:S26)=$E$3,SUM(S19:S26),SUM(S19:S26)&amp;"误差"&amp;ROUND(SUM(S19:S26)-E3,2))</f>
        <v>27719.55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2325</v>
      </c>
      <c r="D31" s="1371">
        <f>D27+D30</f>
        <v>2245</v>
      </c>
      <c r="E31" s="1371">
        <f>E27+E30</f>
        <v>27719.55</v>
      </c>
      <c r="F31" s="1372">
        <f>F27+F30</f>
        <v>20000</v>
      </c>
      <c r="G31" s="1373">
        <f>G27+G30</f>
        <v>7719.5499999999993</v>
      </c>
      <c r="H31" s="1984"/>
      <c r="I31" s="1984"/>
      <c r="J31" s="1984"/>
      <c r="K31" s="1984"/>
      <c r="L31" s="1984"/>
    </row>
    <row r="32" spans="1:19">
      <c r="A32" s="1984"/>
      <c r="B32" s="2363" t="s">
        <v>2324</v>
      </c>
      <c r="C32" s="2647"/>
      <c r="D32" s="1201"/>
      <c r="E32" s="1201">
        <f>SUMIF(C19:C26,"*住宅*",E19:E26)</f>
        <v>10000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5" activePane="bottomRight" state="frozen"/>
      <selection pane="topRight" activeCell="D1" sqref="D1"/>
      <selection pane="bottomLeft" activeCell="A4" sqref="A4"/>
      <selection pane="bottomRight" activeCell="Q10" sqref="Q1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43273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v>
      </c>
      <c r="B6" s="2337" t="str">
        <f>IF(A6=0,"","经营性")</f>
        <v>经营性</v>
      </c>
      <c r="C6" s="173" t="s">
        <v>1678</v>
      </c>
      <c r="D6" s="2308">
        <f>SUMIF(项目基本情况!D$15:I$15,C6,项目基本情况!D$18:I$18)</f>
        <v>50</v>
      </c>
      <c r="E6" s="2309">
        <f>IF(B6="","",SUMIF(项目基本情况!D$15:I$15,C6,项目基本情况!D$17:I$17))</f>
        <v>60582</v>
      </c>
      <c r="F6" s="174">
        <f>SUMIF(项目基本情况!D$15:I$15,C6,项目基本情况!D$19:I$19)</f>
        <v>47.42</v>
      </c>
      <c r="G6" s="175">
        <f>IF(ISERROR(ROUND(POWER(1+H6,D6-F6)*(POWER(1+H6,F6)-1)/(POWER(1+H6,D6)-1),3)),0,ROUND(POWER(1+H6,D6-F6)*(POWER(1+H6,F6)-1)/(POWER(1+H6,D6)-1),3))</f>
        <v>0.98499999999999999</v>
      </c>
      <c r="H6" s="3026">
        <v>4.4999999999999998E-2</v>
      </c>
      <c r="I6" s="3026">
        <v>0.05</v>
      </c>
      <c r="J6" s="176">
        <v>0.08</v>
      </c>
      <c r="K6" s="179">
        <f>SUMIF('数据-汇总表'!C$19:C$33,'数据-取费表'!A6,'数据-汇总表'!E$19:E$33)</f>
        <v>10000</v>
      </c>
      <c r="L6" s="3027">
        <v>1800</v>
      </c>
      <c r="M6" s="177">
        <f t="shared" ref="M6:M14" si="0">ROUND(K6*L6/10000,0)</f>
        <v>1800</v>
      </c>
      <c r="N6" s="3028">
        <v>1</v>
      </c>
      <c r="O6" s="177">
        <f>IF($N$5="成新度","——",ROUND(M6*N6,0))</f>
        <v>1800</v>
      </c>
      <c r="P6" s="178">
        <f>IF($N$5="成新度","——",M6-O6)</f>
        <v>0</v>
      </c>
      <c r="Q6" s="3029">
        <v>0.15</v>
      </c>
      <c r="R6" s="179">
        <f>SUMIF('数据-汇总表'!C$19:C$33,A6,'数据-汇总表'!R$19:R$33)</f>
        <v>809.9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t="s">
        <v>2987</v>
      </c>
      <c r="AO6" s="2000"/>
      <c r="AP6" s="1204">
        <f>ROUND(1-1/(1+H6)^F6,3)</f>
        <v>0.876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地下仓储</v>
      </c>
      <c r="B7" s="2337" t="str">
        <f t="shared" ref="B7:B13" si="1">IF(A7=0,"","经营性")</f>
        <v>经营性</v>
      </c>
      <c r="C7" s="173" t="s">
        <v>3019</v>
      </c>
      <c r="D7" s="2308">
        <f>SUMIF(项目基本情况!D$15:I$15,C7,项目基本情况!D$18:I$18)</f>
        <v>50</v>
      </c>
      <c r="E7" s="2309">
        <f>IF(B7="","",SUMIF(项目基本情况!D$15:I$15,C7,项目基本情况!D$17:I$17))</f>
        <v>60582</v>
      </c>
      <c r="F7" s="174">
        <f>SUMIF(项目基本情况!D$15:I$15,C7,项目基本情况!D$19:I$19)</f>
        <v>47.42</v>
      </c>
      <c r="G7" s="175">
        <f t="shared" ref="G7:G11" si="2">IF(ISERROR(ROUND(POWER(1+H7,D7-F7)*(POWER(1+H7,F7)-1)/(POWER(1+H7,D7)-1),3)),0,ROUND(POWER(1+H7,D7-F7)*(POWER(1+H7,F7)-1)/(POWER(1+H7,D7)-1),3))</f>
        <v>0.98299999999999998</v>
      </c>
      <c r="H7" s="3026">
        <v>0.04</v>
      </c>
      <c r="I7" s="3026">
        <v>4.4999999999999998E-2</v>
      </c>
      <c r="J7" s="176">
        <v>7.4999999999999997E-2</v>
      </c>
      <c r="K7" s="179">
        <f>SUMIF('数据-汇总表'!C$19:C$33,'数据-取费表'!A7,'数据-汇总表'!E$19:E$33)</f>
        <v>3618.52</v>
      </c>
      <c r="L7" s="3027">
        <v>2200</v>
      </c>
      <c r="M7" s="177">
        <f t="shared" si="0"/>
        <v>796</v>
      </c>
      <c r="N7" s="3028">
        <v>1</v>
      </c>
      <c r="O7" s="177">
        <f t="shared" ref="O7:O14" si="3">IF($N$5="成新度","——",ROUND(M7*N7,0))</f>
        <v>796</v>
      </c>
      <c r="P7" s="178">
        <f t="shared" ref="P7:P14" si="4">IF($N$5="成新度","——",M7-O7)</f>
        <v>0</v>
      </c>
      <c r="Q7" s="3029">
        <v>0.1</v>
      </c>
      <c r="R7" s="179">
        <f>SUMIF('数据-汇总表'!C$19:C$33,A7,'数据-汇总表'!R$19:R$33)</f>
        <v>293.06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0.84399999999999997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3023</v>
      </c>
      <c r="D8" s="2308">
        <f>SUMIF(项目基本情况!D$15:I$15,C8,项目基本情况!D$18:I$18)</f>
        <v>50</v>
      </c>
      <c r="E8" s="2309">
        <f>IF(B8="","",SUMIF(项目基本情况!D$15:I$15,C8,项目基本情况!D$17:I$17))</f>
        <v>60582</v>
      </c>
      <c r="F8" s="174">
        <f>SUMIF(项目基本情况!D$15:I$15,C8,项目基本情况!D$19:I$19)</f>
        <v>47.42</v>
      </c>
      <c r="G8" s="175">
        <f t="shared" si="2"/>
        <v>0.98</v>
      </c>
      <c r="H8" s="3026">
        <v>3.5000000000000003E-2</v>
      </c>
      <c r="I8" s="3026">
        <v>0.04</v>
      </c>
      <c r="J8" s="176">
        <v>7.0000000000000007E-2</v>
      </c>
      <c r="K8" s="179">
        <f>SUMIF('数据-汇总表'!C$19:C$33,'数据-取费表'!A8,'数据-汇总表'!E$19:E$33)</f>
        <v>4101.03</v>
      </c>
      <c r="L8" s="3027">
        <v>2200</v>
      </c>
      <c r="M8" s="177">
        <f>ROUND(K8*L8/10000,0)</f>
        <v>902</v>
      </c>
      <c r="N8" s="3028">
        <v>1</v>
      </c>
      <c r="O8" s="177">
        <f t="shared" si="3"/>
        <v>902</v>
      </c>
      <c r="P8" s="178">
        <f t="shared" si="4"/>
        <v>0</v>
      </c>
      <c r="Q8" s="3029">
        <v>0.15</v>
      </c>
      <c r="R8" s="179">
        <f>SUMIF('数据-汇总表'!C$19:C$33,A8,'数据-汇总表'!R$19:R$33)</f>
        <v>332.14</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0.80400000000000005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住宅</v>
      </c>
      <c r="B9" s="2337" t="str">
        <f t="shared" si="1"/>
        <v>经营性</v>
      </c>
      <c r="C9" s="173" t="s">
        <v>923</v>
      </c>
      <c r="D9" s="2308">
        <f>SUMIF(项目基本情况!D$15:I$15,C9,项目基本情况!D$18:I$18)</f>
        <v>70</v>
      </c>
      <c r="E9" s="2309">
        <f>IF(B9="","",SUMIF(项目基本情况!D$15:I$15,C9,项目基本情况!D$17:I$17))</f>
        <v>67887</v>
      </c>
      <c r="F9" s="174">
        <f>SUMIF(项目基本情况!D$15:I$15,C9,项目基本情况!D$19:I$19)</f>
        <v>67.430000000000007</v>
      </c>
      <c r="G9" s="175">
        <f t="shared" si="2"/>
        <v>0.99299999999999999</v>
      </c>
      <c r="H9" s="176">
        <v>0.04</v>
      </c>
      <c r="I9" s="176">
        <v>4.4999999999999998E-2</v>
      </c>
      <c r="J9" s="176">
        <v>7.4999999999999997E-2</v>
      </c>
      <c r="K9" s="179">
        <f>SUMIF('数据-汇总表'!C$19:C$33,'数据-取费表'!A9,'数据-汇总表'!E$19:E$33)</f>
        <v>10000</v>
      </c>
      <c r="L9" s="193">
        <v>2800</v>
      </c>
      <c r="M9" s="177">
        <f t="shared" si="0"/>
        <v>2800</v>
      </c>
      <c r="N9" s="194">
        <v>1</v>
      </c>
      <c r="O9" s="177">
        <f t="shared" si="3"/>
        <v>2800</v>
      </c>
      <c r="P9" s="178">
        <f t="shared" si="4"/>
        <v>0</v>
      </c>
      <c r="Q9" s="192">
        <v>0.15</v>
      </c>
      <c r="R9" s="179">
        <f>SUMIF('数据-汇总表'!C$19:C$33,A9,'数据-汇总表'!R$19:R$33)</f>
        <v>809.9</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0.92900000000000005</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0.98699999999999999</v>
      </c>
      <c r="H16" s="203">
        <f>ROUND(SUMPRODUCT(H6:H13,K6:K13)/SUMPRODUCT((H6:H13&gt;0)*(K6:K13)),3)</f>
        <v>4.1000000000000002E-2</v>
      </c>
      <c r="I16" s="204"/>
      <c r="J16" s="204"/>
      <c r="K16" s="205">
        <f>SUM(K6:K15)</f>
        <v>27719.55</v>
      </c>
      <c r="L16" s="206">
        <f>ROUND(M16*10000/SUM(K6:K14),0)</f>
        <v>2272</v>
      </c>
      <c r="M16" s="206">
        <f>SUM(M6:M14)</f>
        <v>6298</v>
      </c>
      <c r="N16" s="207">
        <f>ROUND(SUMPRODUCT(M6:M14,N6:N14)/M16,3)</f>
        <v>1</v>
      </c>
      <c r="O16" s="206">
        <f>SUM(O6:O14)</f>
        <v>6298</v>
      </c>
      <c r="P16" s="206">
        <f>SUM(P6:P14)</f>
        <v>0</v>
      </c>
      <c r="Q16" s="208">
        <f>ROUND(SUMPRODUCT(Q6:Q13,K6:K13)/SUMPRODUCT((Q6:Q13&gt;0)*(K6:K13)),2)</f>
        <v>0.14000000000000001</v>
      </c>
      <c r="R16" s="2311">
        <f>SUM(R6:R13)</f>
        <v>2245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160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v>1.5</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5" t="s">
        <v>1664</v>
      </c>
      <c r="B1" s="3316"/>
      <c r="C1" s="3316"/>
      <c r="D1" s="3316"/>
      <c r="E1" s="3316"/>
      <c r="F1" s="3316"/>
      <c r="G1" s="3316"/>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2925</v>
      </c>
      <c r="D3" s="2009"/>
      <c r="E3" s="1229" t="s">
        <v>1667</v>
      </c>
      <c r="F3" s="1230" t="s">
        <v>1655</v>
      </c>
      <c r="G3" s="3086" t="s">
        <v>2924</v>
      </c>
      <c r="H3" s="2008"/>
      <c r="I3" s="2008"/>
      <c r="J3" s="2008"/>
      <c r="K3" s="2008"/>
      <c r="L3" s="2008"/>
      <c r="M3" s="2008"/>
      <c r="N3" s="2008"/>
      <c r="O3" s="2008"/>
      <c r="P3" s="2008"/>
      <c r="Q3" s="2008"/>
      <c r="R3" s="2008"/>
    </row>
    <row r="4" spans="1:18" ht="41.25">
      <c r="A4" s="1229"/>
      <c r="B4" s="1231" t="s">
        <v>1668</v>
      </c>
      <c r="C4" s="3083" t="s">
        <v>2926</v>
      </c>
      <c r="D4" s="2009"/>
      <c r="E4" s="1232"/>
      <c r="F4" s="1233" t="s">
        <v>1669</v>
      </c>
      <c r="G4" s="3084" t="s">
        <v>2921</v>
      </c>
      <c r="H4" s="2008"/>
      <c r="I4" s="2008"/>
      <c r="J4" s="2008"/>
      <c r="K4" s="2008"/>
      <c r="L4" s="2008"/>
      <c r="M4" s="2008"/>
      <c r="N4" s="2008"/>
      <c r="O4" s="2008"/>
      <c r="P4" s="2008"/>
      <c r="Q4" s="2008"/>
      <c r="R4" s="2008"/>
    </row>
    <row r="5" spans="1:18" ht="41.25">
      <c r="A5" s="1229"/>
      <c r="B5" s="1231" t="s">
        <v>1670</v>
      </c>
      <c r="C5" s="3083" t="s">
        <v>2927</v>
      </c>
      <c r="D5" s="2009"/>
      <c r="E5" s="1232"/>
      <c r="F5" s="1231" t="s">
        <v>2549</v>
      </c>
      <c r="G5" s="3084" t="s">
        <v>2922</v>
      </c>
      <c r="H5" s="2008"/>
      <c r="I5" s="2008"/>
      <c r="J5" s="2008"/>
      <c r="K5" s="2008"/>
      <c r="L5" s="2008"/>
      <c r="M5" s="2008"/>
      <c r="N5" s="2008"/>
      <c r="O5" s="2008"/>
      <c r="P5" s="2008"/>
      <c r="Q5" s="2008"/>
      <c r="R5" s="2008"/>
    </row>
    <row r="6" spans="1:18" ht="54">
      <c r="A6" s="1229"/>
      <c r="B6" s="1231" t="s">
        <v>1656</v>
      </c>
      <c r="C6" s="3084" t="s">
        <v>2921</v>
      </c>
      <c r="D6" s="2009"/>
      <c r="E6" s="1232"/>
      <c r="F6" s="1231" t="s">
        <v>2550</v>
      </c>
      <c r="G6" s="3084" t="s">
        <v>2919</v>
      </c>
      <c r="H6" s="2008"/>
      <c r="I6" s="2008"/>
      <c r="J6" s="2008"/>
      <c r="K6" s="2008"/>
      <c r="L6" s="2008"/>
      <c r="M6" s="2008"/>
      <c r="N6" s="2008"/>
      <c r="O6" s="2008"/>
      <c r="P6" s="2008"/>
      <c r="Q6" s="2008"/>
      <c r="R6" s="2008"/>
    </row>
    <row r="7" spans="1:18" ht="41.25" thickBot="1">
      <c r="A7" s="1229"/>
      <c r="B7" s="1231" t="s">
        <v>2549</v>
      </c>
      <c r="C7" s="3084" t="s">
        <v>2922</v>
      </c>
      <c r="D7" s="2010"/>
      <c r="E7" s="1234"/>
      <c r="F7" s="1235" t="s">
        <v>1671</v>
      </c>
      <c r="G7" s="3087" t="s">
        <v>2923</v>
      </c>
      <c r="H7" s="2008"/>
      <c r="I7" s="2008"/>
      <c r="J7" s="2008"/>
      <c r="K7" s="2008"/>
      <c r="L7" s="2008"/>
      <c r="M7" s="2008"/>
      <c r="N7" s="2008"/>
      <c r="O7" s="2008"/>
      <c r="P7" s="2008"/>
      <c r="Q7" s="2008"/>
      <c r="R7" s="2008"/>
    </row>
    <row r="8" spans="1:18" ht="27">
      <c r="A8" s="1229"/>
      <c r="B8" s="1231" t="s">
        <v>2550</v>
      </c>
      <c r="C8" s="3084" t="s">
        <v>2919</v>
      </c>
      <c r="D8" s="2010"/>
      <c r="E8" s="2010"/>
      <c r="F8" s="1553"/>
      <c r="G8" s="1553"/>
      <c r="H8" s="2008"/>
      <c r="I8" s="2008"/>
      <c r="J8" s="2008"/>
      <c r="K8" s="2008"/>
      <c r="L8" s="2008"/>
      <c r="M8" s="2008"/>
      <c r="N8" s="2008"/>
      <c r="O8" s="2008"/>
      <c r="P8" s="2008"/>
      <c r="Q8" s="2008"/>
      <c r="R8" s="2008"/>
    </row>
    <row r="9" spans="1:18" ht="40.5">
      <c r="A9" s="1229"/>
      <c r="B9" s="1231" t="s">
        <v>1657</v>
      </c>
      <c r="C9" s="3083"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46" t="s">
        <v>2846</v>
      </c>
      <c r="B1" s="3046">
        <f>SUM(B14:B23)</f>
        <v>27719.55</v>
      </c>
      <c r="C1" s="3047"/>
      <c r="D1" s="3047"/>
      <c r="E1" s="3047"/>
      <c r="F1" s="3047"/>
    </row>
    <row r="2" spans="1:9" ht="16.5">
      <c r="A2" s="3046" t="s">
        <v>2847</v>
      </c>
      <c r="B2" s="3046">
        <f>SUM(C14:C23)</f>
        <v>2245</v>
      </c>
      <c r="C2" s="3047"/>
      <c r="D2" s="3047"/>
      <c r="E2" s="3047"/>
      <c r="F2" s="3047"/>
    </row>
    <row r="3" spans="1:9" ht="16.5">
      <c r="A3" s="3046" t="s">
        <v>2848</v>
      </c>
      <c r="B3" s="3048">
        <f>项目基本情况!D3</f>
        <v>43273</v>
      </c>
      <c r="C3" s="3047"/>
      <c r="D3" s="3047"/>
      <c r="E3" s="3047"/>
      <c r="F3" s="3047"/>
    </row>
    <row r="4" spans="1:9" ht="33">
      <c r="A4" s="3046" t="s">
        <v>2849</v>
      </c>
      <c r="B4" s="3046" t="s">
        <v>2850</v>
      </c>
      <c r="C4" s="3046" t="s">
        <v>2851</v>
      </c>
      <c r="D4" s="3046" t="s">
        <v>2852</v>
      </c>
      <c r="E4" s="3047"/>
      <c r="F4" s="3047"/>
    </row>
    <row r="5" spans="1:9" ht="16.5">
      <c r="A5" s="3046" t="s">
        <v>2853</v>
      </c>
      <c r="B5" s="3046">
        <f>SUM(D14:D23)</f>
        <v>0</v>
      </c>
      <c r="C5" s="3046">
        <f>ROUND(B5*10000/$B$1,0)</f>
        <v>0</v>
      </c>
      <c r="D5" s="3046">
        <f>ROUND(B5*10000/$B$2,0)</f>
        <v>0</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27719.55</v>
      </c>
      <c r="C14" s="3050">
        <f>结果表!K38</f>
        <v>2245</v>
      </c>
      <c r="D14" s="3050">
        <v>0</v>
      </c>
      <c r="E14" s="3050">
        <f>ROUND(D14*10000/B14,0)</f>
        <v>0</v>
      </c>
      <c r="F14" s="3050">
        <f>ROUND(D14*10000/C14,0)</f>
        <v>0</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62" t="str">
        <f>项目基本情况!K2</f>
        <v>出让国有建设用地使用权</v>
      </c>
      <c r="B2" s="3363"/>
      <c r="C2" s="3364"/>
      <c r="D2" s="3364"/>
      <c r="E2" s="3364"/>
      <c r="F2" s="3364"/>
      <c r="G2" s="3363"/>
      <c r="H2" s="3363"/>
      <c r="I2" s="3365"/>
      <c r="J2" s="2030"/>
      <c r="K2" s="2029"/>
      <c r="L2" s="2029"/>
      <c r="M2" s="2029"/>
      <c r="N2" s="2029"/>
      <c r="O2" s="2029"/>
      <c r="P2" s="2029"/>
      <c r="Q2" s="2029"/>
      <c r="R2" s="2029"/>
      <c r="S2" s="2029"/>
      <c r="T2" s="2029"/>
      <c r="U2" s="2029"/>
      <c r="V2" s="2029"/>
    </row>
    <row r="3" spans="1:22" ht="14.25">
      <c r="A3" s="3373" t="s">
        <v>298</v>
      </c>
      <c r="B3" s="3374"/>
      <c r="C3" s="3374"/>
      <c r="D3" s="3374"/>
      <c r="E3" s="3374"/>
      <c r="F3" s="3374"/>
      <c r="G3" s="3374"/>
      <c r="H3" s="3374"/>
      <c r="I3" s="3374"/>
      <c r="J3" s="2030"/>
      <c r="K3" s="2029"/>
      <c r="L3" s="2029"/>
      <c r="M3" s="2029"/>
      <c r="N3" s="2029"/>
      <c r="O3" s="2029"/>
      <c r="P3" s="2029"/>
      <c r="Q3" s="2029"/>
      <c r="R3" s="2029"/>
      <c r="S3" s="2029"/>
      <c r="T3" s="2029"/>
      <c r="U3" s="2029"/>
      <c r="V3" s="2029"/>
    </row>
    <row r="4" spans="1:22" ht="14.25">
      <c r="A4" s="258" t="s">
        <v>299</v>
      </c>
      <c r="B4" s="259" t="s">
        <v>300</v>
      </c>
      <c r="C4" s="260" t="s">
        <v>2987</v>
      </c>
      <c r="D4" s="260" t="s">
        <v>2988</v>
      </c>
      <c r="E4" s="3337" t="s">
        <v>301</v>
      </c>
      <c r="F4" s="3379"/>
      <c r="G4" s="3379"/>
      <c r="H4" s="3379"/>
      <c r="I4" s="3338"/>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66" t="s">
        <v>302</v>
      </c>
      <c r="B5" s="3367">
        <v>25</v>
      </c>
      <c r="C5" s="3375"/>
      <c r="D5" s="3378"/>
      <c r="E5" s="261" t="s">
        <v>303</v>
      </c>
      <c r="F5" s="262"/>
      <c r="G5" s="262"/>
      <c r="H5" s="262"/>
      <c r="I5" s="263"/>
      <c r="J5" s="2030"/>
      <c r="K5" s="2029"/>
      <c r="L5" s="2029"/>
      <c r="M5" s="2029"/>
      <c r="N5" s="2029"/>
      <c r="O5" s="2029"/>
      <c r="P5" s="2029"/>
      <c r="Q5" s="2029"/>
      <c r="R5" s="2029"/>
      <c r="S5" s="2029"/>
      <c r="T5" s="2029"/>
      <c r="U5" s="2029"/>
      <c r="V5" s="2029"/>
    </row>
    <row r="6" spans="1:22" ht="14.25">
      <c r="A6" s="3366"/>
      <c r="B6" s="3367"/>
      <c r="C6" s="3376"/>
      <c r="D6" s="3378"/>
      <c r="E6" s="261" t="s">
        <v>304</v>
      </c>
      <c r="F6" s="262"/>
      <c r="G6" s="262"/>
      <c r="H6" s="262"/>
      <c r="I6" s="263"/>
      <c r="J6" s="2030"/>
      <c r="K6" s="2029"/>
      <c r="L6" s="2029"/>
      <c r="M6" s="2029"/>
      <c r="N6" s="2029"/>
      <c r="O6" s="2029"/>
      <c r="P6" s="2029"/>
      <c r="Q6" s="2029"/>
      <c r="R6" s="2029"/>
      <c r="S6" s="2029"/>
      <c r="T6" s="2029"/>
      <c r="U6" s="2029"/>
      <c r="V6" s="2029"/>
    </row>
    <row r="7" spans="1:22" ht="14.25">
      <c r="A7" s="3366"/>
      <c r="B7" s="3367"/>
      <c r="C7" s="3377"/>
      <c r="D7" s="3378"/>
      <c r="E7" s="261" t="s">
        <v>305</v>
      </c>
      <c r="F7" s="262"/>
      <c r="G7" s="262"/>
      <c r="H7" s="262"/>
      <c r="I7" s="263"/>
      <c r="J7" s="2030"/>
      <c r="K7" s="2029"/>
      <c r="L7" s="2029"/>
      <c r="M7" s="2029"/>
      <c r="N7" s="2029"/>
      <c r="O7" s="2029"/>
      <c r="P7" s="2029"/>
      <c r="Q7" s="2029"/>
      <c r="R7" s="2029"/>
      <c r="S7" s="2029"/>
      <c r="T7" s="2029"/>
      <c r="U7" s="2029"/>
      <c r="V7" s="2029"/>
    </row>
    <row r="8" spans="1:22" ht="14.25">
      <c r="A8" s="3366" t="s">
        <v>306</v>
      </c>
      <c r="B8" s="3367">
        <v>15</v>
      </c>
      <c r="C8" s="3375"/>
      <c r="D8" s="3378"/>
      <c r="E8" s="261" t="s">
        <v>307</v>
      </c>
      <c r="F8" s="262"/>
      <c r="G8" s="262"/>
      <c r="H8" s="262"/>
      <c r="I8" s="263"/>
      <c r="J8" s="2030"/>
      <c r="K8" s="2029"/>
      <c r="L8" s="2029"/>
      <c r="M8" s="2029"/>
      <c r="N8" s="2029"/>
      <c r="O8" s="2029"/>
      <c r="P8" s="2029"/>
      <c r="Q8" s="2029"/>
      <c r="R8" s="2029"/>
      <c r="S8" s="2029"/>
      <c r="T8" s="2029"/>
      <c r="U8" s="2029"/>
      <c r="V8" s="2029"/>
    </row>
    <row r="9" spans="1:22" ht="14.25">
      <c r="A9" s="3366"/>
      <c r="B9" s="3367"/>
      <c r="C9" s="3377"/>
      <c r="D9" s="3378"/>
      <c r="E9" s="261" t="s">
        <v>308</v>
      </c>
      <c r="F9" s="262"/>
      <c r="G9" s="262"/>
      <c r="H9" s="262"/>
      <c r="I9" s="263"/>
      <c r="J9" s="2030"/>
      <c r="K9" s="2029"/>
      <c r="L9" s="2029"/>
      <c r="M9" s="2029"/>
      <c r="N9" s="2029"/>
      <c r="O9" s="2029"/>
      <c r="P9" s="2029"/>
      <c r="Q9" s="2029"/>
      <c r="R9" s="2029"/>
      <c r="S9" s="2029"/>
      <c r="T9" s="2029"/>
      <c r="U9" s="2029"/>
      <c r="V9" s="2029"/>
    </row>
    <row r="10" spans="1:22" ht="14.25">
      <c r="A10" s="3366" t="s">
        <v>309</v>
      </c>
      <c r="B10" s="3367">
        <v>15</v>
      </c>
      <c r="C10" s="3375"/>
      <c r="D10" s="3378"/>
      <c r="E10" s="261" t="s">
        <v>310</v>
      </c>
      <c r="F10" s="262"/>
      <c r="G10" s="262"/>
      <c r="H10" s="262"/>
      <c r="I10" s="263"/>
      <c r="J10" s="2030"/>
      <c r="K10" s="2029"/>
      <c r="L10" s="2029"/>
      <c r="M10" s="2029"/>
      <c r="N10" s="2029"/>
      <c r="O10" s="2029"/>
      <c r="P10" s="2029"/>
      <c r="Q10" s="2029"/>
      <c r="R10" s="2029"/>
      <c r="S10" s="2029"/>
      <c r="T10" s="2029"/>
      <c r="U10" s="2029"/>
      <c r="V10" s="2029"/>
    </row>
    <row r="11" spans="1:22" ht="14.25">
      <c r="A11" s="3366"/>
      <c r="B11" s="3367"/>
      <c r="C11" s="3377"/>
      <c r="D11" s="3378"/>
      <c r="E11" s="261" t="s">
        <v>311</v>
      </c>
      <c r="F11" s="262"/>
      <c r="G11" s="262"/>
      <c r="H11" s="262"/>
      <c r="I11" s="263"/>
      <c r="J11" s="2030"/>
      <c r="K11" s="2029"/>
      <c r="L11" s="2029"/>
      <c r="M11" s="2029"/>
      <c r="N11" s="2029"/>
      <c r="O11" s="2029"/>
      <c r="P11" s="2029"/>
      <c r="Q11" s="2029"/>
      <c r="R11" s="2029"/>
      <c r="S11" s="2029"/>
      <c r="T11" s="2029"/>
      <c r="U11" s="2029"/>
      <c r="V11" s="2029"/>
    </row>
    <row r="12" spans="1:22" ht="14.25">
      <c r="A12" s="3366" t="s">
        <v>312</v>
      </c>
      <c r="B12" s="3367">
        <v>15</v>
      </c>
      <c r="C12" s="3375"/>
      <c r="D12" s="3378"/>
      <c r="E12" s="261" t="s">
        <v>313</v>
      </c>
      <c r="F12" s="262"/>
      <c r="G12" s="262"/>
      <c r="H12" s="262"/>
      <c r="I12" s="263"/>
      <c r="J12" s="2030"/>
      <c r="K12" s="2029"/>
      <c r="L12" s="2029"/>
      <c r="M12" s="2029"/>
      <c r="N12" s="2029"/>
      <c r="O12" s="2029"/>
      <c r="P12" s="2029"/>
      <c r="Q12" s="2029"/>
      <c r="R12" s="2029"/>
      <c r="S12" s="2029"/>
      <c r="T12" s="2029"/>
      <c r="U12" s="2029"/>
      <c r="V12" s="2029"/>
    </row>
    <row r="13" spans="1:22" ht="14.25">
      <c r="A13" s="3366"/>
      <c r="B13" s="3367"/>
      <c r="C13" s="3377"/>
      <c r="D13" s="3378"/>
      <c r="E13" s="261" t="s">
        <v>314</v>
      </c>
      <c r="F13" s="262"/>
      <c r="G13" s="262"/>
      <c r="H13" s="262"/>
      <c r="I13" s="263"/>
      <c r="J13" s="2030"/>
      <c r="K13" s="2029"/>
      <c r="L13" s="2029"/>
      <c r="M13" s="2029"/>
      <c r="N13" s="2029"/>
      <c r="O13" s="2029"/>
      <c r="P13" s="2029"/>
      <c r="Q13" s="2029"/>
      <c r="R13" s="2029"/>
      <c r="S13" s="2029"/>
      <c r="T13" s="2029"/>
      <c r="U13" s="2029"/>
      <c r="V13" s="2029"/>
    </row>
    <row r="14" spans="1:22" ht="14.25">
      <c r="A14" s="3366" t="s">
        <v>315</v>
      </c>
      <c r="B14" s="3367">
        <v>30</v>
      </c>
      <c r="C14" s="3375"/>
      <c r="D14" s="3378"/>
      <c r="E14" s="261" t="s">
        <v>316</v>
      </c>
      <c r="F14" s="262"/>
      <c r="G14" s="262"/>
      <c r="H14" s="262"/>
      <c r="I14" s="263"/>
      <c r="J14" s="2030"/>
      <c r="K14" s="2029"/>
      <c r="L14" s="2029"/>
      <c r="M14" s="2029"/>
      <c r="N14" s="2029"/>
      <c r="O14" s="2029"/>
      <c r="P14" s="2029"/>
      <c r="Q14" s="2029"/>
      <c r="R14" s="2029"/>
      <c r="S14" s="2029"/>
      <c r="T14" s="2029"/>
      <c r="U14" s="2029"/>
      <c r="V14" s="2029"/>
    </row>
    <row r="15" spans="1:22" ht="14.25">
      <c r="A15" s="3366"/>
      <c r="B15" s="3367"/>
      <c r="C15" s="3376"/>
      <c r="D15" s="3378"/>
      <c r="E15" s="261" t="s">
        <v>317</v>
      </c>
      <c r="F15" s="262"/>
      <c r="G15" s="262"/>
      <c r="H15" s="262"/>
      <c r="I15" s="263"/>
      <c r="J15" s="2030"/>
      <c r="K15" s="2029"/>
      <c r="L15" s="2029"/>
      <c r="M15" s="2029"/>
      <c r="N15" s="2029"/>
      <c r="O15" s="2029"/>
      <c r="P15" s="2029"/>
      <c r="Q15" s="2029"/>
      <c r="R15" s="2029"/>
      <c r="S15" s="2029"/>
      <c r="T15" s="2029"/>
      <c r="U15" s="2029"/>
      <c r="V15" s="2029"/>
    </row>
    <row r="16" spans="1:22" ht="14.25">
      <c r="A16" s="3366"/>
      <c r="B16" s="3367"/>
      <c r="C16" s="3377"/>
      <c r="D16" s="337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t="e">
        <f>ROUND(C17/SUM(C17:D17),2)</f>
        <v>#DIV/0!</v>
      </c>
      <c r="D18" s="267" t="e">
        <f>1-C18</f>
        <v>#DIV/0!</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21763</v>
      </c>
      <c r="D19" s="271">
        <f ca="1">SUMIF(INDIRECT("'"&amp;D4&amp;"'"&amp;"!A:A"),结果表!B19,INDIRECT("'"&amp;D4&amp;"'"&amp;"!B:B"))</f>
        <v>-7510.7909309408897</v>
      </c>
      <c r="E19" s="268" t="s">
        <v>323</v>
      </c>
      <c r="F19" s="269" t="s">
        <v>322</v>
      </c>
      <c r="G19" s="272" t="e">
        <f ca="1">ROUND(C19*$C$18+D19*$D$18,0)</f>
        <v>#DIV/0!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21763</v>
      </c>
      <c r="D20" s="277">
        <f ca="1">SUMIF(INDIRECT("'"&amp;D4&amp;"'"&amp;"!A:A"),结果表!B20,INDIRECT("'"&amp;D4&amp;"'"&amp;"!B:B"))</f>
        <v>-2710</v>
      </c>
      <c r="E20" s="274"/>
      <c r="F20" s="275" t="s">
        <v>325</v>
      </c>
      <c r="G20" s="278" t="e">
        <f ca="1">ROUND(C20*$C$18+D20*$D$18,0)</f>
        <v>#DIV/0!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268712</v>
      </c>
      <c r="D21" s="151">
        <f ca="1">SUMIF(INDIRECT("'"&amp;D4&amp;"'"&amp;"!A:A"),结果表!B21,INDIRECT("'"&amp;D4&amp;"'"&amp;"!B:B"))</f>
        <v>-33456</v>
      </c>
      <c r="E21" s="274"/>
      <c r="F21" s="280" t="s">
        <v>327</v>
      </c>
      <c r="G21" s="282" t="e">
        <f ca="1">ROUND(C21*$C$18+D21*$D$18,0)</f>
        <v>#DIV/0!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-3.897564344434989</v>
      </c>
      <c r="E22" s="284"/>
      <c r="F22" s="285"/>
      <c r="G22" s="286" t="e">
        <f ca="1">ROUND(G19/('数据-汇总表'!D3/666.67),0)</f>
        <v>#DIV/0!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9"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81"/>
      <c r="B25" s="1321" t="s">
        <v>331</v>
      </c>
      <c r="C25" s="290">
        <f>IF(B30=0,0,C30)</f>
        <v>0</v>
      </c>
      <c r="D25" s="291"/>
      <c r="E25" s="311"/>
      <c r="F25" s="311"/>
      <c r="G25" s="311"/>
      <c r="H25" s="311"/>
      <c r="I25" s="311"/>
      <c r="J25" s="2029"/>
      <c r="K25" s="1255" t="e">
        <f ca="1">项目基本情况!B16&amp;"国有建设用地使用权价格："&amp;O38&amp;"万元"</f>
        <v>#DIV/0!</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e">
        <f ca="1">"大写金额：人民币"&amp;NUMBERSTRING(INT(O38*10000),2)&amp;"元整"</f>
        <v>#DIV/0!</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e">
        <f ca="1">"单位面积地价："&amp;M38&amp;"元/平方米"</f>
        <v>#DIV/0!</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e">
        <f ca="1">"楼面地价："&amp;N38&amp;"元/平方米"</f>
        <v>#DIV/0!</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t="e">
        <f ca="1">G19-C24</f>
        <v>#DIV/0!</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t="e">
        <f ca="1">ROUND(C32*10000/'数据-汇总表'!E3,0)</f>
        <v>#DIV/0!</v>
      </c>
      <c r="D33" s="1385" t="s">
        <v>1692</v>
      </c>
      <c r="E33" s="3339"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t="e">
        <f ca="1">ROUND(C32*10000/'数据-汇总表'!D3,0)</f>
        <v>#DIV/0!</v>
      </c>
      <c r="D34" s="1387" t="s">
        <v>1692</v>
      </c>
      <c r="E34" s="3340"/>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t="e">
        <f ca="1">ROUND(C32/('数据-汇总表'!D3/666.67),0)</f>
        <v>#DIV/0!</v>
      </c>
      <c r="D35" s="1390" t="s">
        <v>1694</v>
      </c>
      <c r="E35" s="3341"/>
      <c r="F35" s="301" t="s">
        <v>342</v>
      </c>
      <c r="G35" s="982"/>
      <c r="H35" s="981" t="s">
        <v>343</v>
      </c>
      <c r="I35" s="311"/>
      <c r="J35" s="2029"/>
      <c r="K35" s="3345" t="s">
        <v>350</v>
      </c>
      <c r="L35" s="3345" t="s">
        <v>351</v>
      </c>
      <c r="M35" s="1264" t="s">
        <v>352</v>
      </c>
      <c r="N35" s="3345" t="s">
        <v>353</v>
      </c>
      <c r="O35" s="3345" t="s">
        <v>354</v>
      </c>
      <c r="P35" s="2029"/>
      <c r="V35" s="2029"/>
    </row>
    <row r="36" spans="1:26" ht="16.5" customHeight="1">
      <c r="A36" s="303" t="s">
        <v>344</v>
      </c>
      <c r="B36" s="304" t="s">
        <v>333</v>
      </c>
      <c r="C36" s="305" t="s">
        <v>345</v>
      </c>
      <c r="D36" s="305" t="s">
        <v>346</v>
      </c>
      <c r="E36" s="306" t="s">
        <v>347</v>
      </c>
      <c r="F36" s="311"/>
      <c r="G36" s="311"/>
      <c r="H36" s="311"/>
      <c r="I36" s="311"/>
      <c r="J36" s="2031"/>
      <c r="K36" s="3346"/>
      <c r="L36" s="3346"/>
      <c r="M36" s="1266" t="s">
        <v>355</v>
      </c>
      <c r="N36" s="3346"/>
      <c r="O36" s="3346"/>
      <c r="P36" s="2029"/>
      <c r="V36" s="2029"/>
    </row>
    <row r="37" spans="1:26" ht="16.5" customHeight="1" thickBot="1">
      <c r="A37" s="1260" t="s">
        <v>348</v>
      </c>
      <c r="B37" s="307"/>
      <c r="C37" s="294"/>
      <c r="D37" s="294"/>
      <c r="E37" s="295"/>
      <c r="F37" s="311"/>
      <c r="G37" s="311"/>
      <c r="H37" s="311"/>
      <c r="I37" s="311"/>
      <c r="J37" s="2031"/>
      <c r="K37" s="3347"/>
      <c r="L37" s="3347"/>
      <c r="M37" s="1267"/>
      <c r="N37" s="3347"/>
      <c r="O37" s="3347"/>
      <c r="P37" s="2029"/>
      <c r="V37" s="2029"/>
    </row>
    <row r="38" spans="1:26" ht="16.5" customHeight="1" thickBot="1">
      <c r="A38" s="1260" t="s">
        <v>349</v>
      </c>
      <c r="B38" s="307"/>
      <c r="C38" s="294"/>
      <c r="D38" s="294"/>
      <c r="E38" s="295"/>
      <c r="F38" s="311"/>
      <c r="G38" s="311"/>
      <c r="H38" s="311"/>
      <c r="I38" s="311"/>
      <c r="J38" s="2031"/>
      <c r="K38" s="1268">
        <f>'数据-汇总表'!D3</f>
        <v>2245</v>
      </c>
      <c r="L38" s="1269">
        <f>'数据-汇总表'!E3</f>
        <v>27719.55</v>
      </c>
      <c r="M38" s="1269" t="e">
        <f ca="1">C34</f>
        <v>#DIV/0!</v>
      </c>
      <c r="N38" s="1269" t="e">
        <f ca="1">C33</f>
        <v>#DIV/0!</v>
      </c>
      <c r="O38" s="1270" t="e">
        <f ca="1">C32</f>
        <v>#DIV/0!</v>
      </c>
      <c r="P38" s="2029"/>
      <c r="V38" s="2029"/>
    </row>
    <row r="39" spans="1:26" ht="16.5" customHeight="1" thickBot="1">
      <c r="A39" s="1265"/>
      <c r="B39" s="308"/>
      <c r="C39" s="309"/>
      <c r="D39" s="309"/>
      <c r="E39" s="310"/>
      <c r="F39" s="311"/>
      <c r="G39" s="311"/>
      <c r="H39" s="311"/>
      <c r="I39" s="311"/>
      <c r="J39" s="2031"/>
      <c r="K39" s="3322" t="str">
        <f>MID(A44,3,LEN(A44)-2)</f>
        <v/>
      </c>
      <c r="L39" s="3323"/>
      <c r="M39" s="3323"/>
      <c r="N39" s="3324"/>
      <c r="O39" s="1392" t="str">
        <f>C44</f>
        <v>——</v>
      </c>
      <c r="P39" s="2029"/>
      <c r="V39" s="2029"/>
    </row>
    <row r="40" spans="1:26" ht="19.5" thickBot="1">
      <c r="A40" s="104" t="s">
        <v>873</v>
      </c>
      <c r="B40" s="311"/>
      <c r="C40" s="311"/>
      <c r="D40" s="311"/>
      <c r="E40" s="311"/>
      <c r="F40" s="311"/>
      <c r="G40" s="311"/>
      <c r="H40" s="311"/>
      <c r="I40" s="311"/>
      <c r="J40" s="2031"/>
      <c r="K40" s="3322" t="str">
        <f t="shared" ref="K40:K41" si="0">MID(A45,3,LEN(A45)-2)</f>
        <v/>
      </c>
      <c r="L40" s="3323"/>
      <c r="M40" s="3323"/>
      <c r="N40" s="3324"/>
      <c r="O40" s="1392" t="str">
        <f>C45</f>
        <v>——</v>
      </c>
      <c r="P40" s="2029"/>
      <c r="V40" s="2029"/>
    </row>
    <row r="41" spans="1:26" ht="16.5" thickBot="1">
      <c r="A41" s="312" t="s">
        <v>356</v>
      </c>
      <c r="B41" s="313"/>
      <c r="C41" s="314" t="s">
        <v>357</v>
      </c>
      <c r="D41" s="315" t="s">
        <v>358</v>
      </c>
      <c r="E41" s="315" t="s">
        <v>359</v>
      </c>
      <c r="F41" s="316" t="s">
        <v>360</v>
      </c>
      <c r="G41" s="311"/>
      <c r="H41" s="311"/>
      <c r="I41" s="311"/>
      <c r="J41" s="2031"/>
      <c r="K41" s="3322" t="str">
        <f t="shared" si="0"/>
        <v/>
      </c>
      <c r="L41" s="3323"/>
      <c r="M41" s="3323"/>
      <c r="N41" s="3324"/>
      <c r="O41" s="1392" t="str">
        <f>C46</f>
        <v>——</v>
      </c>
      <c r="P41" s="2029"/>
      <c r="V41" s="2029"/>
    </row>
    <row r="42" spans="1:26" ht="29.25">
      <c r="A42" s="3382" t="s">
        <v>2070</v>
      </c>
      <c r="B42" s="3383"/>
      <c r="C42" s="264" t="e">
        <f ca="1">C32</f>
        <v>#DIV/0!</v>
      </c>
      <c r="D42" s="317" t="e">
        <f ca="1">C33</f>
        <v>#DIV/0!</v>
      </c>
      <c r="E42" s="317" t="e">
        <f ca="1">C34</f>
        <v>#DIV/0!</v>
      </c>
      <c r="F42" s="318" t="e">
        <f ca="1">C35</f>
        <v>#DIV/0!</v>
      </c>
      <c r="G42" s="311"/>
      <c r="H42" s="311"/>
      <c r="I42" s="319"/>
      <c r="J42" s="2031"/>
      <c r="K42" s="1271" t="s">
        <v>361</v>
      </c>
      <c r="L42" s="2048" t="s">
        <v>362</v>
      </c>
      <c r="M42" s="1272" t="s">
        <v>363</v>
      </c>
      <c r="N42" s="2049" t="s">
        <v>364</v>
      </c>
      <c r="O42" s="2050" t="s">
        <v>365</v>
      </c>
      <c r="P42" s="2029"/>
      <c r="V42" s="2029"/>
    </row>
    <row r="43" spans="1:26" ht="30">
      <c r="A43" s="3392" t="s">
        <v>2733</v>
      </c>
      <c r="B43" s="3393"/>
      <c r="C43" s="264">
        <f>IF(H33="正常操作",G33+G34+G35,G34+G35)</f>
        <v>0</v>
      </c>
      <c r="D43" s="317" t="s">
        <v>43</v>
      </c>
      <c r="E43" s="317" t="s">
        <v>44</v>
      </c>
      <c r="F43" s="318" t="s">
        <v>44</v>
      </c>
      <c r="G43" s="2867" t="s">
        <v>952</v>
      </c>
      <c r="H43" s="311"/>
      <c r="I43" s="319"/>
      <c r="J43" s="2031"/>
      <c r="K43" s="1273" t="str">
        <f>C4</f>
        <v>剩余法-待开发</v>
      </c>
      <c r="L43" s="1274">
        <f ca="1">IF(L42="估价结果/万元",C19,C20)</f>
        <v>21763</v>
      </c>
      <c r="M43" s="1275" t="e">
        <f>C18</f>
        <v>#DIV/0!</v>
      </c>
      <c r="N43" s="1276" t="e">
        <f ca="1">IF(N42="测算结果/万元",G19,G20)</f>
        <v>#DIV/0!</v>
      </c>
      <c r="O43" s="1277" t="e">
        <f ca="1">IF(O42="最终结果/万元",C32,C33)</f>
        <v>#DIV/0!</v>
      </c>
      <c r="P43" s="2029"/>
      <c r="V43" s="2029"/>
    </row>
    <row r="44" spans="1:26" ht="30.75" thickBot="1">
      <c r="A44" s="3382" t="str">
        <f>IF(OR(项目基本情况!E8="抵押价格",项目基本情况!E8="已注销及未注销"),"3.抵押价格","——")</f>
        <v>——</v>
      </c>
      <c r="B44" s="3383"/>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剩余法-四合院</v>
      </c>
      <c r="L44" s="1279">
        <f ca="1">IF(L42="估价结果/万元",D19,D20)</f>
        <v>-7510.7909309408897</v>
      </c>
      <c r="M44" s="1280" t="e">
        <f>D18</f>
        <v>#DIV/0!</v>
      </c>
      <c r="N44" s="1281"/>
      <c r="O44" s="1282"/>
      <c r="P44" s="2029"/>
      <c r="V44" s="2029"/>
    </row>
    <row r="45" spans="1:26" ht="15">
      <c r="A45" s="3387" t="str">
        <f>IF(项目基本情况!E8="已注销及未注销","4.抵押担保权已注销时的抵押价格",IF(项目基本情况!E8="已注销","3.抵押担保权已注销时的抵押价格","——"))</f>
        <v>——</v>
      </c>
      <c r="B45" s="338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84" t="str">
        <f>IF(项目基本情况!E9="抵押净值",IF(A45="——","4.抵押净值","5.抵押净值"),"——")</f>
        <v>——</v>
      </c>
      <c r="B46" s="338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0" t="s">
        <v>374</v>
      </c>
      <c r="B63" s="3351"/>
      <c r="C63" s="3352"/>
      <c r="D63" s="341" t="e">
        <f ca="1">ROUND(C42*F63,0)</f>
        <v>#DIV/0!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89" t="s">
        <v>378</v>
      </c>
      <c r="B64" s="3390"/>
      <c r="C64" s="3390"/>
      <c r="D64" s="3390"/>
      <c r="E64" s="3390"/>
      <c r="F64" s="3390"/>
      <c r="G64" s="3391"/>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86" t="s">
        <v>386</v>
      </c>
      <c r="B66" s="3357"/>
      <c r="C66" s="3357"/>
      <c r="D66" s="261" t="e">
        <f ca="1">IF(H66="情况1",0,IF(H66="情况2",D70,IF(H66="情况3",D71,IF(H66="情况4",D72))))</f>
        <v>#DIV/0!</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26" t="s">
        <v>385</v>
      </c>
      <c r="M66" s="3327"/>
      <c r="N66" s="2459"/>
      <c r="O66" s="2460"/>
      <c r="P66" s="2461"/>
      <c r="Q66" s="2029"/>
      <c r="R66" s="2029"/>
      <c r="S66" s="2029"/>
      <c r="T66" s="2029"/>
      <c r="U66" s="2029"/>
      <c r="V66" s="2029"/>
    </row>
    <row r="67" spans="1:22" ht="25.5" customHeight="1">
      <c r="A67" s="352" t="s">
        <v>390</v>
      </c>
      <c r="B67" s="3369" t="s">
        <v>391</v>
      </c>
      <c r="C67" s="3369"/>
      <c r="D67" s="353">
        <v>0</v>
      </c>
      <c r="E67" s="41" t="s">
        <v>392</v>
      </c>
      <c r="F67" s="62" t="s">
        <v>21</v>
      </c>
      <c r="G67" s="3353"/>
      <c r="H67" s="311"/>
      <c r="I67" s="1292"/>
      <c r="J67" s="2036"/>
      <c r="K67" s="1977">
        <v>2</v>
      </c>
      <c r="L67" s="3325" t="s">
        <v>389</v>
      </c>
      <c r="M67" s="3325"/>
      <c r="N67" s="1325">
        <f>'数据-取费表'!B2</f>
        <v>43273</v>
      </c>
      <c r="O67" s="1325"/>
      <c r="P67" s="1325"/>
      <c r="Q67" s="2029"/>
      <c r="R67" s="2029"/>
      <c r="S67" s="2029"/>
      <c r="T67" s="2029"/>
      <c r="U67" s="2029"/>
      <c r="V67" s="2029"/>
    </row>
    <row r="68" spans="1:22" ht="25.5" customHeight="1">
      <c r="A68" s="354"/>
      <c r="B68" s="3369" t="s">
        <v>394</v>
      </c>
      <c r="C68" s="3369"/>
      <c r="D68" s="355"/>
      <c r="E68" s="77"/>
      <c r="F68" s="356"/>
      <c r="G68" s="3354"/>
      <c r="H68" s="311"/>
      <c r="I68" s="1292"/>
      <c r="J68" s="2036"/>
      <c r="K68" s="1977">
        <v>3</v>
      </c>
      <c r="L68" s="3325" t="s">
        <v>393</v>
      </c>
      <c r="M68" s="3325"/>
      <c r="N68" s="1293" t="e">
        <f ca="1">C42</f>
        <v>#DIV/0!</v>
      </c>
      <c r="O68" s="1293"/>
      <c r="P68" s="1293"/>
      <c r="Q68" s="2029"/>
      <c r="R68" s="2029"/>
      <c r="S68" s="2029"/>
      <c r="T68" s="2029"/>
      <c r="U68" s="2029"/>
      <c r="V68" s="2029"/>
    </row>
    <row r="69" spans="1:22" ht="12" customHeight="1">
      <c r="A69" s="357"/>
      <c r="B69" s="3369" t="s">
        <v>395</v>
      </c>
      <c r="C69" s="3369"/>
      <c r="D69" s="358"/>
      <c r="E69" s="73"/>
      <c r="F69" s="356"/>
      <c r="G69" s="3355"/>
      <c r="H69" s="311"/>
      <c r="I69" s="1292"/>
      <c r="J69" s="2036"/>
      <c r="K69" s="1294">
        <v>4</v>
      </c>
      <c r="L69" s="3331" t="s">
        <v>2885</v>
      </c>
      <c r="M69" s="3332"/>
      <c r="N69" s="1295" t="str">
        <f>C44</f>
        <v>——</v>
      </c>
      <c r="O69" s="1295"/>
      <c r="P69" s="1295"/>
      <c r="Q69" s="2029"/>
      <c r="R69" s="2029"/>
      <c r="S69" s="2029"/>
      <c r="T69" s="2029"/>
      <c r="U69" s="2029"/>
      <c r="V69" s="2029"/>
    </row>
    <row r="70" spans="1:22" ht="24" customHeight="1">
      <c r="A70" s="359" t="s">
        <v>396</v>
      </c>
      <c r="B70" s="3369" t="s">
        <v>397</v>
      </c>
      <c r="C70" s="3369"/>
      <c r="D70" s="358" t="e">
        <f ca="1">ROUND(D63*'数据-取费表'!B41/(1+'数据-取费表'!C42),0)</f>
        <v>#DIV/0!</v>
      </c>
      <c r="E70" s="17" t="s">
        <v>398</v>
      </c>
      <c r="F70" s="360">
        <f>'数据-取费表'!B41</f>
        <v>5.6000000000000001E-2</v>
      </c>
      <c r="G70" s="361"/>
      <c r="H70" s="311"/>
      <c r="I70" s="1292"/>
      <c r="J70" s="2036"/>
      <c r="K70" s="3063"/>
      <c r="L70" s="3064"/>
      <c r="M70" s="3064"/>
      <c r="N70" s="3065" t="s">
        <v>2890</v>
      </c>
      <c r="O70" s="3064"/>
      <c r="P70" s="3066"/>
      <c r="Q70" s="2029"/>
      <c r="R70" s="2029"/>
      <c r="S70" s="2029"/>
      <c r="T70" s="2029"/>
      <c r="U70" s="2029"/>
      <c r="V70" s="2029"/>
    </row>
    <row r="71" spans="1:22" ht="12" customHeight="1">
      <c r="A71" s="359" t="s">
        <v>404</v>
      </c>
      <c r="B71" s="3368" t="s">
        <v>405</v>
      </c>
      <c r="C71" s="3380"/>
      <c r="D71" s="358" t="e">
        <f ca="1">ROUND(D63*'数据-取费表'!B41/(1+'数据-取费表'!C42),0)</f>
        <v>#DIV/0!</v>
      </c>
      <c r="E71" s="17" t="s">
        <v>398</v>
      </c>
      <c r="F71" s="360">
        <f>'数据-取费表'!B41</f>
        <v>5.6000000000000001E-2</v>
      </c>
      <c r="G71" s="361"/>
      <c r="H71" s="311"/>
      <c r="I71" s="1292"/>
      <c r="J71" s="2036"/>
      <c r="K71" s="3062" t="s">
        <v>399</v>
      </c>
      <c r="L71" s="3333" t="s">
        <v>400</v>
      </c>
      <c r="M71" s="3333"/>
      <c r="N71" s="3062" t="s">
        <v>401</v>
      </c>
      <c r="O71" s="3062" t="s">
        <v>402</v>
      </c>
      <c r="P71" s="3062" t="s">
        <v>403</v>
      </c>
      <c r="Q71" s="2029"/>
      <c r="R71" s="2029"/>
      <c r="S71" s="2029"/>
      <c r="T71" s="2029"/>
      <c r="U71" s="2029"/>
      <c r="V71" s="2029"/>
    </row>
    <row r="72" spans="1:22" ht="12" customHeight="1">
      <c r="A72" s="359" t="s">
        <v>407</v>
      </c>
      <c r="B72" s="3368" t="s">
        <v>408</v>
      </c>
      <c r="C72" s="3380"/>
      <c r="D72" s="358" t="e">
        <f ca="1">C86</f>
        <v>#DIV/0!</v>
      </c>
      <c r="E72" s="73" t="s">
        <v>409</v>
      </c>
      <c r="F72" s="360">
        <f>'数据-取费表'!B41</f>
        <v>5.6000000000000001E-2</v>
      </c>
      <c r="G72" s="361"/>
      <c r="H72" s="1298"/>
      <c r="I72" s="1292"/>
      <c r="J72" s="2036"/>
      <c r="K72" s="1977">
        <v>1</v>
      </c>
      <c r="L72" s="3330" t="s">
        <v>406</v>
      </c>
      <c r="M72" s="3330"/>
      <c r="N72" s="1296" t="e">
        <f ca="1">D66</f>
        <v>#DIV/0!</v>
      </c>
      <c r="O72" s="1860" t="str">
        <f>E66</f>
        <v>销售额×税（费）率</v>
      </c>
      <c r="P72" s="1297">
        <f>F66</f>
        <v>5.6000000000000001E-2</v>
      </c>
      <c r="Q72" s="2029"/>
      <c r="R72" s="2029"/>
      <c r="S72" s="2029"/>
      <c r="T72" s="2029"/>
      <c r="U72" s="2029"/>
      <c r="V72" s="2029"/>
    </row>
    <row r="73" spans="1:22" ht="24" customHeight="1">
      <c r="A73" s="3356" t="s">
        <v>411</v>
      </c>
      <c r="B73" s="3357"/>
      <c r="C73" s="3357"/>
      <c r="D73" s="362">
        <f>IF(H73="个人住宅",0,ROUND(D63*I73,0))</f>
        <v>0</v>
      </c>
      <c r="E73" s="17" t="s">
        <v>412</v>
      </c>
      <c r="F73" s="360" t="str">
        <f>IF(H73="正常",I73,"免征")</f>
        <v>免征</v>
      </c>
      <c r="G73" s="361"/>
      <c r="H73" s="191" t="s">
        <v>2458</v>
      </c>
      <c r="I73" s="360">
        <f>'数据-取费表'!B49</f>
        <v>5.0000000000000001E-4</v>
      </c>
      <c r="J73" s="2036"/>
      <c r="K73" s="1977">
        <v>2</v>
      </c>
      <c r="L73" s="3330" t="s">
        <v>410</v>
      </c>
      <c r="M73" s="3330"/>
      <c r="N73" s="1296">
        <f t="shared" ref="N73:P74" si="1">D73</f>
        <v>0</v>
      </c>
      <c r="O73" s="1860" t="str">
        <f t="shared" si="1"/>
        <v>销售额×税（费）率</v>
      </c>
      <c r="P73" s="1297" t="str">
        <f t="shared" si="1"/>
        <v>免征</v>
      </c>
      <c r="Q73" s="2029"/>
      <c r="R73" s="2029"/>
      <c r="S73" s="2029"/>
      <c r="T73" s="2029"/>
      <c r="U73" s="2029"/>
      <c r="V73" s="2029"/>
    </row>
    <row r="74" spans="1:22" ht="24.75">
      <c r="A74" s="3356" t="s">
        <v>415</v>
      </c>
      <c r="B74" s="3357"/>
      <c r="C74" s="3357"/>
      <c r="D74" s="362" t="e">
        <f ca="1">IF(H74="个人住宅",D75,D76)</f>
        <v>#DIV/0!</v>
      </c>
      <c r="E74" s="17" t="s">
        <v>416</v>
      </c>
      <c r="F74" s="360" t="str">
        <f>IF(H74="正常",F76,"免征")</f>
        <v>——</v>
      </c>
      <c r="G74" s="983" t="s">
        <v>417</v>
      </c>
      <c r="H74" s="363" t="s">
        <v>413</v>
      </c>
      <c r="I74" s="42"/>
      <c r="J74" s="2036"/>
      <c r="K74" s="1977">
        <v>3</v>
      </c>
      <c r="L74" s="3330" t="s">
        <v>414</v>
      </c>
      <c r="M74" s="3330"/>
      <c r="N74" s="1296" t="e">
        <f t="shared" ca="1" si="1"/>
        <v>#DIV/0!</v>
      </c>
      <c r="O74" s="1860" t="str">
        <f t="shared" si="1"/>
        <v>增值额×税（费）率</v>
      </c>
      <c r="P74" s="1299" t="str">
        <f t="shared" si="1"/>
        <v>——</v>
      </c>
      <c r="Q74" s="2029"/>
      <c r="R74" s="2029"/>
      <c r="S74" s="2029"/>
      <c r="T74" s="2029"/>
      <c r="U74" s="2029"/>
      <c r="V74" s="2029"/>
    </row>
    <row r="75" spans="1:22" ht="24">
      <c r="A75" s="359" t="s">
        <v>418</v>
      </c>
      <c r="B75" s="3337" t="s">
        <v>419</v>
      </c>
      <c r="C75" s="3338"/>
      <c r="D75" s="364">
        <v>0</v>
      </c>
      <c r="E75" s="41" t="s">
        <v>420</v>
      </c>
      <c r="F75" s="365"/>
      <c r="G75" s="361"/>
      <c r="H75" s="42"/>
      <c r="I75" s="42"/>
      <c r="J75" s="2036"/>
      <c r="K75" s="3055">
        <f>IF(H77="非个人房产","",4)</f>
        <v>4</v>
      </c>
      <c r="L75" s="3330" t="str">
        <f>IF(H77="非个人房产","——","个人所得税")</f>
        <v>个人所得税</v>
      </c>
      <c r="M75" s="3330"/>
      <c r="N75" s="1300" t="e">
        <f ca="1">D77</f>
        <v>#DIV/0!</v>
      </c>
      <c r="O75" s="1873" t="str">
        <f>E77</f>
        <v>销售额×税（费）率</v>
      </c>
      <c r="P75" s="1301">
        <f>F77</f>
        <v>0.01</v>
      </c>
      <c r="Q75" s="2029"/>
      <c r="R75" s="2029"/>
      <c r="S75" s="2029"/>
      <c r="T75" s="2029"/>
      <c r="U75" s="2029"/>
      <c r="V75" s="2029"/>
    </row>
    <row r="76" spans="1:22" ht="24.75">
      <c r="A76" s="359" t="s">
        <v>396</v>
      </c>
      <c r="B76" s="3337" t="s">
        <v>422</v>
      </c>
      <c r="C76" s="3379"/>
      <c r="D76" s="362" t="e">
        <f ca="1">IF(H76="转让取得",C99,C115)</f>
        <v>#DIV/0!</v>
      </c>
      <c r="E76" s="17" t="s">
        <v>423</v>
      </c>
      <c r="F76" s="53" t="s">
        <v>21</v>
      </c>
      <c r="G76" s="361"/>
      <c r="H76" s="363" t="s">
        <v>424</v>
      </c>
      <c r="I76" s="42"/>
      <c r="J76" s="2036"/>
      <c r="K76" s="3055" t="str">
        <f>IF(项目基本情况!K6="上海银行",IF(K75="",4,K75+1),"")</f>
        <v/>
      </c>
      <c r="L76" s="3318" t="str">
        <f>IF(项目基本情况!K6="上海银行","其他处置费用","")</f>
        <v/>
      </c>
      <c r="M76" s="3319"/>
      <c r="N76" s="1296" t="str">
        <f>IF(项目基本情况!K6="上海银行",N89,"")</f>
        <v/>
      </c>
      <c r="O76" s="3320" t="str">
        <f>IF(项目基本情况!K6="上海银行","包含处置中涉及的律师、诉讼、拍卖、评估等费用","")</f>
        <v/>
      </c>
      <c r="P76" s="3321"/>
      <c r="Q76" s="2029"/>
      <c r="R76" s="2029"/>
      <c r="S76" s="2029"/>
      <c r="T76" s="2029"/>
      <c r="U76" s="2029"/>
      <c r="V76" s="2029"/>
    </row>
    <row r="77" spans="1:22" ht="26.25" thickBot="1">
      <c r="A77" s="3348" t="s">
        <v>426</v>
      </c>
      <c r="B77" s="3349"/>
      <c r="C77" s="3349"/>
      <c r="D77" s="366" t="e">
        <f ca="1">IF(H77="非个人房产","——",IF(H77="个人住宅",0,ROUND(D63*I77,0)))</f>
        <v>#DIV/0!</v>
      </c>
      <c r="E77" s="367" t="str">
        <f>IF(H77="非个人房产","——","销售额×税（费）率")</f>
        <v>销售额×税（费）率</v>
      </c>
      <c r="F77" s="368">
        <f>IF(H77="非个人房产","——",IF(H77="个人住宅","免征",I77))</f>
        <v>0.01</v>
      </c>
      <c r="G77" s="984" t="s">
        <v>417</v>
      </c>
      <c r="H77" s="363" t="s">
        <v>2886</v>
      </c>
      <c r="I77" s="369">
        <v>0.01</v>
      </c>
      <c r="J77" s="2036"/>
      <c r="K77" s="3344">
        <f>IF(AND(K75="",K76=""),4,IF(项目基本情况!K6="上海银行",K76+1,K75+1))</f>
        <v>5</v>
      </c>
      <c r="L77" s="3330" t="s">
        <v>2887</v>
      </c>
      <c r="M77" s="3061" t="s">
        <v>421</v>
      </c>
      <c r="N77" s="1302"/>
      <c r="O77" s="1303">
        <f ca="1">SUMIF(N72:N76,"&lt;9e307")</f>
        <v>0</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44"/>
      <c r="L78" s="3330"/>
      <c r="M78" s="3061" t="s">
        <v>425</v>
      </c>
      <c r="N78" s="1302"/>
      <c r="O78" s="1303" t="str">
        <f ca="1">NUMBERSTRING(INT(O77*10000),2)&amp;"元整"</f>
        <v>零元整</v>
      </c>
      <c r="P78" s="1304"/>
      <c r="Q78" s="2029"/>
      <c r="R78" s="2029"/>
      <c r="S78" s="2029"/>
      <c r="T78" s="2029"/>
      <c r="U78" s="2029"/>
      <c r="V78" s="2029"/>
    </row>
    <row r="79" spans="1:22" ht="13.5" thickBot="1">
      <c r="A79" s="3334" t="s">
        <v>427</v>
      </c>
      <c r="B79" s="3334"/>
      <c r="C79" s="3334"/>
      <c r="D79" s="3334"/>
      <c r="E79" s="3334"/>
      <c r="F79" s="42"/>
      <c r="G79" s="42"/>
      <c r="H79" s="1003"/>
      <c r="I79" s="311"/>
      <c r="J79" s="2036"/>
      <c r="K79" s="3328">
        <f>K77+1</f>
        <v>6</v>
      </c>
      <c r="L79" s="3330" t="s">
        <v>2888</v>
      </c>
      <c r="M79" s="3061" t="s">
        <v>421</v>
      </c>
      <c r="N79" s="1302"/>
      <c r="O79" s="1303" t="e">
        <f ca="1">N69-O77</f>
        <v>#VALUE!</v>
      </c>
      <c r="P79" s="1304"/>
      <c r="Q79" s="2029"/>
      <c r="R79" s="2029"/>
      <c r="S79" s="2029"/>
      <c r="T79" s="2029"/>
      <c r="U79" s="2029"/>
      <c r="V79" s="2029"/>
    </row>
    <row r="80" spans="1:22" ht="12.75">
      <c r="A80" s="3335" t="s">
        <v>428</v>
      </c>
      <c r="B80" s="3336"/>
      <c r="C80" s="994"/>
      <c r="D80" s="994" t="s">
        <v>429</v>
      </c>
      <c r="E80" s="370" t="s">
        <v>430</v>
      </c>
      <c r="F80" s="42"/>
      <c r="G80" s="42"/>
      <c r="H80" s="1003"/>
      <c r="I80" s="311"/>
      <c r="J80" s="2029"/>
      <c r="K80" s="3329"/>
      <c r="L80" s="3330"/>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t="e">
        <f ca="1">ROUND((C82+C83)/(1+'数据-取费表'!C42),0)</f>
        <v>#DIV/0!</v>
      </c>
      <c r="D81" s="373"/>
      <c r="E81" s="374"/>
      <c r="F81" s="42"/>
      <c r="G81" s="42"/>
      <c r="H81" s="1003"/>
      <c r="I81" s="311"/>
      <c r="J81" s="2029"/>
      <c r="K81" s="3055">
        <f>K79+1</f>
        <v>7</v>
      </c>
      <c r="L81" s="3342" t="s">
        <v>2889</v>
      </c>
      <c r="M81" s="3343"/>
      <c r="N81" s="1306"/>
      <c r="O81" s="1307" t="e">
        <f ca="1">ROUND(O79*10000/'数据-汇总表'!E3,0)</f>
        <v>#VALUE!</v>
      </c>
      <c r="P81" s="1308"/>
      <c r="Q81" s="2029"/>
      <c r="R81" s="2029"/>
      <c r="S81" s="2029"/>
      <c r="T81" s="2029"/>
      <c r="U81" s="2029"/>
      <c r="V81" s="2029"/>
    </row>
    <row r="82" spans="1:26" ht="13.5" thickTop="1">
      <c r="A82" s="375" t="s">
        <v>1825</v>
      </c>
      <c r="B82" s="376" t="s">
        <v>432</v>
      </c>
      <c r="C82" s="377" t="e">
        <f ca="1">D63</f>
        <v>#DIV/0!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17"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2944</v>
      </c>
      <c r="F84" s="42"/>
      <c r="G84" s="42"/>
      <c r="H84" s="1003"/>
      <c r="I84" s="311"/>
      <c r="J84" s="2029"/>
      <c r="K84" s="3317"/>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1828</v>
      </c>
      <c r="B85" s="382" t="s">
        <v>435</v>
      </c>
      <c r="C85" s="385" t="e">
        <f ca="1">C81-C84</f>
        <v>#DIV/0!</v>
      </c>
      <c r="D85" s="378" t="s">
        <v>19</v>
      </c>
      <c r="E85" s="379"/>
      <c r="F85" s="42"/>
      <c r="G85" s="42"/>
      <c r="H85" s="1003"/>
      <c r="I85" s="311"/>
      <c r="J85" s="2029"/>
      <c r="K85" s="3317"/>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1829</v>
      </c>
      <c r="B86" s="387" t="s">
        <v>436</v>
      </c>
      <c r="C86" s="388" t="e">
        <f ca="1">IF(C85&lt;=0,0,ROUND(C85*D86,0))</f>
        <v>#DIV/0!</v>
      </c>
      <c r="D86" s="389">
        <f>'数据-取费表'!B41</f>
        <v>5.6000000000000001E-2</v>
      </c>
      <c r="E86" s="390"/>
      <c r="F86" s="42"/>
      <c r="G86" s="42"/>
      <c r="H86" s="1003"/>
      <c r="I86" s="311"/>
      <c r="J86" s="2029"/>
      <c r="K86" s="3317"/>
      <c r="L86" s="3067" t="s">
        <v>2881</v>
      </c>
      <c r="M86" s="3057" t="e">
        <f>N69*0.5%</f>
        <v>#VALUE!</v>
      </c>
      <c r="N86" s="53" t="e">
        <f>IF(M86&gt;0.5,0.5,ROUND(M86,0))</f>
        <v>#VALUE!</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17"/>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71" t="s">
        <v>437</v>
      </c>
      <c r="B88" s="3372"/>
      <c r="C88" s="3372"/>
      <c r="D88" s="3372"/>
      <c r="E88" s="3372"/>
      <c r="F88" s="3372"/>
      <c r="G88" s="3372"/>
      <c r="H88" s="3372"/>
      <c r="I88" s="1315"/>
      <c r="J88" s="2037"/>
      <c r="K88" s="3317"/>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35" t="s">
        <v>428</v>
      </c>
      <c r="B89" s="3336"/>
      <c r="C89" s="994"/>
      <c r="D89" s="994" t="s">
        <v>429</v>
      </c>
      <c r="E89" s="391" t="s">
        <v>438</v>
      </c>
      <c r="F89" s="392"/>
      <c r="G89" s="392"/>
      <c r="H89" s="393"/>
      <c r="I89" s="1316"/>
      <c r="J89" s="2039"/>
      <c r="K89" s="3317"/>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t="e">
        <f ca="1">ROUND(D63/(1+'数据-取费表'!C42),0)</f>
        <v>#DIV/0!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t="e">
        <f ca="1">C92+C96</f>
        <v>#DIV/0!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68" t="s">
        <v>447</v>
      </c>
      <c r="F94" s="3369"/>
      <c r="G94" s="3369"/>
      <c r="H94" s="3370"/>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t="e">
        <f ca="1">ROUND(D63*D96/(1+'数据-取费表'!C42),0)</f>
        <v>#DIV/0!</v>
      </c>
      <c r="D96" s="406">
        <f>'数据-取费表'!B43</f>
        <v>6.000000000000001E-3</v>
      </c>
      <c r="E96" s="3358" t="s">
        <v>2431</v>
      </c>
      <c r="F96" s="3359"/>
      <c r="G96" s="3359"/>
      <c r="H96" s="336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t="e">
        <f ca="1">C90-C91</f>
        <v>#DIV/0!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t="e">
        <f ca="1">IF(C97&lt;=0,0,C97/C91)</f>
        <v>#DIV/0!</v>
      </c>
      <c r="D98" s="378" t="s">
        <v>19</v>
      </c>
      <c r="E98" s="26" t="e">
        <f ca="1">IF(C98&gt;=200%,"增值额超过扣除项目金额200%",IF(C98&gt;=100%,"增值额超过扣除项目金额100%，未超过200%",IF(C98&gt;=50%,"增值额超过扣除项目金额50%，未超过100%",IF(C98&lt;50%,"增值额未超过扣除项目金额50%"))))</f>
        <v>#DIV/0!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t="e">
        <f ca="1">ROUND(IF(C97&lt;=0,0,IF(C98&gt;=200%,C97*60%-C91*35%,IF(C98&gt;=100%,C97*50%-C91*15%,IF(C98&gt;=50%,C97*40%-C91*5%,IF(C98&lt;50%,C97*30%,0))))),0)</f>
        <v>#DIV/0!</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71" t="s">
        <v>454</v>
      </c>
      <c r="B101" s="3372"/>
      <c r="C101" s="3372"/>
      <c r="D101" s="3372"/>
      <c r="E101" s="3372"/>
      <c r="F101" s="3372"/>
      <c r="G101" s="3372"/>
      <c r="H101" s="337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5" t="s">
        <v>428</v>
      </c>
      <c r="B102" s="3336"/>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t="e">
        <f ca="1">ROUND(D63/(1+'数据-取费表'!C42),0)</f>
        <v>#DIV/0!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t="e">
        <f ca="1">IF(H106="仅含出让金",C105+C108+C109+C110+C111+C112,C105+C109+C110+C111+C112)</f>
        <v>#DIV/0!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61" t="s">
        <v>462</v>
      </c>
      <c r="F109" s="3359"/>
      <c r="G109" s="3359"/>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61" t="s">
        <v>464</v>
      </c>
      <c r="F110" s="3359"/>
      <c r="G110" s="3359"/>
      <c r="H110" s="336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t="e">
        <f ca="1">ROUND(D63*D111/(1+'数据-取费表'!C42),0)</f>
        <v>#DIV/0!</v>
      </c>
      <c r="D111" s="406">
        <f>'数据-取费表'!B43</f>
        <v>6.000000000000001E-3</v>
      </c>
      <c r="E111" s="3358" t="s">
        <v>2431</v>
      </c>
      <c r="F111" s="3359"/>
      <c r="G111" s="3359"/>
      <c r="H111" s="336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61" t="s">
        <v>2456</v>
      </c>
      <c r="F112" s="3359"/>
      <c r="G112" s="3359"/>
      <c r="H112" s="336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t="e">
        <f ca="1">ROUND(C103-C104,0)</f>
        <v>#DIV/0!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t="e">
        <f ca="1">IF(C113&lt;=0,0,C113/C104)</f>
        <v>#DIV/0!</v>
      </c>
      <c r="D114" s="378" t="s">
        <v>19</v>
      </c>
      <c r="E114" s="26" t="e">
        <f ca="1">IF(C114&gt;=200%,"增值额超过扣除项目金额200%",IF(C114&gt;=100%,"增值额超过扣除项目金额100%，未超过200%",IF(C114&gt;=50%,"增值额超过扣除项目金额50%，未超过100%",IF(C114&lt;50%,"增值额未超过扣除项目金额50%"))))</f>
        <v>#DIV/0!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t="e">
        <f ca="1">ROUND(IF(C113&lt;=0,0,IF(C114&gt;=200%,C113*60%-C104*35%,IF(C114&gt;=100%,C113*50%-C104*15%,IF(C114&gt;=50%,C113*40%-C104*5%,IF(C114&lt;50%,C113*30%,0))))),0)</f>
        <v>#DIV/0!</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11" sqref="C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1678</v>
      </c>
      <c r="C1" s="2105"/>
      <c r="D1" s="2105"/>
      <c r="E1" s="2105"/>
      <c r="F1" s="2105"/>
      <c r="G1" s="2105"/>
      <c r="H1" s="2105"/>
      <c r="I1" s="2105"/>
      <c r="J1" s="2105"/>
      <c r="K1" s="422">
        <f>MATCH(B1,'数据-取费表'!A6:A16,0)+5</f>
        <v>6</v>
      </c>
    </row>
    <row r="2" spans="1:31" s="2042" customFormat="1" ht="18" customHeight="1">
      <c r="A2" s="2102" t="s">
        <v>467</v>
      </c>
      <c r="B2" s="2106">
        <f ca="1">C36</f>
        <v>21763</v>
      </c>
      <c r="C2" s="2105"/>
      <c r="D2" s="2105"/>
      <c r="E2" s="2105"/>
      <c r="F2" s="2105"/>
      <c r="G2" s="2105"/>
      <c r="H2" s="2105"/>
      <c r="I2" s="2105"/>
      <c r="J2" s="2105"/>
      <c r="K2" s="2105"/>
    </row>
    <row r="3" spans="1:31" s="2042" customFormat="1" ht="18" customHeight="1">
      <c r="A3" s="2107" t="s">
        <v>1685</v>
      </c>
      <c r="B3" s="2108">
        <f ca="1">ROUND(B2*10000/IF(B1="",'数据-汇总表'!E3,INDIRECT("'数据-取费表'!K"&amp;$K$1)),0)</f>
        <v>21763</v>
      </c>
      <c r="C3" s="2105"/>
      <c r="D3" s="2105"/>
      <c r="E3" s="2105"/>
      <c r="F3" s="2105"/>
      <c r="G3" s="2105"/>
      <c r="H3" s="2105"/>
      <c r="I3" s="2105"/>
      <c r="J3" s="2105"/>
      <c r="K3" s="2105"/>
    </row>
    <row r="4" spans="1:31" s="2042" customFormat="1" ht="18" customHeight="1">
      <c r="A4" s="426" t="s">
        <v>468</v>
      </c>
      <c r="B4" s="427">
        <f ca="1">ROUND(B2*10000/IF(B1="",'数据-汇总表'!D3,INDIRECT("'数据-取费表'!R"&amp;$K$1)),0)</f>
        <v>268712</v>
      </c>
      <c r="C4" s="428"/>
      <c r="D4" s="422"/>
      <c r="E4" s="422"/>
      <c r="F4" s="422"/>
      <c r="G4" s="422"/>
      <c r="H4" s="422"/>
      <c r="I4" s="422"/>
      <c r="J4" s="422"/>
      <c r="K4" s="422"/>
    </row>
    <row r="5" spans="1:31" s="2042" customFormat="1" ht="18" customHeight="1" thickBot="1">
      <c r="A5" s="429"/>
      <c r="B5" s="430">
        <f ca="1">ROUND(B2/(IF(B1="",'数据-汇总表'!D3,INDIRECT("'数据-取费表'!R"&amp;$K$1))/666.67),0)</f>
        <v>17914</v>
      </c>
      <c r="C5" s="431" t="s">
        <v>469</v>
      </c>
      <c r="D5" s="422"/>
      <c r="E5" s="422"/>
      <c r="F5" s="422"/>
      <c r="G5" s="422"/>
      <c r="H5" s="422"/>
      <c r="I5" s="422"/>
      <c r="J5" s="422"/>
      <c r="K5" s="422"/>
    </row>
    <row r="6" spans="1:31" s="2112" customFormat="1" ht="16.5" customHeight="1">
      <c r="A6" s="2829" t="s">
        <v>1843</v>
      </c>
      <c r="B6" s="2830"/>
      <c r="C6" s="2831">
        <f>SUM(C10:K10)</f>
        <v>33660</v>
      </c>
      <c r="D6" s="2830"/>
      <c r="E6" s="2830"/>
      <c r="F6" s="2830"/>
      <c r="G6" s="2830"/>
      <c r="H6" s="2830"/>
      <c r="I6" s="2830"/>
      <c r="J6" s="2830"/>
      <c r="K6" s="2832"/>
    </row>
    <row r="7" spans="1:31" s="2114" customFormat="1" ht="15">
      <c r="A7" s="2833" t="s">
        <v>470</v>
      </c>
      <c r="B7" s="2834" t="s">
        <v>471</v>
      </c>
      <c r="C7" s="436" t="s">
        <v>1678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10000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ROUND('不动产比较法-办公'!C50,0)</f>
        <v>33660</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'数据-取费表'!M6</f>
        <v>1800</v>
      </c>
      <c r="D13" s="2845"/>
      <c r="E13" s="2846"/>
      <c r="F13" s="2847"/>
      <c r="G13" s="2813"/>
      <c r="H13" s="2814"/>
      <c r="I13" s="2814"/>
      <c r="J13" s="2814"/>
      <c r="K13" s="2815"/>
    </row>
    <row r="14" spans="1:31" s="2117" customFormat="1" ht="13.5" customHeight="1">
      <c r="A14" s="2843" t="s">
        <v>1850</v>
      </c>
      <c r="B14" s="2844" t="s">
        <v>480</v>
      </c>
      <c r="C14" s="53">
        <f>ROUND(C13*F14,0)</f>
        <v>54</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27</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2081</v>
      </c>
      <c r="D18" s="2854"/>
      <c r="E18" s="468"/>
      <c r="F18" s="468"/>
      <c r="G18" s="2817" t="s">
        <v>2433</v>
      </c>
      <c r="H18" s="2818"/>
      <c r="I18" s="2818"/>
      <c r="J18" s="2818"/>
      <c r="K18" s="2819"/>
    </row>
    <row r="19" spans="1:14" s="2117" customFormat="1" ht="13.5" customHeight="1">
      <c r="A19" s="2851" t="s">
        <v>1855</v>
      </c>
      <c r="B19" s="2852" t="s">
        <v>488</v>
      </c>
      <c r="C19" s="2809">
        <f ca="1">ROUND(D19*E19/10000,0)</f>
        <v>0</v>
      </c>
      <c r="D19" s="2855">
        <f ca="1">D16</f>
        <v>10000</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200</v>
      </c>
      <c r="D20" s="2855"/>
      <c r="E20" s="2809"/>
      <c r="F20" s="2856"/>
      <c r="G20" s="3090"/>
      <c r="H20" s="2811"/>
      <c r="I20" s="2812" t="s">
        <v>2654</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160</v>
      </c>
      <c r="F21" s="2848"/>
      <c r="G21" s="26"/>
      <c r="H21" s="51"/>
      <c r="I21" s="51"/>
      <c r="J21" s="51"/>
      <c r="K21" s="2820"/>
    </row>
    <row r="22" spans="1:14" s="2117" customFormat="1" ht="13.5" customHeight="1">
      <c r="A22" s="2843" t="s">
        <v>1858</v>
      </c>
      <c r="B22" s="2844" t="s">
        <v>492</v>
      </c>
      <c r="C22" s="53">
        <f ca="1">ROUND(D22*E22/10000,0)</f>
        <v>200</v>
      </c>
      <c r="D22" s="2845">
        <f ca="1">IF(B1="",'数据-汇总表'!E6,IF(INDIRECT("'数据-取费表'!c"&amp;$K$1)="住宅",INDIRECT("'数据-取费表'!s"&amp;$K$1),INDIRECT("'数据-取费表'!k"&amp;$K$1)+INDIRECT("'数据-取费表'!s"&amp;$K$1)))</f>
        <v>10000</v>
      </c>
      <c r="E22" s="53">
        <f>'数据-取费表'!B28</f>
        <v>200</v>
      </c>
      <c r="F22" s="2848"/>
      <c r="G22" s="26"/>
      <c r="H22" s="51"/>
      <c r="I22" s="51"/>
      <c r="J22" s="51"/>
      <c r="K22" s="2820"/>
    </row>
    <row r="23" spans="1:14" s="2117" customFormat="1" ht="13.5" customHeight="1">
      <c r="A23" s="2851" t="s">
        <v>1859</v>
      </c>
      <c r="B23" s="3036" t="s">
        <v>2836</v>
      </c>
      <c r="C23" s="2853">
        <f ca="1">ROUND((C18+C19+C20)*F23,0)</f>
        <v>46</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673</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143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143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1795</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4938</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4938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450</v>
      </c>
      <c r="D33" s="467">
        <f ca="1">C34</f>
        <v>0.15440000000000001</v>
      </c>
      <c r="E33" s="469" t="s">
        <v>495</v>
      </c>
      <c r="F33" s="479">
        <f ca="1">IF(B1="",'数据-取费表'!Q16,INDIRECT("'数据-取费表'!q"&amp;$K$1))</f>
        <v>0.15</v>
      </c>
      <c r="G33" s="2817"/>
      <c r="H33" s="2818"/>
      <c r="I33" s="2818"/>
      <c r="J33" s="2818"/>
      <c r="K33" s="2819"/>
    </row>
    <row r="34" spans="1:11" s="2124" customFormat="1" ht="13.5" customHeight="1">
      <c r="A34" s="375" t="s">
        <v>1857</v>
      </c>
      <c r="B34" s="2864" t="s">
        <v>501</v>
      </c>
      <c r="C34" s="472">
        <f ca="1">ROUND((1+C25)*F33,4)</f>
        <v>0.15440000000000001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450</v>
      </c>
      <c r="D35" s="1629"/>
      <c r="E35" s="2865"/>
      <c r="F35" s="1630"/>
      <c r="G35" s="2823"/>
      <c r="H35" s="2824"/>
      <c r="I35" s="2824"/>
      <c r="J35" s="2824"/>
      <c r="K35" s="2825"/>
    </row>
    <row r="36" spans="1:11" s="2086" customFormat="1" ht="13.5" customHeight="1" thickBot="1">
      <c r="A36" s="284" t="s">
        <v>1845</v>
      </c>
      <c r="B36" s="2827"/>
      <c r="C36" s="2866">
        <f ca="1">ROUND((C6-C30-C33)/(1+D30+D33)*F36,0)</f>
        <v>21763</v>
      </c>
      <c r="D36" s="3185" t="s">
        <v>2989</v>
      </c>
      <c r="E36" s="2827"/>
      <c r="F36" s="2827">
        <f ca="1">基准地价!C20</f>
        <v>0.98799999999999999</v>
      </c>
      <c r="G36" s="2826" t="s">
        <v>2842</v>
      </c>
      <c r="H36" s="2827"/>
      <c r="I36" s="2827"/>
      <c r="J36" s="2827"/>
      <c r="K36" s="2828"/>
    </row>
    <row r="38"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C32" sqref="C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-7632.2013652133519</v>
      </c>
      <c r="C2" s="2105"/>
      <c r="D2" s="2105"/>
      <c r="E2" s="2105"/>
      <c r="F2" s="2105"/>
      <c r="G2" s="2105"/>
      <c r="H2" s="2105"/>
      <c r="I2" s="2105"/>
      <c r="J2" s="2105"/>
      <c r="K2" s="2105"/>
    </row>
    <row r="3" spans="1:41" s="2042" customFormat="1" ht="18" customHeight="1">
      <c r="A3" s="1379" t="s">
        <v>1685</v>
      </c>
      <c r="B3" s="425">
        <f ca="1">ROUND(B2*10000/IF(B1="",'数据-汇总表'!E3,INDIRECT("'数据-取费表'!K"&amp;$K$1)),0)</f>
        <v>-2753</v>
      </c>
      <c r="C3" s="2105"/>
      <c r="D3" s="2105"/>
      <c r="E3" s="2105"/>
      <c r="F3" s="2105"/>
      <c r="G3" s="2105"/>
      <c r="H3" s="2105"/>
      <c r="I3" s="2105"/>
      <c r="J3" s="2105"/>
      <c r="K3" s="2105"/>
    </row>
    <row r="4" spans="1:41" s="2042" customFormat="1" ht="18" customHeight="1">
      <c r="A4" s="426" t="s">
        <v>468</v>
      </c>
      <c r="B4" s="427">
        <f ca="1">ROUND(B2*10000/IF(B1="",'数据-汇总表'!D3,INDIRECT("'数据-取费表'!R"&amp;$K$1)),0)</f>
        <v>-33996</v>
      </c>
      <c r="C4" s="2062"/>
      <c r="D4" s="2105"/>
      <c r="E4" s="2105"/>
      <c r="F4" s="2105"/>
      <c r="G4" s="2105"/>
      <c r="H4" s="2105"/>
      <c r="I4" s="2105"/>
      <c r="J4" s="2105"/>
      <c r="K4" s="2105"/>
    </row>
    <row r="5" spans="1:41" s="2042" customFormat="1" ht="18" customHeight="1" thickBot="1">
      <c r="A5" s="429"/>
      <c r="B5" s="430">
        <f ca="1">ROUND(B2/(IF(B1="",'数据-汇总表'!D3,INDIRECT("'数据-取费表'!R"&amp;$K$1))/666.67),0)</f>
        <v>-2266</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6298</v>
      </c>
      <c r="D13" s="451"/>
      <c r="E13" s="365"/>
      <c r="F13" s="452"/>
      <c r="G13" s="444"/>
      <c r="H13" s="447"/>
      <c r="I13" s="447"/>
      <c r="J13" s="447"/>
      <c r="K13" s="448"/>
    </row>
    <row r="14" spans="1:41" s="2117" customFormat="1" ht="13.5" customHeight="1">
      <c r="A14" s="1633" t="s">
        <v>1850</v>
      </c>
      <c r="B14" s="449" t="s">
        <v>480</v>
      </c>
      <c r="C14" s="53">
        <f ca="1">ROUND(C13*F14,0)</f>
        <v>189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7415</v>
      </c>
      <c r="D18" s="461"/>
      <c r="E18" s="462"/>
      <c r="F18" s="462"/>
      <c r="G18" s="1327" t="s">
        <v>2435</v>
      </c>
      <c r="H18" s="447"/>
      <c r="I18" s="447"/>
      <c r="J18" s="447"/>
      <c r="K18" s="448"/>
    </row>
    <row r="19" spans="1:14" s="2120" customFormat="1" ht="13.5" customHeight="1">
      <c r="A19" s="1634" t="s">
        <v>1855</v>
      </c>
      <c r="B19" s="459" t="s">
        <v>493</v>
      </c>
      <c r="C19" s="460">
        <f ca="1">ROUND(C18*F19,0)</f>
        <v>148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359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359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2834</v>
      </c>
      <c r="C24" s="478">
        <f ca="1">C25</f>
        <v>1059</v>
      </c>
      <c r="D24" s="489">
        <f ca="1">C26</f>
        <v>2.8E-3</v>
      </c>
      <c r="E24" s="469" t="s">
        <v>507</v>
      </c>
      <c r="F24" s="479">
        <f ca="1">IF(B1="",'数据-取费表'!Q16,INDIRECT("'数据-取费表'!q"&amp;$K$1))</f>
        <v>0.14000000000000001</v>
      </c>
      <c r="G24" s="444"/>
      <c r="H24" s="447"/>
      <c r="I24" s="447"/>
      <c r="J24" s="447"/>
      <c r="K24" s="448"/>
    </row>
    <row r="25" spans="1:14" s="2121" customFormat="1" ht="13.5" customHeight="1">
      <c r="A25" s="1633" t="s">
        <v>1849</v>
      </c>
      <c r="B25" s="1328" t="s">
        <v>2439</v>
      </c>
      <c r="C25" s="490">
        <f ca="1">ROUND((C18+C19)*F24,0)</f>
        <v>1059</v>
      </c>
      <c r="D25" s="472"/>
      <c r="E25" s="473"/>
      <c r="F25" s="480"/>
      <c r="G25" s="1326" t="s">
        <v>2436</v>
      </c>
      <c r="H25" s="457"/>
      <c r="I25" s="457"/>
      <c r="J25" s="457"/>
      <c r="K25" s="458"/>
    </row>
    <row r="26" spans="1:14" s="2121" customFormat="1" ht="13.5" customHeight="1">
      <c r="A26" s="1633" t="s">
        <v>1850</v>
      </c>
      <c r="B26" s="1328" t="s">
        <v>509</v>
      </c>
      <c r="C26" s="491">
        <f ca="1">ROUND(F20*F24,4)</f>
        <v>2.8E-3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9731</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9731</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-7632.2013652133519</v>
      </c>
      <c r="D32" s="483" t="str">
        <f>'剩余法-待开发'!D36</f>
        <v>年期修正系数</v>
      </c>
      <c r="E32" s="483"/>
      <c r="F32" s="483">
        <f ca="1">'剩余法-待开发'!F36</f>
        <v>0.98799999999999999</v>
      </c>
      <c r="G32" s="2484"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29" t="str">
        <f>项目基本情况!B1</f>
        <v>出让国有建设用地使用权预评估</v>
      </c>
      <c r="C37" s="3229"/>
      <c r="D37" s="3229"/>
      <c r="E37" s="3229"/>
      <c r="F37" s="3229"/>
      <c r="G37" s="3229"/>
      <c r="H37" s="3229"/>
      <c r="I37" s="3229"/>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10" workbookViewId="0">
      <selection activeCell="F32" sqref="F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-7510.7909309408897</v>
      </c>
      <c r="C2" s="2105"/>
      <c r="D2" s="2105"/>
      <c r="E2" s="2105"/>
      <c r="F2" s="2105"/>
      <c r="G2" s="2105"/>
      <c r="H2" s="2105"/>
      <c r="I2" s="2105"/>
      <c r="J2" s="2105"/>
      <c r="K2" s="2105"/>
    </row>
    <row r="3" spans="1:41" s="2042" customFormat="1" ht="18" customHeight="1">
      <c r="A3" s="1379" t="s">
        <v>1685</v>
      </c>
      <c r="B3" s="425">
        <f ca="1">ROUND(B2*10000/IF(B1="",'数据-汇总表'!E3,INDIRECT("'数据-取费表'!K"&amp;$K$1)),0)</f>
        <v>-2710</v>
      </c>
      <c r="C3" s="2105"/>
      <c r="D3" s="2105"/>
      <c r="E3" s="2105"/>
      <c r="F3" s="2105"/>
      <c r="G3" s="2105"/>
      <c r="H3" s="2105"/>
      <c r="I3" s="2105"/>
      <c r="J3" s="2105"/>
      <c r="K3" s="2105"/>
    </row>
    <row r="4" spans="1:41" s="2042" customFormat="1" ht="18" customHeight="1">
      <c r="A4" s="426" t="s">
        <v>468</v>
      </c>
      <c r="B4" s="427">
        <f ca="1">ROUND(B2*10000/IF(B1="",'数据-汇总表'!D3,INDIRECT("'数据-取费表'!R"&amp;$K$1)),0)</f>
        <v>-33456</v>
      </c>
      <c r="C4" s="2062"/>
      <c r="D4" s="2105"/>
      <c r="E4" s="2105"/>
      <c r="F4" s="2105"/>
      <c r="G4" s="2105"/>
      <c r="H4" s="2105"/>
      <c r="I4" s="2105"/>
      <c r="J4" s="2105"/>
      <c r="K4" s="2105"/>
    </row>
    <row r="5" spans="1:41" s="2042" customFormat="1" ht="18" customHeight="1" thickBot="1">
      <c r="A5" s="429"/>
      <c r="B5" s="430">
        <f ca="1">ROUND(B2/(IF(B1="",'数据-汇总表'!D3,INDIRECT("'数据-取费表'!R"&amp;$K$1))/666.67),0)</f>
        <v>-2230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SUMIF('数据-汇总表'!$C19:$C33,'剩余法-四合院'!C7,'数据-汇总表'!$E19:$E33)</f>
        <v>0</v>
      </c>
      <c r="D9" s="441">
        <f>SUMIF('数据-汇总表'!$C19:$C33,'剩余法-四合院'!D7,'数据-汇总表'!$E19:$E33)</f>
        <v>0</v>
      </c>
      <c r="E9" s="441">
        <f>SUMIF('数据-汇总表'!$C19:$C33,'剩余法-四合院'!E7,'数据-汇总表'!$E19:$E33)</f>
        <v>0</v>
      </c>
      <c r="F9" s="441">
        <f>SUMIF('数据-汇总表'!$C19:$C33,'剩余法-四合院'!F7,'数据-汇总表'!$E19:$E33)</f>
        <v>0</v>
      </c>
      <c r="G9" s="441">
        <f>SUMIF('数据-汇总表'!$C19:$C33,'剩余法-四合院'!G7,'数据-汇总表'!$E19:$E33)</f>
        <v>0</v>
      </c>
      <c r="H9" s="441">
        <f>SUMIF('数据-汇总表'!$C19:$C33,'剩余法-四合院'!H7,'数据-汇总表'!$E19:$E33)</f>
        <v>0</v>
      </c>
      <c r="I9" s="441">
        <f>SUMIF('数据-汇总表'!$C19:$C33,'剩余法-四合院'!I7,'数据-汇总表'!$E19:$E33)</f>
        <v>0</v>
      </c>
      <c r="J9" s="441">
        <f>SUMIF('数据-汇总表'!$C19:$C33,'剩余法-四合院'!J7,'数据-汇总表'!$E19:$E33)</f>
        <v>0</v>
      </c>
      <c r="K9" s="442">
        <f>SUMIF('数据-汇总表'!$C19:$C33,'剩余法-四合院'!K7,'数据-汇总表'!$E19:$E33)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6298</v>
      </c>
      <c r="D13" s="451"/>
      <c r="E13" s="365"/>
      <c r="F13" s="452"/>
      <c r="G13" s="444"/>
      <c r="H13" s="447"/>
      <c r="I13" s="447"/>
      <c r="J13" s="447"/>
      <c r="K13" s="448"/>
    </row>
    <row r="14" spans="1:41" s="2117" customFormat="1" ht="13.5" customHeight="1">
      <c r="A14" s="1633" t="s">
        <v>1850</v>
      </c>
      <c r="B14" s="449" t="s">
        <v>480</v>
      </c>
      <c r="C14" s="53">
        <f ca="1">ROUND(C13*F14,0)</f>
        <v>189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7415</v>
      </c>
      <c r="D18" s="461"/>
      <c r="E18" s="462"/>
      <c r="F18" s="462"/>
      <c r="G18" s="1327" t="s">
        <v>2435</v>
      </c>
      <c r="H18" s="447"/>
      <c r="I18" s="447"/>
      <c r="J18" s="447"/>
      <c r="K18" s="448"/>
    </row>
    <row r="19" spans="1:14" s="2120" customFormat="1" ht="13.5" customHeight="1">
      <c r="A19" s="1634" t="s">
        <v>1855</v>
      </c>
      <c r="B19" s="459" t="s">
        <v>493</v>
      </c>
      <c r="C19" s="460">
        <f ca="1">ROUND(C18*F19,0)</f>
        <v>148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359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359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2833</v>
      </c>
      <c r="C24" s="478">
        <f ca="1">C25</f>
        <v>1059</v>
      </c>
      <c r="D24" s="489">
        <f ca="1">C26</f>
        <v>2.8E-3</v>
      </c>
      <c r="E24" s="469" t="s">
        <v>507</v>
      </c>
      <c r="F24" s="479">
        <f ca="1">IF(B1="",'数据-取费表'!Q16,INDIRECT("'数据-取费表'!q"&amp;$K$1))</f>
        <v>0.14000000000000001</v>
      </c>
      <c r="G24" s="444"/>
      <c r="H24" s="447"/>
      <c r="I24" s="447"/>
      <c r="J24" s="447"/>
      <c r="K24" s="448"/>
    </row>
    <row r="25" spans="1:14" s="2121" customFormat="1" ht="13.5" customHeight="1">
      <c r="A25" s="1633" t="s">
        <v>1849</v>
      </c>
      <c r="B25" s="1328" t="s">
        <v>2439</v>
      </c>
      <c r="C25" s="490">
        <f ca="1">ROUND((C18+C19)*F24,0)</f>
        <v>1059</v>
      </c>
      <c r="D25" s="472"/>
      <c r="E25" s="473"/>
      <c r="F25" s="480"/>
      <c r="G25" s="1326" t="s">
        <v>2436</v>
      </c>
      <c r="H25" s="457"/>
      <c r="I25" s="457"/>
      <c r="J25" s="457"/>
      <c r="K25" s="458"/>
    </row>
    <row r="26" spans="1:14" s="2121" customFormat="1" ht="13.5" customHeight="1">
      <c r="A26" s="1633" t="s">
        <v>1850</v>
      </c>
      <c r="B26" s="1328" t="s">
        <v>509</v>
      </c>
      <c r="C26" s="491">
        <f ca="1">ROUND(F20*F24,4)</f>
        <v>2.8E-3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9731</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9731</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IF('数据-取费表'!B20&lt;=1,(C6-C30-C31)/(1+F21*'数据-取费表'!B20+F24+F19)/(1+'数据-取费表'!B48+'数据-取费表'!B49),(C6-C30-C31)/(1+(POWER((1+F21),'数据-取费表'!B20)-1)+F24+F19)/(1+'数据-取费表'!B48+'数据-取费表'!B49))</f>
        <v>-7510.7909309408897</v>
      </c>
      <c r="D32" s="483" t="str">
        <f>'剩余法-现房'!D32</f>
        <v>年期修正系数</v>
      </c>
      <c r="E32" s="483"/>
      <c r="F32" s="483">
        <f ca="1">'剩余法-现房'!F32</f>
        <v>0.98799999999999999</v>
      </c>
      <c r="G32" s="2484" t="s">
        <v>2977</v>
      </c>
      <c r="H32" s="483"/>
      <c r="I32" s="483"/>
      <c r="J32" s="483"/>
      <c r="K32" s="485"/>
    </row>
    <row r="34" ht="12.75" customHeight="1"/>
  </sheetData>
  <sheetProtection password="C66D" sheet="1" objects="1" scenarios="1" formatCells="0" formatColumns="0" formatRows="0"/>
  <phoneticPr fontId="23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80" zoomScaleNormal="80" workbookViewId="0">
      <selection activeCell="E3" sqref="E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1678</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18339</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3168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13164</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10620</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7410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8521</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7430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7256</v>
      </c>
      <c r="U6" s="2927"/>
      <c r="V6" s="2938">
        <f t="shared" ca="1" si="1"/>
        <v>0</v>
      </c>
      <c r="W6" s="2190"/>
      <c r="X6" s="2190"/>
      <c r="Y6" s="2190"/>
      <c r="Z6" s="2190"/>
      <c r="AA6" s="2190"/>
      <c r="AB6" s="2190"/>
      <c r="AC6" s="2192"/>
      <c r="AD6" s="1419"/>
      <c r="AE6" s="1419"/>
      <c r="AF6" s="1419"/>
      <c r="AG6" s="1419"/>
      <c r="AH6" s="1419"/>
      <c r="AI6" s="1419"/>
      <c r="AJ6" s="1420"/>
    </row>
    <row r="7" spans="1:39" ht="24">
      <c r="A7" s="3395"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7430</v>
      </c>
      <c r="N7" s="1888">
        <f>SUMPRODUCT((因素修正幅度!B158:B205=I2)*(因素修正幅度!C3:F3=E2)*(因素修正幅度!C158:F205))</f>
        <v>0.13</v>
      </c>
      <c r="O7" s="2190"/>
      <c r="P7" s="2190"/>
      <c r="Q7" s="2190"/>
      <c r="R7" s="2938">
        <v>6</v>
      </c>
      <c r="S7" s="2938">
        <f>ROUND(IF(G3&gt;1,IF(R7&lt;7,SUMPRODUCT((B93:B98=R7)*(C92:N92=G2)*(C93:N98)),SUMIF(C92:N92,G2,C100:N100)),IF(R7&lt;7,SUMPRODUCT((B102:B107=R7)*(C92:N92=G2)*(C102:N107)),SUMIF(C92:N92,G2,C109:N109))),4)</f>
        <v>0.6482</v>
      </c>
      <c r="T7" s="2938">
        <f t="shared" ca="1" si="0"/>
        <v>6381</v>
      </c>
      <c r="U7" s="2927"/>
      <c r="V7" s="2938">
        <f t="shared" ca="1" si="1"/>
        <v>0</v>
      </c>
      <c r="W7" s="2936" t="s">
        <v>2767</v>
      </c>
      <c r="X7" s="2928" t="str">
        <f>G2</f>
        <v>七级</v>
      </c>
      <c r="Y7" s="2928" t="s">
        <v>2768</v>
      </c>
      <c r="Z7" s="2929">
        <f>G3</f>
        <v>1</v>
      </c>
      <c r="AA7" s="2193"/>
      <c r="AB7" s="2193"/>
      <c r="AC7" s="2194"/>
      <c r="AD7" s="2930"/>
      <c r="AE7" s="2930"/>
      <c r="AF7" s="2930"/>
      <c r="AG7" s="2930"/>
      <c r="AH7" s="2930"/>
      <c r="AI7" s="2930"/>
      <c r="AJ7" s="2931"/>
    </row>
    <row r="8" spans="1:39" ht="15">
      <c r="A8" s="3396"/>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5" t="s">
        <v>2785</v>
      </c>
      <c r="X8" s="3406"/>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6"/>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4"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6"/>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4"/>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6"/>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4"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5"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4"/>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7"/>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4"/>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7"/>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8"/>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5" t="s">
        <v>1839</v>
      </c>
      <c r="B16" s="1427" t="s">
        <v>950</v>
      </c>
      <c r="C16" s="1054">
        <f>ROUND(SUM(G17:J17)/C17,0)</f>
        <v>20</v>
      </c>
      <c r="D16" s="1460" t="s">
        <v>951</v>
      </c>
      <c r="E16" s="1461" t="s">
        <v>3036</v>
      </c>
      <c r="F16" s="1462" t="s">
        <v>3037</v>
      </c>
      <c r="G16" s="1463" t="s">
        <v>3038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6"/>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地价!Z5</f>
        <v>1.3230999999999999</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258</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0.98799999999999999</v>
      </c>
      <c r="D20" s="2782" t="s">
        <v>973</v>
      </c>
      <c r="E20" s="3097">
        <f ca="1">存贷款利率!I4/100</f>
        <v>4.3499999999999997E-2</v>
      </c>
      <c r="F20" s="2782" t="s">
        <v>974</v>
      </c>
      <c r="G20" s="2783">
        <f ca="1">SUMIF(M15:P15,E2,M17:P17)</f>
        <v>5.1999999999999998E-2</v>
      </c>
      <c r="H20" s="2782" t="s">
        <v>975</v>
      </c>
      <c r="I20" s="2772">
        <f>项目基本情况!F19</f>
        <v>47.42</v>
      </c>
      <c r="J20" s="2784">
        <f>IF(E2="住宅",70,IF(E2="商业",40,50))</f>
        <v>50</v>
      </c>
      <c r="K20" s="1481"/>
      <c r="L20" s="3043" t="s">
        <v>2844</v>
      </c>
      <c r="M20" s="3044">
        <f>ROUND(SUMPRODUCT((地价!A4:A23=YEAR(G19)&amp;"-"&amp;ROUNDUP(MONTH(G19)/3,0))*(地价!B2:F2=E2)*(地价!B4:F23)),0)</f>
        <v>333</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3136</v>
      </c>
      <c r="C21" s="1158">
        <f>IF(B21="容积率修正",IF(G3&lt;=10,D22,J22),C23)</f>
        <v>1.2786999999999999</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1.2786999999999999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1.0163</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12588</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3147</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01"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2"/>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2"/>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3"/>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2461</v>
      </c>
      <c r="D37" s="1537"/>
      <c r="E37" s="1048">
        <f t="shared" ca="1" si="7"/>
        <v>0</v>
      </c>
      <c r="F37" s="1063">
        <f>SUMIF(修正!A45:A56,G2,修正!F45:F56)</f>
        <v>0.25</v>
      </c>
      <c r="G37" s="1048">
        <f ca="1">ROUND(IF(E2="工业",C37*$M$39,C37*$M$38),0)</f>
        <v>615</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2461</v>
      </c>
      <c r="D38" s="1537"/>
      <c r="E38" s="1048">
        <f t="shared" ca="1" si="7"/>
        <v>0</v>
      </c>
      <c r="F38" s="1063">
        <f>SUMIF(修正!A45:A56,G2,修正!G45:G56)</f>
        <v>0.25</v>
      </c>
      <c r="G38" s="1048">
        <f ca="1">ROUND(IF(E2="工业",C38*$M$39,C38*$M$38),0)</f>
        <v>615</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1969</v>
      </c>
      <c r="D39" s="1538"/>
      <c r="E39" s="1051">
        <f t="shared" ca="1" si="7"/>
        <v>0</v>
      </c>
      <c r="F39" s="1065">
        <f>SUMIF(修正!A45:A56,G2,修正!H45:H56)</f>
        <v>0.2</v>
      </c>
      <c r="G39" s="1051">
        <f ca="1">ROUND(IF(E2="工业",C39*$M$39,C39*$M$38),0)</f>
        <v>492</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1.0163</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t="s">
        <v>3053</v>
      </c>
      <c r="D58" s="2418">
        <f t="shared" ref="D58:D66" si="15">SUMIF($J$57:$N$57,C58,J58:N58)</f>
        <v>0</v>
      </c>
      <c r="E58" s="2437">
        <f>ROUND(SUM(D58:D66),4)</f>
        <v>1.6299999999999999E-2</v>
      </c>
      <c r="F58" s="2438">
        <f>IF(E2="办公",SUMIF(L1:L12,G2,N1:N12),"——")</f>
        <v>0.13</v>
      </c>
      <c r="G58" s="2416">
        <v>1.5599999999999999E-2</v>
      </c>
      <c r="H58" s="2462">
        <f>IFERROR(ROUNDDOWN($F$58*I58/2,4),"——")</f>
        <v>1.5599999999999999E-2</v>
      </c>
      <c r="I58" s="2436">
        <v>0.24</v>
      </c>
      <c r="J58" s="2439">
        <f t="shared" ref="J58:J66" si="16">K58+$G58</f>
        <v>3.1199999999999999E-2</v>
      </c>
      <c r="K58" s="2439">
        <f t="shared" ref="K58:K66" si="17">$L58+$G58</f>
        <v>1.5599999999999999E-2</v>
      </c>
      <c r="L58" s="2439">
        <v>0</v>
      </c>
      <c r="M58" s="2439">
        <f t="shared" ref="M58:N66" si="18">L58-$G58</f>
        <v>-1.5599999999999999E-2</v>
      </c>
      <c r="N58" s="2439">
        <f t="shared" si="18"/>
        <v>-3.1199999999999999E-2</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t="s">
        <v>3053</v>
      </c>
      <c r="D59" s="2418">
        <f t="shared" si="15"/>
        <v>0</v>
      </c>
      <c r="E59" s="2440"/>
      <c r="F59" s="2438"/>
      <c r="G59" s="2416">
        <v>1.95E-2</v>
      </c>
      <c r="H59" s="2417">
        <f t="shared" ref="H59:H66" si="19">IFERROR($F$58*I59/2,"——")</f>
        <v>1.95E-2</v>
      </c>
      <c r="I59" s="2436">
        <v>0.3</v>
      </c>
      <c r="J59" s="2439">
        <f t="shared" si="16"/>
        <v>3.9E-2</v>
      </c>
      <c r="K59" s="2439">
        <f t="shared" si="17"/>
        <v>1.95E-2</v>
      </c>
      <c r="L59" s="2439">
        <v>0</v>
      </c>
      <c r="M59" s="2439">
        <f t="shared" si="18"/>
        <v>-1.95E-2</v>
      </c>
      <c r="N59" s="2439">
        <f t="shared" si="18"/>
        <v>-3.9E-2</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t="s">
        <v>3133</v>
      </c>
      <c r="D60" s="2418">
        <f t="shared" si="15"/>
        <v>-5.1999999999999998E-3</v>
      </c>
      <c r="E60" s="2440"/>
      <c r="F60" s="2438"/>
      <c r="G60" s="2416">
        <v>5.1999999999999998E-3</v>
      </c>
      <c r="H60" s="2417">
        <f t="shared" si="19"/>
        <v>5.2000000000000006E-3</v>
      </c>
      <c r="I60" s="2436">
        <v>0.08</v>
      </c>
      <c r="J60" s="2439">
        <f t="shared" si="16"/>
        <v>1.04E-2</v>
      </c>
      <c r="K60" s="2439">
        <f t="shared" si="17"/>
        <v>5.1999999999999998E-3</v>
      </c>
      <c r="L60" s="2439">
        <v>0</v>
      </c>
      <c r="M60" s="2439">
        <f t="shared" si="18"/>
        <v>-5.1999999999999998E-3</v>
      </c>
      <c r="N60" s="2439">
        <f t="shared" si="18"/>
        <v>-1.04E-2</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2942</v>
      </c>
      <c r="C61" s="1050" t="s">
        <v>3072</v>
      </c>
      <c r="D61" s="2418">
        <f t="shared" si="15"/>
        <v>2.5999999999999999E-3</v>
      </c>
      <c r="E61" s="2440"/>
      <c r="F61" s="2438"/>
      <c r="G61" s="2416">
        <v>2.5999999999999999E-3</v>
      </c>
      <c r="H61" s="2417">
        <f t="shared" si="19"/>
        <v>2.6000000000000003E-3</v>
      </c>
      <c r="I61" s="2436">
        <v>0.04</v>
      </c>
      <c r="J61" s="2439">
        <f t="shared" si="16"/>
        <v>5.1999999999999998E-3</v>
      </c>
      <c r="K61" s="2439">
        <f t="shared" si="17"/>
        <v>2.5999999999999999E-3</v>
      </c>
      <c r="L61" s="2439">
        <v>0</v>
      </c>
      <c r="M61" s="2439">
        <f t="shared" si="18"/>
        <v>-2.5999999999999999E-3</v>
      </c>
      <c r="N61" s="2439">
        <f t="shared" si="18"/>
        <v>-5.1999999999999998E-3</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t="s">
        <v>3053</v>
      </c>
      <c r="D62" s="2418">
        <f t="shared" si="15"/>
        <v>0</v>
      </c>
      <c r="E62" s="2440"/>
      <c r="F62" s="2438"/>
      <c r="G62" s="2416">
        <v>3.2499999999999999E-3</v>
      </c>
      <c r="H62" s="2417">
        <f t="shared" si="19"/>
        <v>3.2500000000000003E-3</v>
      </c>
      <c r="I62" s="2436">
        <v>0.05</v>
      </c>
      <c r="J62" s="2439">
        <f t="shared" si="16"/>
        <v>6.4999999999999997E-3</v>
      </c>
      <c r="K62" s="2439">
        <f t="shared" si="17"/>
        <v>3.2499999999999999E-3</v>
      </c>
      <c r="L62" s="2439">
        <v>0</v>
      </c>
      <c r="M62" s="2439">
        <f t="shared" si="18"/>
        <v>-3.2499999999999999E-3</v>
      </c>
      <c r="N62" s="2439">
        <f t="shared" si="18"/>
        <v>-6.4999999999999997E-3</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2940</v>
      </c>
      <c r="C63" s="1050" t="s">
        <v>3072</v>
      </c>
      <c r="D63" s="2418">
        <f t="shared" si="15"/>
        <v>3.2499999999999999E-3</v>
      </c>
      <c r="E63" s="2440"/>
      <c r="F63" s="2438"/>
      <c r="G63" s="2416">
        <v>3.2499999999999999E-3</v>
      </c>
      <c r="H63" s="2417">
        <f t="shared" si="19"/>
        <v>3.2500000000000003E-3</v>
      </c>
      <c r="I63" s="2436">
        <v>0.05</v>
      </c>
      <c r="J63" s="2439">
        <f t="shared" si="16"/>
        <v>6.4999999999999997E-3</v>
      </c>
      <c r="K63" s="2439">
        <f t="shared" si="17"/>
        <v>3.2499999999999999E-3</v>
      </c>
      <c r="L63" s="2439">
        <v>0</v>
      </c>
      <c r="M63" s="2439">
        <f t="shared" si="18"/>
        <v>-3.2499999999999999E-3</v>
      </c>
      <c r="N63" s="2439">
        <f t="shared" si="18"/>
        <v>-6.4999999999999997E-3</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t="s">
        <v>3053</v>
      </c>
      <c r="D64" s="2418">
        <f t="shared" si="15"/>
        <v>0</v>
      </c>
      <c r="E64" s="2440"/>
      <c r="F64" s="2438"/>
      <c r="G64" s="2416">
        <v>3.8999999999999998E-3</v>
      </c>
      <c r="H64" s="2417">
        <f t="shared" si="19"/>
        <v>3.8999999999999998E-3</v>
      </c>
      <c r="I64" s="2436">
        <v>0.06</v>
      </c>
      <c r="J64" s="2439">
        <f t="shared" si="16"/>
        <v>7.7999999999999996E-3</v>
      </c>
      <c r="K64" s="2439">
        <f t="shared" si="17"/>
        <v>3.8999999999999998E-3</v>
      </c>
      <c r="L64" s="2439">
        <v>0</v>
      </c>
      <c r="M64" s="2439">
        <f t="shared" si="18"/>
        <v>-3.8999999999999998E-3</v>
      </c>
      <c r="N64" s="2439">
        <f t="shared" si="18"/>
        <v>-7.7999999999999996E-3</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t="s">
        <v>3073</v>
      </c>
      <c r="D65" s="2418">
        <f t="shared" si="15"/>
        <v>1.5599999999999999E-2</v>
      </c>
      <c r="E65" s="2440"/>
      <c r="F65" s="2438"/>
      <c r="G65" s="2416">
        <v>7.7999999999999996E-3</v>
      </c>
      <c r="H65" s="2417">
        <f t="shared" si="19"/>
        <v>7.7999999999999996E-3</v>
      </c>
      <c r="I65" s="2436">
        <v>0.12</v>
      </c>
      <c r="J65" s="2439">
        <f t="shared" si="16"/>
        <v>1.5599999999999999E-2</v>
      </c>
      <c r="K65" s="2439">
        <f t="shared" si="17"/>
        <v>7.7999999999999996E-3</v>
      </c>
      <c r="L65" s="2439">
        <v>0</v>
      </c>
      <c r="M65" s="2439">
        <f t="shared" si="18"/>
        <v>-7.7999999999999996E-3</v>
      </c>
      <c r="N65" s="2439">
        <f t="shared" si="18"/>
        <v>-1.5599999999999999E-2</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t="s">
        <v>3053</v>
      </c>
      <c r="D66" s="2418">
        <f t="shared" si="15"/>
        <v>0</v>
      </c>
      <c r="E66" s="2444"/>
      <c r="F66" s="2438"/>
      <c r="G66" s="2416">
        <v>3.8999999999999998E-3</v>
      </c>
      <c r="H66" s="2417">
        <f t="shared" si="19"/>
        <v>3.8999999999999998E-3</v>
      </c>
      <c r="I66" s="2443">
        <v>0.06</v>
      </c>
      <c r="J66" s="2439">
        <f t="shared" si="16"/>
        <v>7.7999999999999996E-3</v>
      </c>
      <c r="K66" s="2439">
        <f t="shared" si="17"/>
        <v>3.8999999999999998E-3</v>
      </c>
      <c r="L66" s="2439">
        <v>0</v>
      </c>
      <c r="M66" s="2439">
        <f t="shared" si="18"/>
        <v>-3.8999999999999998E-3</v>
      </c>
      <c r="N66" s="2439">
        <f t="shared" si="18"/>
        <v>-7.7999999999999996E-3</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9" t="s">
        <v>1634</v>
      </c>
      <c r="B90" s="3399"/>
      <c r="C90" s="3399"/>
      <c r="D90" s="3399"/>
      <c r="E90" s="3399"/>
      <c r="F90" s="3399"/>
      <c r="G90" s="3399"/>
      <c r="H90" s="3399"/>
      <c r="I90" s="3399"/>
      <c r="J90" s="3399"/>
      <c r="K90" s="2451"/>
      <c r="L90" s="2451"/>
      <c r="M90" s="2451"/>
      <c r="N90" s="2451"/>
    </row>
    <row r="91" spans="1:40">
      <c r="A91" s="3400" t="s">
        <v>1444</v>
      </c>
      <c r="B91" s="3400" t="s">
        <v>1635</v>
      </c>
      <c r="C91" s="1140" t="s">
        <v>1636</v>
      </c>
      <c r="D91" s="1141"/>
      <c r="E91" s="1141"/>
      <c r="F91" s="1141"/>
      <c r="G91" s="1141"/>
      <c r="H91" s="1141"/>
      <c r="I91" s="1141"/>
      <c r="J91" s="1142"/>
      <c r="K91" s="1134"/>
      <c r="L91" s="1134"/>
      <c r="M91" s="1134"/>
      <c r="N91" s="1134"/>
    </row>
    <row r="92" spans="1:40">
      <c r="A92" s="3400"/>
      <c r="B92" s="3400"/>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07"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8"/>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8"/>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8"/>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8"/>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8"/>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8"/>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8"/>
      <c r="B108" s="341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4" t="s">
        <v>1640</v>
      </c>
      <c r="B110" s="3394"/>
      <c r="C110" s="3394"/>
      <c r="D110" s="3394"/>
      <c r="E110" s="3394"/>
      <c r="F110" s="3394"/>
      <c r="G110" s="3394"/>
      <c r="H110" s="3394"/>
      <c r="I110" s="3394"/>
      <c r="J110" s="3394"/>
      <c r="K110" s="2449"/>
      <c r="L110" s="2449"/>
      <c r="M110" s="2449"/>
      <c r="N110" s="2449"/>
    </row>
    <row r="112" spans="1:14" ht="12.75" thickBot="1"/>
    <row r="113" spans="1:13" ht="25.5" thickBot="1">
      <c r="A113" s="1016" t="s">
        <v>896</v>
      </c>
      <c r="B113" s="2452">
        <f>G3</f>
        <v>1</v>
      </c>
      <c r="C113" s="1017" t="s">
        <v>897</v>
      </c>
      <c r="D113" s="1018">
        <f>SUMPRODUCT((A115:A118=F113)*(B114:M114=H113)*B115:M118)</f>
        <v>0.84370000000000001</v>
      </c>
      <c r="E113" s="1019" t="s">
        <v>898</v>
      </c>
      <c r="F113" s="1020" t="str">
        <f>E2</f>
        <v>办公</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5" priority="5" stopIfTrue="1" operator="notEqual">
      <formula>"——"</formula>
    </cfRule>
  </conditionalFormatting>
  <conditionalFormatting sqref="F58">
    <cfRule type="cellIs" dxfId="144" priority="4" stopIfTrue="1" operator="notEqual">
      <formula>"——"</formula>
    </cfRule>
  </conditionalFormatting>
  <conditionalFormatting sqref="F69">
    <cfRule type="cellIs" dxfId="143" priority="3" stopIfTrue="1" operator="notEqual">
      <formula>"——"</formula>
    </cfRule>
  </conditionalFormatting>
  <conditionalFormatting sqref="F80">
    <cfRule type="cellIs" dxfId="142" priority="2" stopIfTrue="1" operator="notEqual">
      <formula>"——"</formula>
    </cfRule>
  </conditionalFormatting>
  <conditionalFormatting sqref="H58:H66 H47:H55 H69:H77 H80:H87">
    <cfRule type="cellIs" dxfId="14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topLeftCell="A13" workbookViewId="0">
      <selection activeCell="C27" sqref="C2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41629</v>
      </c>
      <c r="C2" s="2105"/>
      <c r="D2" s="2105"/>
      <c r="E2" s="2105"/>
      <c r="F2" s="2105"/>
      <c r="G2" s="2105"/>
      <c r="H2" s="2105"/>
      <c r="I2" s="2105"/>
      <c r="J2" s="2105"/>
      <c r="K2" s="2105"/>
    </row>
    <row r="3" spans="1:31" s="2042" customFormat="1" ht="18" customHeight="1">
      <c r="A3" s="2107" t="s">
        <v>1685</v>
      </c>
      <c r="B3" s="2108">
        <f ca="1">ROUND(B2*10000/IF(B1="",'数据-汇总表'!E3,INDIRECT("'数据-取费表'!K"&amp;$K$1)),0)</f>
        <v>41629</v>
      </c>
      <c r="C3" s="2105"/>
      <c r="D3" s="2105"/>
      <c r="E3" s="2105"/>
      <c r="F3" s="2105"/>
      <c r="G3" s="2105"/>
      <c r="H3" s="2105"/>
      <c r="I3" s="2105"/>
      <c r="J3" s="2105"/>
      <c r="K3" s="2105"/>
    </row>
    <row r="4" spans="1:31" s="2042" customFormat="1" ht="18" customHeight="1">
      <c r="A4" s="426" t="s">
        <v>468</v>
      </c>
      <c r="B4" s="427">
        <f ca="1">ROUND(B2*10000/IF(B1="",'数据-汇总表'!D3,INDIRECT("'数据-取费表'!R"&amp;$K$1)),0)</f>
        <v>514002</v>
      </c>
      <c r="C4" s="428"/>
      <c r="D4" s="422"/>
      <c r="E4" s="422"/>
      <c r="F4" s="422"/>
      <c r="G4" s="422"/>
      <c r="H4" s="422"/>
      <c r="I4" s="422"/>
      <c r="J4" s="422"/>
      <c r="K4" s="422"/>
    </row>
    <row r="5" spans="1:31" s="2042" customFormat="1" ht="18" customHeight="1" thickBot="1">
      <c r="A5" s="429"/>
      <c r="B5" s="430">
        <f ca="1">ROUND(B2/(IF(B1="",'数据-汇总表'!D3,INDIRECT("'数据-取费表'!R"&amp;$K$1))/666.67),0)</f>
        <v>34267</v>
      </c>
      <c r="C5" s="431" t="s">
        <v>469</v>
      </c>
      <c r="D5" s="422"/>
      <c r="E5" s="422"/>
      <c r="F5" s="422"/>
      <c r="G5" s="422"/>
      <c r="H5" s="422"/>
      <c r="I5" s="422"/>
      <c r="J5" s="422"/>
      <c r="K5" s="422"/>
    </row>
    <row r="6" spans="1:31" s="2112" customFormat="1" ht="16.5" customHeight="1">
      <c r="A6" s="2829" t="s">
        <v>1843</v>
      </c>
      <c r="B6" s="2830"/>
      <c r="C6" s="2831">
        <f>SUM(C10:K10)</f>
        <v>63378</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SUMIF('数据-汇总表'!$C19:$C33,剩余法待开发住宅!C7,'数据-汇总表'!$E19:$E33)</f>
        <v>0</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63378</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180" t="s">
        <v>476</v>
      </c>
      <c r="E12" s="3180" t="s">
        <v>477</v>
      </c>
      <c r="F12" s="3180"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180">
        <f ca="1">ROUND(D19*E19/10000,0)</f>
        <v>0</v>
      </c>
      <c r="D19" s="2855">
        <f ca="1">D16</f>
        <v>10000</v>
      </c>
      <c r="E19" s="3180">
        <f>'数据-取费表'!B32</f>
        <v>0</v>
      </c>
      <c r="F19" s="468"/>
      <c r="G19" s="2813" t="s">
        <v>489</v>
      </c>
      <c r="H19" s="2814"/>
      <c r="I19" s="2818"/>
      <c r="J19" s="2818"/>
      <c r="K19" s="2819"/>
    </row>
    <row r="20" spans="1:14" s="2117" customFormat="1" ht="13.5" customHeight="1">
      <c r="A20" s="2851" t="s">
        <v>1856</v>
      </c>
      <c r="B20" s="2852" t="s">
        <v>490</v>
      </c>
      <c r="C20" s="3180">
        <f ca="1">C21+C22-IF(B1="",'数据-取费表'!B29,IF(G20="已全部缴纳",C21+C22,H20))</f>
        <v>160</v>
      </c>
      <c r="D20" s="2855"/>
      <c r="E20" s="3180"/>
      <c r="F20" s="2856"/>
      <c r="G20" s="3090"/>
      <c r="H20" s="2811"/>
      <c r="I20" s="2812" t="s">
        <v>2654</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1268</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233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233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3380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8518</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8518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736</v>
      </c>
      <c r="D33" s="467">
        <f ca="1">C34</f>
        <v>0.15440000000000001</v>
      </c>
      <c r="E33" s="469" t="s">
        <v>495</v>
      </c>
      <c r="F33" s="479">
        <f ca="1">IF(B1="",'数据-取费表'!Q16,INDIRECT("'数据-取费表'!q"&amp;$K$1))</f>
        <v>0.15</v>
      </c>
      <c r="G33" s="2817"/>
      <c r="H33" s="2818"/>
      <c r="I33" s="2818"/>
      <c r="J33" s="2818"/>
      <c r="K33" s="2819"/>
    </row>
    <row r="34" spans="1:11" s="2124" customFormat="1" ht="13.5" customHeight="1">
      <c r="A34" s="375" t="s">
        <v>1857</v>
      </c>
      <c r="B34" s="2864" t="s">
        <v>501</v>
      </c>
      <c r="C34" s="472">
        <f ca="1">ROUND((1+C25)*F33,4)</f>
        <v>0.15440000000000001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736</v>
      </c>
      <c r="D35" s="1629"/>
      <c r="E35" s="2865"/>
      <c r="F35" s="1630"/>
      <c r="G35" s="2823"/>
      <c r="H35" s="2824"/>
      <c r="I35" s="2824"/>
      <c r="J35" s="2824"/>
      <c r="K35" s="2825"/>
    </row>
    <row r="36" spans="1:11" s="2086" customFormat="1" ht="13.5" customHeight="1" thickBot="1">
      <c r="A36" s="284" t="s">
        <v>1845</v>
      </c>
      <c r="B36" s="2827"/>
      <c r="C36" s="2866">
        <f ca="1">ROUND((C6-C30-C33)/(1+D30+D33)*F36,0)</f>
        <v>41629</v>
      </c>
      <c r="D36" s="3185" t="s">
        <v>2989</v>
      </c>
      <c r="E36" s="2827"/>
      <c r="F36" s="2827">
        <f ca="1">基准地价住宅!C20</f>
        <v>0.98719999999999997</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t="e">
        <f>ROUND(B2*10000/'数据-汇总表'!E3,0)</f>
        <v>#DIV/0!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t="e">
        <f>IF(B48="单位面积地价",C50,ROUND(B2*10000/'数据-汇总表'!D3,0))</f>
        <v>#DIV/0!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34" t="s">
        <v>522</v>
      </c>
      <c r="D6" s="3435"/>
      <c r="E6" s="3434" t="s">
        <v>523</v>
      </c>
      <c r="F6" s="3435"/>
      <c r="G6" s="3434" t="s">
        <v>524</v>
      </c>
      <c r="H6" s="3435"/>
      <c r="I6" s="3434" t="s">
        <v>525</v>
      </c>
      <c r="J6" s="3435"/>
      <c r="K6" s="514" t="s">
        <v>526</v>
      </c>
      <c r="L6" s="2134"/>
      <c r="M6" s="2133"/>
      <c r="N6" s="2133"/>
      <c r="O6" s="2135"/>
      <c r="P6" s="3436" t="s">
        <v>527</v>
      </c>
      <c r="Q6" s="3437"/>
      <c r="R6" s="3422" t="s">
        <v>523</v>
      </c>
      <c r="S6" s="3423"/>
      <c r="T6" s="3422" t="s">
        <v>524</v>
      </c>
      <c r="U6" s="3423"/>
      <c r="V6" s="3442" t="s">
        <v>525</v>
      </c>
      <c r="W6" s="3442"/>
      <c r="X6" s="1567"/>
      <c r="Y6" s="3422" t="s">
        <v>527</v>
      </c>
      <c r="Z6" s="3423"/>
      <c r="AA6" s="3417" t="s">
        <v>523</v>
      </c>
      <c r="AB6" s="3418" t="s">
        <v>524</v>
      </c>
      <c r="AC6" s="3417" t="s">
        <v>525</v>
      </c>
    </row>
    <row r="7" spans="1:30" ht="20.25">
      <c r="A7" s="515"/>
      <c r="B7" s="516"/>
      <c r="C7" s="3445" t="s">
        <v>2933</v>
      </c>
      <c r="D7" s="3446"/>
      <c r="E7" s="3445" t="s">
        <v>2934</v>
      </c>
      <c r="F7" s="3446"/>
      <c r="G7" s="3445" t="s">
        <v>2935</v>
      </c>
      <c r="H7" s="3446"/>
      <c r="I7" s="3445" t="s">
        <v>2936</v>
      </c>
      <c r="J7" s="3446"/>
      <c r="K7" s="514"/>
      <c r="L7" s="2134"/>
      <c r="M7" s="2133"/>
      <c r="N7" s="2133"/>
      <c r="O7" s="2135"/>
      <c r="P7" s="3438"/>
      <c r="Q7" s="3439"/>
      <c r="R7" s="3424"/>
      <c r="S7" s="3425"/>
      <c r="T7" s="3424"/>
      <c r="U7" s="3425"/>
      <c r="V7" s="3442"/>
      <c r="W7" s="3442"/>
      <c r="X7" s="1567"/>
      <c r="Y7" s="3424"/>
      <c r="Z7" s="3425"/>
      <c r="AA7" s="3418"/>
      <c r="AB7" s="3418"/>
      <c r="AC7" s="3418"/>
    </row>
    <row r="8" spans="1:30" ht="21" thickBot="1">
      <c r="A8" s="515"/>
      <c r="B8" s="516"/>
      <c r="C8" s="3447" t="s">
        <v>2937</v>
      </c>
      <c r="D8" s="3448"/>
      <c r="E8" s="3447" t="s">
        <v>2937</v>
      </c>
      <c r="F8" s="3448"/>
      <c r="G8" s="3443" t="s">
        <v>2937</v>
      </c>
      <c r="H8" s="3444"/>
      <c r="I8" s="3443" t="s">
        <v>2937</v>
      </c>
      <c r="J8" s="3444"/>
      <c r="K8" s="514" t="s">
        <v>528</v>
      </c>
      <c r="L8" s="2134"/>
      <c r="M8" s="2133"/>
      <c r="N8" s="2133"/>
      <c r="O8" s="2135"/>
      <c r="P8" s="3440"/>
      <c r="Q8" s="3441"/>
      <c r="R8" s="3424"/>
      <c r="S8" s="3425"/>
      <c r="T8" s="3426"/>
      <c r="U8" s="3427"/>
      <c r="V8" s="3442"/>
      <c r="W8" s="3442"/>
      <c r="X8" s="1567"/>
      <c r="Y8" s="3426"/>
      <c r="Z8" s="3427"/>
      <c r="AA8" s="3419"/>
      <c r="AB8" s="3419"/>
      <c r="AC8" s="3419"/>
    </row>
    <row r="9" spans="1:30" s="1220" customFormat="1" ht="21" thickBot="1">
      <c r="A9" s="2913"/>
      <c r="B9" s="2920" t="s">
        <v>529</v>
      </c>
      <c r="C9" s="2912">
        <f>'数据-取费表'!B2</f>
        <v>43273</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20" t="s">
        <v>530</v>
      </c>
      <c r="Q9" s="3429"/>
      <c r="R9" s="1568" t="s">
        <v>8</v>
      </c>
      <c r="S9" s="1569">
        <f t="shared" ref="S9:S17" si="0">F9</f>
        <v>0</v>
      </c>
      <c r="T9" s="1568" t="s">
        <v>8</v>
      </c>
      <c r="U9" s="1569">
        <f t="shared" ref="U9:U17" si="1">H9</f>
        <v>0</v>
      </c>
      <c r="V9" s="1568" t="s">
        <v>8</v>
      </c>
      <c r="W9" s="1569">
        <f t="shared" ref="W9:W17" si="2">J9</f>
        <v>0</v>
      </c>
      <c r="X9" s="1570"/>
      <c r="Y9" s="3420" t="s">
        <v>530</v>
      </c>
      <c r="Z9" s="3421"/>
      <c r="AA9" s="1571" t="e">
        <f>D9/F9</f>
        <v>#DIV/0!</v>
      </c>
      <c r="AB9" s="1571" t="e">
        <f>D9/H9</f>
        <v>#DIV/0!</v>
      </c>
      <c r="AC9" s="1571" t="e">
        <f>D9/J9</f>
        <v>#DIV/0!</v>
      </c>
    </row>
    <row r="10" spans="1:30" s="1220" customFormat="1" ht="21" thickBot="1">
      <c r="A10" s="2914"/>
      <c r="B10" s="2921"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20" t="s">
        <v>533</v>
      </c>
      <c r="Q10" s="3421"/>
      <c r="R10" s="1568" t="s">
        <v>8</v>
      </c>
      <c r="S10" s="1569">
        <f t="shared" si="0"/>
        <v>0</v>
      </c>
      <c r="T10" s="1568" t="s">
        <v>8</v>
      </c>
      <c r="U10" s="1569">
        <f t="shared" si="1"/>
        <v>0</v>
      </c>
      <c r="V10" s="1568" t="s">
        <v>8</v>
      </c>
      <c r="W10" s="1569">
        <f t="shared" si="2"/>
        <v>0</v>
      </c>
      <c r="X10" s="1570"/>
      <c r="Y10" s="3420" t="s">
        <v>533</v>
      </c>
      <c r="Z10" s="3421"/>
      <c r="AA10" s="1571" t="e">
        <f t="shared" ref="AA10:AA47" si="3">D10/F10</f>
        <v>#DIV/0!</v>
      </c>
      <c r="AB10" s="1571" t="e">
        <f t="shared" ref="AB10:AB47" si="4">D10/H10</f>
        <v>#DIV/0!</v>
      </c>
      <c r="AC10" s="1571" t="e">
        <f t="shared" ref="AC10:AC47" si="5">D10/J10</f>
        <v>#DIV/0!</v>
      </c>
    </row>
    <row r="11" spans="1:30" s="1220" customFormat="1" ht="20.25">
      <c r="A11" s="2915"/>
      <c r="B11" s="2922" t="s">
        <v>2759</v>
      </c>
      <c r="C11" s="2909"/>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28" t="s">
        <v>535</v>
      </c>
      <c r="Q11" s="1151" t="str">
        <f t="shared" ref="Q11:Q17" si="6">B11</f>
        <v>用途</v>
      </c>
      <c r="R11" s="1568" t="s">
        <v>8</v>
      </c>
      <c r="S11" s="1569">
        <f t="shared" si="0"/>
        <v>100</v>
      </c>
      <c r="T11" s="1568" t="s">
        <v>8</v>
      </c>
      <c r="U11" s="1569">
        <f t="shared" si="1"/>
        <v>100</v>
      </c>
      <c r="V11" s="1568" t="s">
        <v>8</v>
      </c>
      <c r="W11" s="1569">
        <f t="shared" si="2"/>
        <v>100</v>
      </c>
      <c r="X11" s="1570"/>
      <c r="Y11" s="3367" t="s">
        <v>536</v>
      </c>
      <c r="Z11" s="1150" t="str">
        <f t="shared" ref="Z11:Z17" si="7">Q11</f>
        <v>用途</v>
      </c>
      <c r="AA11" s="1571">
        <f t="shared" si="3"/>
        <v>1</v>
      </c>
      <c r="AB11" s="1571">
        <f t="shared" si="4"/>
        <v>1</v>
      </c>
      <c r="AC11" s="1571">
        <f t="shared" si="5"/>
        <v>1</v>
      </c>
    </row>
    <row r="12" spans="1:30" s="1338" customFormat="1" ht="27">
      <c r="A12" s="2916"/>
      <c r="B12" s="2921" t="s">
        <v>2760</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428"/>
      <c r="Q12" s="1151" t="str">
        <f t="shared" si="6"/>
        <v>土地使用年限（年）</v>
      </c>
      <c r="R12" s="1568" t="s">
        <v>8</v>
      </c>
      <c r="S12" s="1569">
        <f t="shared" si="0"/>
        <v>101</v>
      </c>
      <c r="T12" s="1568" t="s">
        <v>8</v>
      </c>
      <c r="U12" s="1569">
        <f t="shared" si="1"/>
        <v>101</v>
      </c>
      <c r="V12" s="1568" t="s">
        <v>8</v>
      </c>
      <c r="W12" s="1569">
        <f t="shared" si="2"/>
        <v>101</v>
      </c>
      <c r="X12" s="1570"/>
      <c r="Y12" s="3367"/>
      <c r="Z12" s="1150" t="str">
        <f t="shared" si="7"/>
        <v>土地使用年限（年）</v>
      </c>
      <c r="AA12" s="1571">
        <f t="shared" si="3"/>
        <v>0.99009900990099009</v>
      </c>
      <c r="AB12" s="1571">
        <f t="shared" si="4"/>
        <v>0.99009900990099009</v>
      </c>
      <c r="AC12" s="1571">
        <f t="shared" si="5"/>
        <v>0.99009900990099009</v>
      </c>
    </row>
    <row r="13" spans="1:30" ht="20.25">
      <c r="A13" s="2917"/>
      <c r="B13" s="2921"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28"/>
      <c r="Q13" s="1151" t="str">
        <f t="shared" si="6"/>
        <v>容积率</v>
      </c>
      <c r="R13" s="1568" t="s">
        <v>8</v>
      </c>
      <c r="S13" s="1569" t="e">
        <f t="shared" si="0"/>
        <v>#N/A</v>
      </c>
      <c r="T13" s="1568" t="s">
        <v>8</v>
      </c>
      <c r="U13" s="1569" t="e">
        <f t="shared" si="1"/>
        <v>#N/A</v>
      </c>
      <c r="V13" s="1568" t="s">
        <v>8</v>
      </c>
      <c r="W13" s="1569" t="e">
        <f t="shared" si="2"/>
        <v>#N/A</v>
      </c>
      <c r="X13" s="1570"/>
      <c r="Y13" s="3367"/>
      <c r="Z13" s="1150" t="str">
        <f t="shared" si="7"/>
        <v>容积率</v>
      </c>
      <c r="AA13" s="1571" t="e">
        <f t="shared" si="3"/>
        <v>#N/A</v>
      </c>
      <c r="AB13" s="1571" t="e">
        <f t="shared" si="4"/>
        <v>#N/A</v>
      </c>
      <c r="AC13" s="1571" t="e">
        <f t="shared" si="5"/>
        <v>#N/A</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28"/>
      <c r="Q14" s="1151" t="str">
        <f t="shared" si="6"/>
        <v>配建</v>
      </c>
      <c r="R14" s="1568" t="s">
        <v>8</v>
      </c>
      <c r="S14" s="1569">
        <f t="shared" si="0"/>
        <v>100</v>
      </c>
      <c r="T14" s="1568" t="s">
        <v>8</v>
      </c>
      <c r="U14" s="1569">
        <f t="shared" si="1"/>
        <v>100</v>
      </c>
      <c r="V14" s="1568" t="s">
        <v>8</v>
      </c>
      <c r="W14" s="1569">
        <f t="shared" si="2"/>
        <v>100</v>
      </c>
      <c r="X14" s="1570"/>
      <c r="Y14" s="3367"/>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28"/>
      <c r="Q15" s="1151">
        <f t="shared" si="6"/>
        <v>111</v>
      </c>
      <c r="R15" s="1568" t="s">
        <v>8</v>
      </c>
      <c r="S15" s="1569">
        <f t="shared" si="0"/>
        <v>100</v>
      </c>
      <c r="T15" s="1568" t="s">
        <v>8</v>
      </c>
      <c r="U15" s="1569">
        <f t="shared" si="1"/>
        <v>100</v>
      </c>
      <c r="V15" s="1568" t="s">
        <v>8</v>
      </c>
      <c r="W15" s="1569">
        <f t="shared" si="2"/>
        <v>100</v>
      </c>
      <c r="X15" s="1570"/>
      <c r="Y15" s="3367"/>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28"/>
      <c r="Q16" s="1151">
        <f t="shared" si="6"/>
        <v>111</v>
      </c>
      <c r="R16" s="1568" t="s">
        <v>8</v>
      </c>
      <c r="S16" s="1569">
        <f t="shared" si="0"/>
        <v>100</v>
      </c>
      <c r="T16" s="1568" t="s">
        <v>8</v>
      </c>
      <c r="U16" s="1569">
        <f t="shared" si="1"/>
        <v>100</v>
      </c>
      <c r="V16" s="1568" t="s">
        <v>8</v>
      </c>
      <c r="W16" s="1569">
        <f t="shared" si="2"/>
        <v>100</v>
      </c>
      <c r="X16" s="1570"/>
      <c r="Y16" s="3367"/>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30" t="s">
        <v>540</v>
      </c>
      <c r="Q17" s="1572" t="str">
        <f t="shared" si="6"/>
        <v>居住社区成熟度</v>
      </c>
      <c r="R17" s="1573" t="s">
        <v>8</v>
      </c>
      <c r="S17" s="1574">
        <f t="shared" si="0"/>
        <v>100</v>
      </c>
      <c r="T17" s="1573" t="s">
        <v>8</v>
      </c>
      <c r="U17" s="1574">
        <f t="shared" si="1"/>
        <v>100</v>
      </c>
      <c r="V17" s="1573" t="s">
        <v>8</v>
      </c>
      <c r="W17" s="1574">
        <f t="shared" si="2"/>
        <v>100</v>
      </c>
      <c r="X17" s="1567"/>
      <c r="Y17" s="3430"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31"/>
      <c r="Q18" s="1572"/>
      <c r="R18" s="1573"/>
      <c r="S18" s="1574"/>
      <c r="T18" s="1573"/>
      <c r="U18" s="1574"/>
      <c r="V18" s="1573"/>
      <c r="W18" s="1574"/>
      <c r="X18" s="1567"/>
      <c r="Y18" s="3431"/>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31"/>
      <c r="Q19" s="1572" t="str">
        <f>B19</f>
        <v>商业繁华度</v>
      </c>
      <c r="R19" s="1573" t="s">
        <v>8</v>
      </c>
      <c r="S19" s="1574">
        <f>F19</f>
        <v>100</v>
      </c>
      <c r="T19" s="1573" t="s">
        <v>8</v>
      </c>
      <c r="U19" s="1574">
        <f>H19</f>
        <v>100</v>
      </c>
      <c r="V19" s="1573" t="s">
        <v>8</v>
      </c>
      <c r="W19" s="1574">
        <f>J19</f>
        <v>100</v>
      </c>
      <c r="X19" s="1567"/>
      <c r="Y19" s="3431"/>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31"/>
      <c r="Q20" s="1572"/>
      <c r="R20" s="1573"/>
      <c r="S20" s="1574"/>
      <c r="T20" s="1573"/>
      <c r="U20" s="1574"/>
      <c r="V20" s="1573"/>
      <c r="W20" s="1574"/>
      <c r="X20" s="1567"/>
      <c r="Y20" s="3431"/>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31"/>
      <c r="Q21" s="1572" t="str">
        <f>B21</f>
        <v>办公集聚程度</v>
      </c>
      <c r="R21" s="1573" t="s">
        <v>8</v>
      </c>
      <c r="S21" s="1574">
        <f>F21</f>
        <v>100</v>
      </c>
      <c r="T21" s="1573" t="s">
        <v>8</v>
      </c>
      <c r="U21" s="1574">
        <f>H21</f>
        <v>100</v>
      </c>
      <c r="V21" s="1573" t="s">
        <v>8</v>
      </c>
      <c r="W21" s="1574">
        <f>J21</f>
        <v>100</v>
      </c>
      <c r="X21" s="1567"/>
      <c r="Y21" s="3431"/>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31"/>
      <c r="Q22" s="1572"/>
      <c r="R22" s="1573"/>
      <c r="S22" s="1574"/>
      <c r="T22" s="1573"/>
      <c r="U22" s="1574"/>
      <c r="V22" s="1573"/>
      <c r="W22" s="1574"/>
      <c r="X22" s="1567"/>
      <c r="Y22" s="3431"/>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31"/>
      <c r="Q23" s="1572" t="str">
        <f>B23</f>
        <v>交通便捷度</v>
      </c>
      <c r="R23" s="1573" t="s">
        <v>8</v>
      </c>
      <c r="S23" s="1574">
        <f>F23</f>
        <v>100</v>
      </c>
      <c r="T23" s="1573" t="s">
        <v>8</v>
      </c>
      <c r="U23" s="1574">
        <f>H23</f>
        <v>100</v>
      </c>
      <c r="V23" s="1573" t="s">
        <v>8</v>
      </c>
      <c r="W23" s="1574">
        <f>J23</f>
        <v>100</v>
      </c>
      <c r="X23" s="1567"/>
      <c r="Y23" s="3431"/>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31"/>
      <c r="Q24" s="1572"/>
      <c r="R24" s="1573"/>
      <c r="S24" s="1574"/>
      <c r="T24" s="1573"/>
      <c r="U24" s="1574"/>
      <c r="V24" s="1573"/>
      <c r="W24" s="1574"/>
      <c r="X24" s="1567"/>
      <c r="Y24" s="3431"/>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31"/>
      <c r="Q25" s="1572" t="str">
        <f t="shared" ref="Q25:Q39" si="8">B25</f>
        <v>区域土地利用方向</v>
      </c>
      <c r="R25" s="1573" t="s">
        <v>8</v>
      </c>
      <c r="S25" s="1574">
        <f>F25</f>
        <v>100</v>
      </c>
      <c r="T25" s="1573" t="s">
        <v>8</v>
      </c>
      <c r="U25" s="1574">
        <f>H25</f>
        <v>100</v>
      </c>
      <c r="V25" s="1573" t="s">
        <v>8</v>
      </c>
      <c r="W25" s="1574">
        <f>J25</f>
        <v>100</v>
      </c>
      <c r="X25" s="1567"/>
      <c r="Y25" s="3431"/>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31"/>
      <c r="Q26" s="1572"/>
      <c r="R26" s="1573"/>
      <c r="S26" s="1574"/>
      <c r="T26" s="1573"/>
      <c r="U26" s="1574"/>
      <c r="V26" s="1573"/>
      <c r="W26" s="1574"/>
      <c r="X26" s="1567"/>
      <c r="Y26" s="3431"/>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31"/>
      <c r="Q27" s="1572" t="str">
        <f t="shared" si="8"/>
        <v>自然及人文环境状况</v>
      </c>
      <c r="R27" s="1573" t="s">
        <v>8</v>
      </c>
      <c r="S27" s="1574">
        <f>F27</f>
        <v>100</v>
      </c>
      <c r="T27" s="1573" t="s">
        <v>8</v>
      </c>
      <c r="U27" s="1574">
        <f>H27</f>
        <v>100</v>
      </c>
      <c r="V27" s="1573" t="s">
        <v>8</v>
      </c>
      <c r="W27" s="1574">
        <f>J27</f>
        <v>100</v>
      </c>
      <c r="X27" s="1567"/>
      <c r="Y27" s="3431"/>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31"/>
      <c r="Q28" s="1572"/>
      <c r="R28" s="1573"/>
      <c r="S28" s="1574"/>
      <c r="T28" s="1573"/>
      <c r="U28" s="1574"/>
      <c r="V28" s="1573"/>
      <c r="W28" s="1574"/>
      <c r="X28" s="1567"/>
      <c r="Y28" s="3431"/>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31"/>
      <c r="Q29" s="1151" t="str">
        <f t="shared" si="8"/>
        <v>公共配套设施</v>
      </c>
      <c r="R29" s="1568" t="s">
        <v>8</v>
      </c>
      <c r="S29" s="1569">
        <f>F29</f>
        <v>100</v>
      </c>
      <c r="T29" s="1568" t="s">
        <v>8</v>
      </c>
      <c r="U29" s="1569">
        <f>H29</f>
        <v>100</v>
      </c>
      <c r="V29" s="1568" t="s">
        <v>8</v>
      </c>
      <c r="W29" s="1569">
        <f>J29</f>
        <v>100</v>
      </c>
      <c r="X29" s="1570"/>
      <c r="Y29" s="3431"/>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31"/>
      <c r="Q30" s="1151"/>
      <c r="R30" s="1568"/>
      <c r="S30" s="1569"/>
      <c r="T30" s="1568"/>
      <c r="U30" s="1569"/>
      <c r="V30" s="1568"/>
      <c r="W30" s="1569"/>
      <c r="X30" s="1570"/>
      <c r="Y30" s="3431"/>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31"/>
      <c r="Q31" s="2579" t="str">
        <f t="shared" ref="Q31" si="9">B31</f>
        <v>基础设施水平</v>
      </c>
      <c r="R31" s="1568" t="s">
        <v>8</v>
      </c>
      <c r="S31" s="1569">
        <f>F31</f>
        <v>100</v>
      </c>
      <c r="T31" s="1568" t="s">
        <v>8</v>
      </c>
      <c r="U31" s="1569">
        <f>H31</f>
        <v>100</v>
      </c>
      <c r="V31" s="1568" t="s">
        <v>8</v>
      </c>
      <c r="W31" s="1569">
        <f>J31</f>
        <v>100</v>
      </c>
      <c r="X31" s="1570"/>
      <c r="Y31" s="3431"/>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31"/>
      <c r="Q32" s="2579"/>
      <c r="R32" s="1568"/>
      <c r="S32" s="1569"/>
      <c r="T32" s="1568"/>
      <c r="U32" s="1569"/>
      <c r="V32" s="1568"/>
      <c r="W32" s="1569"/>
      <c r="X32" s="1570"/>
      <c r="Y32" s="3431"/>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3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31"/>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31"/>
      <c r="Q34" s="1572" t="str">
        <f t="shared" si="8"/>
        <v>毗邻道路的类型与等级</v>
      </c>
      <c r="R34" s="1573" t="s">
        <v>8</v>
      </c>
      <c r="S34" s="1574">
        <f t="shared" si="10"/>
        <v>100</v>
      </c>
      <c r="T34" s="1573" t="s">
        <v>8</v>
      </c>
      <c r="U34" s="1574">
        <f t="shared" si="11"/>
        <v>100</v>
      </c>
      <c r="V34" s="1573" t="s">
        <v>8</v>
      </c>
      <c r="W34" s="1574">
        <f t="shared" si="12"/>
        <v>100</v>
      </c>
      <c r="X34" s="1567"/>
      <c r="Y34" s="3431"/>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31"/>
      <c r="Q35" s="1572"/>
      <c r="R35" s="1573"/>
      <c r="S35" s="1574"/>
      <c r="T35" s="1573"/>
      <c r="U35" s="1574"/>
      <c r="V35" s="1573"/>
      <c r="W35" s="1574"/>
      <c r="X35" s="1567"/>
      <c r="Y35" s="3431"/>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31"/>
      <c r="Q36" s="1572" t="str">
        <f t="shared" si="8"/>
        <v>土地级别</v>
      </c>
      <c r="R36" s="1573" t="s">
        <v>8</v>
      </c>
      <c r="S36" s="1574">
        <f t="shared" si="10"/>
        <v>100</v>
      </c>
      <c r="T36" s="1573" t="s">
        <v>8</v>
      </c>
      <c r="U36" s="1574">
        <f t="shared" si="11"/>
        <v>100</v>
      </c>
      <c r="V36" s="1573" t="s">
        <v>8</v>
      </c>
      <c r="W36" s="1574">
        <f t="shared" si="12"/>
        <v>100</v>
      </c>
      <c r="X36" s="1567"/>
      <c r="Y36" s="3431"/>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1"/>
      <c r="Q37" s="1572">
        <f t="shared" si="8"/>
        <v>111</v>
      </c>
      <c r="R37" s="1573" t="s">
        <v>8</v>
      </c>
      <c r="S37" s="1574">
        <f t="shared" si="10"/>
        <v>100</v>
      </c>
      <c r="T37" s="1573" t="s">
        <v>8</v>
      </c>
      <c r="U37" s="1574">
        <f t="shared" si="11"/>
        <v>100</v>
      </c>
      <c r="V37" s="1573" t="s">
        <v>8</v>
      </c>
      <c r="W37" s="1574">
        <f t="shared" si="12"/>
        <v>100</v>
      </c>
      <c r="X37" s="1567"/>
      <c r="Y37" s="3431"/>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2" t="s">
        <v>550</v>
      </c>
      <c r="Q38" s="1572">
        <f t="shared" si="8"/>
        <v>111</v>
      </c>
      <c r="R38" s="1573" t="s">
        <v>8</v>
      </c>
      <c r="S38" s="1574">
        <f t="shared" si="10"/>
        <v>100</v>
      </c>
      <c r="T38" s="1573" t="s">
        <v>8</v>
      </c>
      <c r="U38" s="1574">
        <f t="shared" si="11"/>
        <v>100</v>
      </c>
      <c r="V38" s="1573" t="s">
        <v>8</v>
      </c>
      <c r="W38" s="1574">
        <f t="shared" si="12"/>
        <v>100</v>
      </c>
      <c r="X38" s="1567"/>
      <c r="Y38" s="3433"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3"/>
      <c r="Q39" s="1572">
        <f t="shared" si="8"/>
        <v>111</v>
      </c>
      <c r="R39" s="1577" t="s">
        <v>8</v>
      </c>
      <c r="S39" s="1578">
        <f t="shared" si="10"/>
        <v>100</v>
      </c>
      <c r="T39" s="1577" t="s">
        <v>8</v>
      </c>
      <c r="U39" s="1578">
        <f t="shared" si="11"/>
        <v>100</v>
      </c>
      <c r="V39" s="1577" t="s">
        <v>8</v>
      </c>
      <c r="W39" s="1578">
        <f t="shared" si="12"/>
        <v>100</v>
      </c>
      <c r="X39" s="1579"/>
      <c r="Y39" s="3433"/>
      <c r="Z39" s="1580">
        <f t="shared" si="13"/>
        <v>111</v>
      </c>
      <c r="AA39" s="1576">
        <f t="shared" si="3"/>
        <v>1</v>
      </c>
      <c r="AB39" s="1576">
        <f t="shared" si="4"/>
        <v>1</v>
      </c>
      <c r="AC39" s="1576">
        <f t="shared" si="5"/>
        <v>1</v>
      </c>
    </row>
    <row r="40" spans="1:29" ht="20.25">
      <c r="A40" s="2908"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33"/>
      <c r="Q40" s="1572" t="str">
        <f>B40</f>
        <v>宗地面积</v>
      </c>
      <c r="R40" s="1573" t="s">
        <v>8</v>
      </c>
      <c r="S40" s="1574" t="e">
        <f t="shared" si="10"/>
        <v>#N/A</v>
      </c>
      <c r="T40" s="1573" t="s">
        <v>8</v>
      </c>
      <c r="U40" s="1574" t="e">
        <f t="shared" si="11"/>
        <v>#N/A</v>
      </c>
      <c r="V40" s="1573" t="s">
        <v>8</v>
      </c>
      <c r="W40" s="1574" t="e">
        <f t="shared" si="12"/>
        <v>#N/A</v>
      </c>
      <c r="X40" s="1567"/>
      <c r="Y40" s="3433"/>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33"/>
      <c r="Q41" s="1572" t="str">
        <f t="shared" ref="Q41:Q47" si="14">B41</f>
        <v>宗地形状</v>
      </c>
      <c r="R41" s="1573" t="s">
        <v>8</v>
      </c>
      <c r="S41" s="1574">
        <f t="shared" si="10"/>
        <v>100</v>
      </c>
      <c r="T41" s="1573" t="s">
        <v>8</v>
      </c>
      <c r="U41" s="1574">
        <f t="shared" si="11"/>
        <v>100</v>
      </c>
      <c r="V41" s="1573" t="s">
        <v>8</v>
      </c>
      <c r="W41" s="1574">
        <f t="shared" si="12"/>
        <v>100</v>
      </c>
      <c r="X41" s="1567"/>
      <c r="Y41" s="3433"/>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33"/>
      <c r="Q42" s="1572" t="str">
        <f t="shared" si="14"/>
        <v>临街宽度及深度</v>
      </c>
      <c r="R42" s="1573" t="s">
        <v>8</v>
      </c>
      <c r="S42" s="1574">
        <f t="shared" si="10"/>
        <v>100</v>
      </c>
      <c r="T42" s="1573" t="s">
        <v>8</v>
      </c>
      <c r="U42" s="1574">
        <f t="shared" si="11"/>
        <v>100</v>
      </c>
      <c r="V42" s="1573" t="s">
        <v>8</v>
      </c>
      <c r="W42" s="1574">
        <f t="shared" si="12"/>
        <v>100</v>
      </c>
      <c r="X42" s="1567"/>
      <c r="Y42" s="3433"/>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33"/>
      <c r="Q43" s="1572" t="str">
        <f t="shared" si="14"/>
        <v>宗地开发程度</v>
      </c>
      <c r="R43" s="1568" t="s">
        <v>8</v>
      </c>
      <c r="S43" s="1569">
        <f t="shared" si="10"/>
        <v>100</v>
      </c>
      <c r="T43" s="1568" t="s">
        <v>8</v>
      </c>
      <c r="U43" s="1569">
        <f t="shared" si="11"/>
        <v>100</v>
      </c>
      <c r="V43" s="1568" t="s">
        <v>8</v>
      </c>
      <c r="W43" s="1569">
        <f t="shared" si="12"/>
        <v>100</v>
      </c>
      <c r="X43" s="1570"/>
      <c r="Y43" s="3433"/>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33" t="s">
        <v>550</v>
      </c>
      <c r="Q44" s="1572" t="str">
        <f t="shared" si="14"/>
        <v>工程地质条件</v>
      </c>
      <c r="R44" s="1573" t="s">
        <v>8</v>
      </c>
      <c r="S44" s="1574">
        <f t="shared" si="10"/>
        <v>100</v>
      </c>
      <c r="T44" s="1573" t="s">
        <v>8</v>
      </c>
      <c r="U44" s="1574">
        <f t="shared" si="11"/>
        <v>100</v>
      </c>
      <c r="V44" s="1573" t="s">
        <v>8</v>
      </c>
      <c r="W44" s="1574">
        <f t="shared" si="12"/>
        <v>100</v>
      </c>
      <c r="X44" s="1567"/>
      <c r="Y44" s="3433"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3"/>
      <c r="Q45" s="1572">
        <f t="shared" si="14"/>
        <v>111</v>
      </c>
      <c r="R45" s="1573" t="s">
        <v>8</v>
      </c>
      <c r="S45" s="1574">
        <f t="shared" si="10"/>
        <v>100</v>
      </c>
      <c r="T45" s="1573" t="s">
        <v>8</v>
      </c>
      <c r="U45" s="1574">
        <f t="shared" si="11"/>
        <v>100</v>
      </c>
      <c r="V45" s="1573" t="s">
        <v>8</v>
      </c>
      <c r="W45" s="1574">
        <f t="shared" si="12"/>
        <v>100</v>
      </c>
      <c r="X45" s="1567"/>
      <c r="Y45" s="3433"/>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3"/>
      <c r="Q46" s="1572">
        <f t="shared" si="14"/>
        <v>111</v>
      </c>
      <c r="R46" s="1573" t="s">
        <v>8</v>
      </c>
      <c r="S46" s="1574">
        <f t="shared" si="10"/>
        <v>100</v>
      </c>
      <c r="T46" s="1573" t="s">
        <v>8</v>
      </c>
      <c r="U46" s="1574">
        <f t="shared" si="11"/>
        <v>100</v>
      </c>
      <c r="V46" s="1573" t="s">
        <v>8</v>
      </c>
      <c r="W46" s="1574">
        <f t="shared" si="12"/>
        <v>100</v>
      </c>
      <c r="X46" s="1567"/>
      <c r="Y46" s="3433"/>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3"/>
      <c r="Q47" s="1572">
        <f t="shared" si="14"/>
        <v>111</v>
      </c>
      <c r="R47" s="1577" t="s">
        <v>8</v>
      </c>
      <c r="S47" s="1578">
        <f t="shared" si="10"/>
        <v>100</v>
      </c>
      <c r="T47" s="1577" t="s">
        <v>8</v>
      </c>
      <c r="U47" s="1578">
        <f t="shared" si="11"/>
        <v>100</v>
      </c>
      <c r="V47" s="1577" t="s">
        <v>8</v>
      </c>
      <c r="W47" s="1578">
        <f t="shared" si="12"/>
        <v>100</v>
      </c>
      <c r="X47" s="1579"/>
      <c r="Y47" s="3433"/>
      <c r="Z47" s="1580">
        <f t="shared" si="13"/>
        <v>111</v>
      </c>
      <c r="AA47" s="1576">
        <f t="shared" si="3"/>
        <v>1</v>
      </c>
      <c r="AB47" s="1576">
        <f t="shared" si="4"/>
        <v>1</v>
      </c>
      <c r="AC47" s="1576">
        <f t="shared" si="5"/>
        <v>1</v>
      </c>
    </row>
    <row r="48" spans="1:29" ht="20.25">
      <c r="A48" s="607" t="s">
        <v>556</v>
      </c>
      <c r="B48" s="608" t="s">
        <v>2938</v>
      </c>
      <c r="C48" s="609" t="s">
        <v>1</v>
      </c>
      <c r="D48" s="610"/>
      <c r="E48" s="611"/>
      <c r="F48" s="612"/>
      <c r="G48" s="613"/>
      <c r="H48" s="614"/>
      <c r="I48" s="611"/>
      <c r="J48" s="614"/>
      <c r="K48" s="1340"/>
      <c r="L48" s="2145"/>
      <c r="M48" s="2133"/>
      <c r="N48" s="2133"/>
      <c r="O48" s="2146"/>
      <c r="P48" s="3428" t="str">
        <f>A48</f>
        <v>成交单价</v>
      </c>
      <c r="Q48" s="3428"/>
      <c r="R48" s="3442">
        <f>E48</f>
        <v>0</v>
      </c>
      <c r="S48" s="3442"/>
      <c r="T48" s="3442">
        <f>G48</f>
        <v>0</v>
      </c>
      <c r="U48" s="3442"/>
      <c r="V48" s="3442">
        <f>I48</f>
        <v>0</v>
      </c>
      <c r="W48" s="3442"/>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428" t="str">
        <f>A49</f>
        <v>比较价格（元/平方米）</v>
      </c>
      <c r="Q49" s="3428"/>
      <c r="R49" s="3452" t="e">
        <f>ROUND(PRODUCT(R48,AA9:AA47),0)</f>
        <v>#DIV/0!</v>
      </c>
      <c r="S49" s="3452"/>
      <c r="T49" s="3452" t="e">
        <f>ROUND(PRODUCT(T48,AB9:AB47),0)</f>
        <v>#DIV/0!</v>
      </c>
      <c r="U49" s="3452"/>
      <c r="V49" s="3452" t="e">
        <f>ROUND(PRODUCT(V48,AC9:AC47),0)</f>
        <v>#DIV/0!</v>
      </c>
      <c r="W49" s="3452"/>
      <c r="X49" s="1559"/>
      <c r="Y49" s="1559"/>
      <c r="Z49" s="1559"/>
      <c r="AA49" s="1559"/>
      <c r="AB49" s="1559"/>
      <c r="AC49" s="1559"/>
    </row>
    <row r="50" spans="1:29" ht="21" thickBot="1">
      <c r="A50" s="621" t="s">
        <v>2939</v>
      </c>
      <c r="B50" s="622"/>
      <c r="C50" s="623" t="e">
        <f>R50</f>
        <v>#DIV/0!</v>
      </c>
      <c r="D50" s="623"/>
      <c r="E50" s="623"/>
      <c r="F50" s="623"/>
      <c r="G50" s="623"/>
      <c r="H50" s="623"/>
      <c r="I50" s="623"/>
      <c r="J50" s="623"/>
      <c r="K50" s="1342"/>
      <c r="L50" s="2145"/>
      <c r="M50" s="2133"/>
      <c r="N50" s="2133"/>
      <c r="O50" s="2146"/>
      <c r="P50" s="3449" t="str">
        <f>A50</f>
        <v>估价对象XX用房的比较价格（楼面单价，元/平方米）</v>
      </c>
      <c r="Q50" s="3450"/>
      <c r="R50" s="3451" t="e">
        <f>ROUND(AVERAGE(R49:V49),0)</f>
        <v>#DIV/0!</v>
      </c>
      <c r="S50" s="3451"/>
      <c r="T50" s="3451"/>
      <c r="U50" s="3451"/>
      <c r="V50" s="3451"/>
      <c r="W50" s="3451"/>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12" t="s">
        <v>2284</v>
      </c>
      <c r="H57" s="3413"/>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20000</v>
      </c>
      <c r="F58" s="636" t="e">
        <f t="shared" ref="F58:F67" si="15">ROUND(B58*E58/10000,0)</f>
        <v>#DIV/0!</v>
      </c>
      <c r="G58" s="3414"/>
      <c r="H58" s="3415"/>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16"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16"/>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16"/>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16"/>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t="e">
        <f t="shared" si="17"/>
        <v>#DIV/0!</v>
      </c>
      <c r="C63" s="378">
        <f t="shared" si="16"/>
        <v>0.25</v>
      </c>
      <c r="D63" s="2230">
        <v>0.25</v>
      </c>
      <c r="E63" s="641">
        <f>'数据-汇总表'!E11</f>
        <v>0</v>
      </c>
      <c r="F63" s="636" t="e">
        <f t="shared" si="15"/>
        <v>#DIV/0!</v>
      </c>
      <c r="G63" s="1946" t="s">
        <v>2286</v>
      </c>
      <c r="H63" s="1949" t="str">
        <f>项目基本情况!C43</f>
        <v>七级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0.25</v>
      </c>
      <c r="D64" s="2230">
        <v>0.25</v>
      </c>
      <c r="E64" s="641">
        <f>'数据-汇总表'!E12</f>
        <v>3618.52</v>
      </c>
      <c r="F64" s="636" t="e">
        <f t="shared" si="15"/>
        <v>#DIV/0!</v>
      </c>
      <c r="G64" s="1947" t="s">
        <v>1678</v>
      </c>
      <c r="H64" s="1945" t="str">
        <f>IF(G64="商业",项目基本情况!B43,IF(G64="办公",项目基本情况!C43,IF(G64="住宅",项目基本情况!D43,项目基本情况!E43)))</f>
        <v>七级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0.2</v>
      </c>
      <c r="D65" s="2230">
        <v>0.25</v>
      </c>
      <c r="E65" s="641">
        <f>'数据-汇总表'!E13</f>
        <v>4101.03</v>
      </c>
      <c r="F65" s="636" t="e">
        <f t="shared" si="15"/>
        <v>#DIV/0!</v>
      </c>
      <c r="G65" s="1947" t="s">
        <v>923</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0.2</v>
      </c>
      <c r="D67" s="2230">
        <v>0.25</v>
      </c>
      <c r="E67" s="641">
        <f>'数据-汇总表'!E15</f>
        <v>0</v>
      </c>
      <c r="F67" s="636" t="e">
        <f t="shared" si="15"/>
        <v>#DIV/0!</v>
      </c>
      <c r="G67" s="1948" t="s">
        <v>2286</v>
      </c>
      <c r="H67" s="1950" t="str">
        <f>项目基本情况!C43</f>
        <v>七级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2245</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2018-6-1</v>
      </c>
      <c r="D70" s="2800">
        <f>EDATE(C70,-3)</f>
        <v>43160</v>
      </c>
      <c r="E70" s="2800">
        <f t="shared" ref="E70:N70" si="18">EDATE(D70,-3)</f>
        <v>43070</v>
      </c>
      <c r="F70" s="2800">
        <f t="shared" si="18"/>
        <v>42979</v>
      </c>
      <c r="G70" s="2800">
        <f t="shared" si="18"/>
        <v>42887</v>
      </c>
      <c r="H70" s="2800">
        <f t="shared" si="18"/>
        <v>42795</v>
      </c>
      <c r="I70" s="2800">
        <f t="shared" si="18"/>
        <v>42705</v>
      </c>
      <c r="J70" s="2800">
        <f t="shared" si="18"/>
        <v>42614</v>
      </c>
      <c r="K70" s="2800">
        <f t="shared" si="18"/>
        <v>42522</v>
      </c>
      <c r="L70" s="2800">
        <f t="shared" si="18"/>
        <v>42430</v>
      </c>
      <c r="M70" s="2800">
        <f t="shared" si="18"/>
        <v>42339</v>
      </c>
      <c r="N70" s="2800">
        <f t="shared" si="18"/>
        <v>42248</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2018-2</v>
      </c>
      <c r="D72" s="2802" t="str">
        <f>YEAR(D70)&amp;"-"&amp;ROUNDUP(MONTH(D70)/3,0)</f>
        <v>2018-1</v>
      </c>
      <c r="E72" s="2802" t="str">
        <f t="shared" ref="E72:N72" si="19">YEAR(E70)&amp;"-"&amp;ROUNDUP(MONTH(E70)/3,0)</f>
        <v>2017-4</v>
      </c>
      <c r="F72" s="2802" t="str">
        <f t="shared" si="19"/>
        <v>2017-3</v>
      </c>
      <c r="G72" s="2802" t="str">
        <f t="shared" si="19"/>
        <v>2017-2</v>
      </c>
      <c r="H72" s="2802" t="str">
        <f t="shared" si="19"/>
        <v>2017-1</v>
      </c>
      <c r="I72" s="2802" t="str">
        <f t="shared" si="19"/>
        <v>2016-4</v>
      </c>
      <c r="J72" s="2802" t="str">
        <f t="shared" si="19"/>
        <v>2016-3</v>
      </c>
      <c r="K72" s="2802" t="str">
        <f t="shared" si="19"/>
        <v>2016-2</v>
      </c>
      <c r="L72" s="2802" t="str">
        <f t="shared" si="19"/>
        <v>2016-1</v>
      </c>
      <c r="M72" s="2802" t="str">
        <f t="shared" si="19"/>
        <v>2015-4</v>
      </c>
      <c r="N72" s="2802"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34" t="s">
        <v>522</v>
      </c>
      <c r="D6" s="3435"/>
      <c r="E6" s="3458" t="s">
        <v>523</v>
      </c>
      <c r="F6" s="3459"/>
      <c r="G6" s="3434" t="s">
        <v>524</v>
      </c>
      <c r="H6" s="3435"/>
      <c r="I6" s="3434" t="s">
        <v>525</v>
      </c>
      <c r="J6" s="3435"/>
      <c r="K6" s="514" t="s">
        <v>526</v>
      </c>
      <c r="L6" s="2134"/>
      <c r="M6" s="2135"/>
      <c r="N6" s="2135"/>
      <c r="O6" s="2135"/>
      <c r="P6" s="3436" t="s">
        <v>527</v>
      </c>
      <c r="Q6" s="3437"/>
      <c r="R6" s="3422" t="s">
        <v>523</v>
      </c>
      <c r="S6" s="3423"/>
      <c r="T6" s="3422" t="s">
        <v>524</v>
      </c>
      <c r="U6" s="3423"/>
      <c r="V6" s="3442" t="s">
        <v>525</v>
      </c>
      <c r="W6" s="3442"/>
      <c r="X6" s="1567"/>
      <c r="Y6" s="3422" t="s">
        <v>527</v>
      </c>
      <c r="Z6" s="3423"/>
      <c r="AA6" s="3417" t="s">
        <v>523</v>
      </c>
      <c r="AB6" s="3418" t="s">
        <v>524</v>
      </c>
      <c r="AC6" s="3417" t="s">
        <v>525</v>
      </c>
    </row>
    <row r="7" spans="1:29" ht="15">
      <c r="A7" s="515"/>
      <c r="B7" s="516"/>
      <c r="C7" s="3445" t="s">
        <v>2933</v>
      </c>
      <c r="D7" s="3446"/>
      <c r="E7" s="3460" t="s">
        <v>2934</v>
      </c>
      <c r="F7" s="3461"/>
      <c r="G7" s="3445" t="s">
        <v>2935</v>
      </c>
      <c r="H7" s="3446"/>
      <c r="I7" s="3445" t="s">
        <v>2936</v>
      </c>
      <c r="J7" s="3446"/>
      <c r="K7" s="514"/>
      <c r="L7" s="2134"/>
      <c r="M7" s="2135"/>
      <c r="N7" s="2135"/>
      <c r="O7" s="2135"/>
      <c r="P7" s="3438"/>
      <c r="Q7" s="3439"/>
      <c r="R7" s="3424"/>
      <c r="S7" s="3425"/>
      <c r="T7" s="3424"/>
      <c r="U7" s="3425"/>
      <c r="V7" s="3442"/>
      <c r="W7" s="3442"/>
      <c r="X7" s="1567"/>
      <c r="Y7" s="3424"/>
      <c r="Z7" s="3425"/>
      <c r="AA7" s="3418"/>
      <c r="AB7" s="3418"/>
      <c r="AC7" s="3418"/>
    </row>
    <row r="8" spans="1:29" ht="15.75" thickBot="1">
      <c r="A8" s="517"/>
      <c r="B8" s="518"/>
      <c r="C8" s="3443" t="s">
        <v>2937</v>
      </c>
      <c r="D8" s="3444"/>
      <c r="E8" s="3462" t="s">
        <v>2937</v>
      </c>
      <c r="F8" s="3463"/>
      <c r="G8" s="3443" t="s">
        <v>2937</v>
      </c>
      <c r="H8" s="3444"/>
      <c r="I8" s="3443" t="s">
        <v>2937</v>
      </c>
      <c r="J8" s="3444"/>
      <c r="K8" s="514" t="s">
        <v>528</v>
      </c>
      <c r="L8" s="2134"/>
      <c r="M8" s="2135"/>
      <c r="N8" s="2135"/>
      <c r="O8" s="2135"/>
      <c r="P8" s="3440"/>
      <c r="Q8" s="3441"/>
      <c r="R8" s="3424"/>
      <c r="S8" s="3425"/>
      <c r="T8" s="3426"/>
      <c r="U8" s="3427"/>
      <c r="V8" s="3442"/>
      <c r="W8" s="3442"/>
      <c r="X8" s="1567"/>
      <c r="Y8" s="3426"/>
      <c r="Z8" s="3427"/>
      <c r="AA8" s="3419"/>
      <c r="AB8" s="3419"/>
      <c r="AC8" s="3419"/>
    </row>
    <row r="9" spans="1:29" s="1220" customFormat="1" ht="15.75" thickBot="1">
      <c r="A9" s="2913"/>
      <c r="B9" s="2920" t="s">
        <v>529</v>
      </c>
      <c r="C9" s="519">
        <f>'数据-取费表'!B2</f>
        <v>43273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0" t="s">
        <v>530</v>
      </c>
      <c r="Q9" s="3429"/>
      <c r="R9" s="1568" t="s">
        <v>8</v>
      </c>
      <c r="S9" s="1569">
        <f t="shared" ref="S9:S17" si="0">F9</f>
        <v>0</v>
      </c>
      <c r="T9" s="1568" t="s">
        <v>8</v>
      </c>
      <c r="U9" s="1569">
        <f t="shared" ref="U9:U17" si="1">H9</f>
        <v>0</v>
      </c>
      <c r="V9" s="1568" t="s">
        <v>8</v>
      </c>
      <c r="W9" s="1569">
        <f t="shared" ref="W9:W17" si="2">J9</f>
        <v>0</v>
      </c>
      <c r="X9" s="1570"/>
      <c r="Y9" s="3420" t="s">
        <v>530</v>
      </c>
      <c r="Z9" s="3421"/>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0" t="s">
        <v>533</v>
      </c>
      <c r="Q10" s="3421"/>
      <c r="R10" s="1568" t="s">
        <v>8</v>
      </c>
      <c r="S10" s="1569">
        <f t="shared" si="0"/>
        <v>0</v>
      </c>
      <c r="T10" s="1568" t="s">
        <v>8</v>
      </c>
      <c r="U10" s="1569">
        <f t="shared" si="1"/>
        <v>0</v>
      </c>
      <c r="V10" s="1568" t="s">
        <v>8</v>
      </c>
      <c r="W10" s="1569">
        <f t="shared" si="2"/>
        <v>0</v>
      </c>
      <c r="X10" s="1570"/>
      <c r="Y10" s="3420" t="s">
        <v>533</v>
      </c>
      <c r="Z10" s="3421"/>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28" t="s">
        <v>535</v>
      </c>
      <c r="Q11" s="1151" t="str">
        <f t="shared" ref="Q11:Q17" si="6">B11</f>
        <v>用途</v>
      </c>
      <c r="R11" s="1568" t="s">
        <v>8</v>
      </c>
      <c r="S11" s="1569">
        <f t="shared" si="0"/>
        <v>100</v>
      </c>
      <c r="T11" s="1568" t="s">
        <v>8</v>
      </c>
      <c r="U11" s="1569">
        <f t="shared" si="1"/>
        <v>100</v>
      </c>
      <c r="V11" s="1568" t="s">
        <v>8</v>
      </c>
      <c r="W11" s="1569">
        <f t="shared" si="2"/>
        <v>100</v>
      </c>
      <c r="X11" s="1570"/>
      <c r="Y11" s="3367"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28"/>
      <c r="Q12" s="1151" t="str">
        <f t="shared" si="6"/>
        <v>土地使用年限（年）</v>
      </c>
      <c r="R12" s="1568" t="s">
        <v>8</v>
      </c>
      <c r="S12" s="1569">
        <f t="shared" si="0"/>
        <v>101</v>
      </c>
      <c r="T12" s="1568" t="s">
        <v>8</v>
      </c>
      <c r="U12" s="1569">
        <f t="shared" si="1"/>
        <v>101</v>
      </c>
      <c r="V12" s="1568" t="s">
        <v>8</v>
      </c>
      <c r="W12" s="1569">
        <f t="shared" si="2"/>
        <v>101</v>
      </c>
      <c r="X12" s="1570"/>
      <c r="Y12" s="3367"/>
      <c r="Z12" s="1150" t="str">
        <f t="shared" si="7"/>
        <v>土地使用年限（年）</v>
      </c>
      <c r="AA12" s="1571">
        <f t="shared" si="3"/>
        <v>0.99009900990099009</v>
      </c>
      <c r="AB12" s="1571">
        <f t="shared" si="4"/>
        <v>0.99009900990099009</v>
      </c>
      <c r="AC12" s="1571">
        <f t="shared" si="5"/>
        <v>0.99009900990099009</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28"/>
      <c r="Q13" s="1151" t="str">
        <f t="shared" si="6"/>
        <v>容积率</v>
      </c>
      <c r="R13" s="1568" t="s">
        <v>8</v>
      </c>
      <c r="S13" s="1569" t="e">
        <f t="shared" si="0"/>
        <v>#N/A</v>
      </c>
      <c r="T13" s="1568" t="s">
        <v>8</v>
      </c>
      <c r="U13" s="1569" t="e">
        <f t="shared" si="1"/>
        <v>#N/A</v>
      </c>
      <c r="V13" s="1568" t="s">
        <v>8</v>
      </c>
      <c r="W13" s="1569" t="e">
        <f t="shared" si="2"/>
        <v>#N/A</v>
      </c>
      <c r="X13" s="1570"/>
      <c r="Y13" s="3367"/>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28"/>
      <c r="Q14" s="1151">
        <f t="shared" si="6"/>
        <v>111</v>
      </c>
      <c r="R14" s="1568" t="s">
        <v>8</v>
      </c>
      <c r="S14" s="1569">
        <f t="shared" si="0"/>
        <v>100</v>
      </c>
      <c r="T14" s="1568" t="s">
        <v>8</v>
      </c>
      <c r="U14" s="1569">
        <f t="shared" si="1"/>
        <v>100</v>
      </c>
      <c r="V14" s="1568" t="s">
        <v>8</v>
      </c>
      <c r="W14" s="1569">
        <f t="shared" si="2"/>
        <v>100</v>
      </c>
      <c r="X14" s="1570"/>
      <c r="Y14" s="3367"/>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28"/>
      <c r="Q15" s="1151">
        <f t="shared" si="6"/>
        <v>111</v>
      </c>
      <c r="R15" s="1568" t="s">
        <v>8</v>
      </c>
      <c r="S15" s="1569">
        <f t="shared" si="0"/>
        <v>100</v>
      </c>
      <c r="T15" s="1568" t="s">
        <v>8</v>
      </c>
      <c r="U15" s="1569">
        <f t="shared" si="1"/>
        <v>100</v>
      </c>
      <c r="V15" s="1568" t="s">
        <v>8</v>
      </c>
      <c r="W15" s="1569">
        <f t="shared" si="2"/>
        <v>100</v>
      </c>
      <c r="X15" s="1570"/>
      <c r="Y15" s="3367"/>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28"/>
      <c r="Q16" s="1151">
        <f t="shared" si="6"/>
        <v>111</v>
      </c>
      <c r="R16" s="1568" t="s">
        <v>8</v>
      </c>
      <c r="S16" s="1569">
        <f t="shared" si="0"/>
        <v>100</v>
      </c>
      <c r="T16" s="1568" t="s">
        <v>8</v>
      </c>
      <c r="U16" s="1569">
        <f t="shared" si="1"/>
        <v>100</v>
      </c>
      <c r="V16" s="1568" t="s">
        <v>8</v>
      </c>
      <c r="W16" s="1569">
        <f t="shared" si="2"/>
        <v>100</v>
      </c>
      <c r="X16" s="1570"/>
      <c r="Y16" s="3367"/>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0" t="s">
        <v>540</v>
      </c>
      <c r="Q17" s="1572" t="str">
        <f t="shared" si="6"/>
        <v>产业集聚程度</v>
      </c>
      <c r="R17" s="1573" t="s">
        <v>8</v>
      </c>
      <c r="S17" s="1574">
        <f t="shared" si="0"/>
        <v>100</v>
      </c>
      <c r="T17" s="1573" t="s">
        <v>8</v>
      </c>
      <c r="U17" s="1574">
        <f t="shared" si="1"/>
        <v>100</v>
      </c>
      <c r="V17" s="1573" t="s">
        <v>8</v>
      </c>
      <c r="W17" s="1574">
        <f t="shared" si="2"/>
        <v>100</v>
      </c>
      <c r="X17" s="1567"/>
      <c r="Y17" s="3430"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1"/>
      <c r="Q18" s="1572"/>
      <c r="R18" s="1573"/>
      <c r="S18" s="1574"/>
      <c r="T18" s="1573"/>
      <c r="U18" s="1574"/>
      <c r="V18" s="1573"/>
      <c r="W18" s="1574"/>
      <c r="X18" s="1567"/>
      <c r="Y18" s="3431"/>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1"/>
      <c r="Q19" s="1572" t="str">
        <f>B19</f>
        <v>交通便捷度</v>
      </c>
      <c r="R19" s="1573" t="s">
        <v>8</v>
      </c>
      <c r="S19" s="1574">
        <f>F19</f>
        <v>100</v>
      </c>
      <c r="T19" s="1573" t="s">
        <v>8</v>
      </c>
      <c r="U19" s="1574">
        <f>H19</f>
        <v>100</v>
      </c>
      <c r="V19" s="1573" t="s">
        <v>8</v>
      </c>
      <c r="W19" s="1574">
        <f>J19</f>
        <v>100</v>
      </c>
      <c r="X19" s="1567"/>
      <c r="Y19" s="3431"/>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31"/>
      <c r="Q20" s="1572"/>
      <c r="R20" s="1573"/>
      <c r="S20" s="1574"/>
      <c r="T20" s="1573"/>
      <c r="U20" s="1574"/>
      <c r="V20" s="1573"/>
      <c r="W20" s="1574"/>
      <c r="X20" s="1567"/>
      <c r="Y20" s="3431"/>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1"/>
      <c r="Q21" s="1572" t="str">
        <f t="shared" ref="Q21:Q35" si="8">B21</f>
        <v>区域土地利用方向</v>
      </c>
      <c r="R21" s="1573" t="s">
        <v>8</v>
      </c>
      <c r="S21" s="1574">
        <f>F21</f>
        <v>100</v>
      </c>
      <c r="T21" s="1573" t="s">
        <v>8</v>
      </c>
      <c r="U21" s="1574">
        <f>H21</f>
        <v>100</v>
      </c>
      <c r="V21" s="1573" t="s">
        <v>8</v>
      </c>
      <c r="W21" s="1574">
        <f>J21</f>
        <v>100</v>
      </c>
      <c r="X21" s="1567"/>
      <c r="Y21" s="343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31"/>
      <c r="Q22" s="1572"/>
      <c r="R22" s="1573"/>
      <c r="S22" s="1574"/>
      <c r="T22" s="1573"/>
      <c r="U22" s="1574"/>
      <c r="V22" s="1573"/>
      <c r="W22" s="1574"/>
      <c r="X22" s="1567"/>
      <c r="Y22" s="3431"/>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1"/>
      <c r="Q23" s="1572" t="str">
        <f t="shared" si="8"/>
        <v>环境状况</v>
      </c>
      <c r="R23" s="1573" t="s">
        <v>8</v>
      </c>
      <c r="S23" s="1574">
        <f>F23</f>
        <v>100</v>
      </c>
      <c r="T23" s="1573" t="s">
        <v>8</v>
      </c>
      <c r="U23" s="1574">
        <f>H23</f>
        <v>100</v>
      </c>
      <c r="V23" s="1573" t="s">
        <v>8</v>
      </c>
      <c r="W23" s="1574">
        <f>J23</f>
        <v>100</v>
      </c>
      <c r="X23" s="1567"/>
      <c r="Y23" s="343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1"/>
      <c r="Q24" s="1572"/>
      <c r="R24" s="1573"/>
      <c r="S24" s="1574"/>
      <c r="T24" s="1573"/>
      <c r="U24" s="1574"/>
      <c r="V24" s="1573"/>
      <c r="W24" s="1574"/>
      <c r="X24" s="1567"/>
      <c r="Y24" s="3431"/>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1"/>
      <c r="Q25" s="1151" t="str">
        <f t="shared" si="8"/>
        <v>公共配套设施</v>
      </c>
      <c r="R25" s="1568" t="s">
        <v>8</v>
      </c>
      <c r="S25" s="1569">
        <f>F25</f>
        <v>100</v>
      </c>
      <c r="T25" s="1568" t="s">
        <v>8</v>
      </c>
      <c r="U25" s="1569">
        <f>H25</f>
        <v>100</v>
      </c>
      <c r="V25" s="1568" t="s">
        <v>8</v>
      </c>
      <c r="W25" s="1569">
        <f>J25</f>
        <v>100</v>
      </c>
      <c r="X25" s="1570"/>
      <c r="Y25" s="3431"/>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31"/>
      <c r="Q26" s="1151"/>
      <c r="R26" s="1568"/>
      <c r="S26" s="1569"/>
      <c r="T26" s="1568"/>
      <c r="U26" s="1569"/>
      <c r="V26" s="1568"/>
      <c r="W26" s="1569"/>
      <c r="X26" s="1570"/>
      <c r="Y26" s="3431"/>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1"/>
      <c r="Q27" s="2579" t="str">
        <f t="shared" ref="Q27" si="9">B27</f>
        <v>基础设施水平</v>
      </c>
      <c r="R27" s="1568" t="s">
        <v>8</v>
      </c>
      <c r="S27" s="1569">
        <f>F27</f>
        <v>100</v>
      </c>
      <c r="T27" s="1568" t="s">
        <v>8</v>
      </c>
      <c r="U27" s="1569">
        <f>H27</f>
        <v>100</v>
      </c>
      <c r="V27" s="1568" t="s">
        <v>8</v>
      </c>
      <c r="W27" s="1569">
        <f>J27</f>
        <v>100</v>
      </c>
      <c r="X27" s="1570"/>
      <c r="Y27" s="3431"/>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31"/>
      <c r="Q28" s="2579"/>
      <c r="R28" s="1568"/>
      <c r="S28" s="1569"/>
      <c r="T28" s="1568"/>
      <c r="U28" s="1569"/>
      <c r="V28" s="1568"/>
      <c r="W28" s="1569"/>
      <c r="X28" s="1570"/>
      <c r="Y28" s="3431"/>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1"/>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1"/>
      <c r="Q30" s="1572" t="str">
        <f t="shared" si="8"/>
        <v>毗邻道路的类型与等级</v>
      </c>
      <c r="R30" s="1573" t="s">
        <v>8</v>
      </c>
      <c r="S30" s="1574">
        <f t="shared" si="10"/>
        <v>100</v>
      </c>
      <c r="T30" s="1573" t="s">
        <v>8</v>
      </c>
      <c r="U30" s="1574">
        <f t="shared" si="11"/>
        <v>100</v>
      </c>
      <c r="V30" s="1573" t="s">
        <v>8</v>
      </c>
      <c r="W30" s="1574">
        <f t="shared" si="12"/>
        <v>100</v>
      </c>
      <c r="X30" s="1567"/>
      <c r="Y30" s="343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1"/>
      <c r="Q31" s="1572"/>
      <c r="R31" s="1573"/>
      <c r="S31" s="1574"/>
      <c r="T31" s="1573"/>
      <c r="U31" s="1574"/>
      <c r="V31" s="1573"/>
      <c r="W31" s="1574"/>
      <c r="X31" s="1567"/>
      <c r="Y31" s="3431"/>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1"/>
      <c r="Q32" s="1572" t="str">
        <f t="shared" si="8"/>
        <v>土地级别</v>
      </c>
      <c r="R32" s="1573" t="s">
        <v>8</v>
      </c>
      <c r="S32" s="1574">
        <f t="shared" si="10"/>
        <v>100</v>
      </c>
      <c r="T32" s="1573" t="s">
        <v>8</v>
      </c>
      <c r="U32" s="1574">
        <f t="shared" si="11"/>
        <v>100</v>
      </c>
      <c r="V32" s="1573" t="s">
        <v>8</v>
      </c>
      <c r="W32" s="1574">
        <f t="shared" si="12"/>
        <v>100</v>
      </c>
      <c r="X32" s="1567"/>
      <c r="Y32" s="343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1"/>
      <c r="Q33" s="1572">
        <f t="shared" si="8"/>
        <v>111</v>
      </c>
      <c r="R33" s="1573" t="s">
        <v>8</v>
      </c>
      <c r="S33" s="1574">
        <f t="shared" si="10"/>
        <v>100</v>
      </c>
      <c r="T33" s="1573" t="s">
        <v>8</v>
      </c>
      <c r="U33" s="1574">
        <f t="shared" si="11"/>
        <v>100</v>
      </c>
      <c r="V33" s="1573" t="s">
        <v>8</v>
      </c>
      <c r="W33" s="1574">
        <f t="shared" si="12"/>
        <v>100</v>
      </c>
      <c r="X33" s="1567"/>
      <c r="Y33" s="343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2" t="s">
        <v>550</v>
      </c>
      <c r="Q34" s="1572">
        <f t="shared" si="8"/>
        <v>111</v>
      </c>
      <c r="R34" s="1573" t="s">
        <v>8</v>
      </c>
      <c r="S34" s="1574">
        <f t="shared" si="10"/>
        <v>100</v>
      </c>
      <c r="T34" s="1573" t="s">
        <v>8</v>
      </c>
      <c r="U34" s="1574">
        <f t="shared" si="11"/>
        <v>100</v>
      </c>
      <c r="V34" s="1573" t="s">
        <v>8</v>
      </c>
      <c r="W34" s="1574">
        <f t="shared" si="12"/>
        <v>100</v>
      </c>
      <c r="X34" s="1567"/>
      <c r="Y34" s="3433"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3"/>
      <c r="Q35" s="1572">
        <f t="shared" si="8"/>
        <v>111</v>
      </c>
      <c r="R35" s="1577" t="s">
        <v>8</v>
      </c>
      <c r="S35" s="1578">
        <f t="shared" si="10"/>
        <v>100</v>
      </c>
      <c r="T35" s="1577" t="s">
        <v>8</v>
      </c>
      <c r="U35" s="1578">
        <f t="shared" si="11"/>
        <v>100</v>
      </c>
      <c r="V35" s="1577" t="s">
        <v>8</v>
      </c>
      <c r="W35" s="1578">
        <f t="shared" si="12"/>
        <v>100</v>
      </c>
      <c r="X35" s="1579"/>
      <c r="Y35" s="3433"/>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3"/>
      <c r="Q36" s="1572" t="str">
        <f>B36</f>
        <v>宗地面积</v>
      </c>
      <c r="R36" s="1573" t="s">
        <v>8</v>
      </c>
      <c r="S36" s="1574" t="e">
        <f t="shared" si="10"/>
        <v>#N/A</v>
      </c>
      <c r="T36" s="1573" t="s">
        <v>8</v>
      </c>
      <c r="U36" s="1574" t="e">
        <f t="shared" si="11"/>
        <v>#N/A</v>
      </c>
      <c r="V36" s="1573" t="s">
        <v>8</v>
      </c>
      <c r="W36" s="1574" t="e">
        <f t="shared" si="12"/>
        <v>#N/A</v>
      </c>
      <c r="X36" s="1567"/>
      <c r="Y36" s="3433"/>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3"/>
      <c r="Q37" s="1572" t="str">
        <f t="shared" ref="Q37:Q42" si="14">B37</f>
        <v>宗地形状</v>
      </c>
      <c r="R37" s="1573" t="s">
        <v>8</v>
      </c>
      <c r="S37" s="1574">
        <f t="shared" si="10"/>
        <v>100</v>
      </c>
      <c r="T37" s="1573" t="s">
        <v>8</v>
      </c>
      <c r="U37" s="1574">
        <f t="shared" si="11"/>
        <v>100</v>
      </c>
      <c r="V37" s="1573" t="s">
        <v>8</v>
      </c>
      <c r="W37" s="1574">
        <f t="shared" si="12"/>
        <v>100</v>
      </c>
      <c r="X37" s="1567"/>
      <c r="Y37" s="3433"/>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3"/>
      <c r="Q38" s="1572" t="str">
        <f t="shared" si="14"/>
        <v>宗地开发程度</v>
      </c>
      <c r="R38" s="1568" t="s">
        <v>8</v>
      </c>
      <c r="S38" s="1569">
        <f t="shared" si="10"/>
        <v>100</v>
      </c>
      <c r="T38" s="1568" t="s">
        <v>8</v>
      </c>
      <c r="U38" s="1569">
        <f t="shared" si="11"/>
        <v>100</v>
      </c>
      <c r="V38" s="1568" t="s">
        <v>8</v>
      </c>
      <c r="W38" s="1569">
        <f t="shared" si="12"/>
        <v>100</v>
      </c>
      <c r="X38" s="1570"/>
      <c r="Y38" s="3433"/>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3" t="s">
        <v>601</v>
      </c>
      <c r="Q39" s="1572" t="str">
        <f t="shared" si="14"/>
        <v>工程地质条件</v>
      </c>
      <c r="R39" s="1573" t="s">
        <v>8</v>
      </c>
      <c r="S39" s="1574">
        <f t="shared" si="10"/>
        <v>100</v>
      </c>
      <c r="T39" s="1573" t="s">
        <v>8</v>
      </c>
      <c r="U39" s="1574">
        <f t="shared" si="11"/>
        <v>100</v>
      </c>
      <c r="V39" s="1573" t="s">
        <v>8</v>
      </c>
      <c r="W39" s="1574">
        <f t="shared" si="12"/>
        <v>100</v>
      </c>
      <c r="X39" s="1567"/>
      <c r="Y39" s="3433"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3"/>
      <c r="Q40" s="1572">
        <f t="shared" si="14"/>
        <v>111</v>
      </c>
      <c r="R40" s="1573" t="s">
        <v>8</v>
      </c>
      <c r="S40" s="1574">
        <f t="shared" si="10"/>
        <v>100</v>
      </c>
      <c r="T40" s="1573" t="s">
        <v>8</v>
      </c>
      <c r="U40" s="1574">
        <f t="shared" si="11"/>
        <v>100</v>
      </c>
      <c r="V40" s="1573" t="s">
        <v>8</v>
      </c>
      <c r="W40" s="1574">
        <f t="shared" si="12"/>
        <v>100</v>
      </c>
      <c r="X40" s="1567"/>
      <c r="Y40" s="343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3"/>
      <c r="Q41" s="1572">
        <f t="shared" si="14"/>
        <v>111</v>
      </c>
      <c r="R41" s="1573" t="s">
        <v>8</v>
      </c>
      <c r="S41" s="1574">
        <f t="shared" si="10"/>
        <v>100</v>
      </c>
      <c r="T41" s="1573" t="s">
        <v>8</v>
      </c>
      <c r="U41" s="1574">
        <f t="shared" si="11"/>
        <v>100</v>
      </c>
      <c r="V41" s="1573" t="s">
        <v>8</v>
      </c>
      <c r="W41" s="1574">
        <f t="shared" si="12"/>
        <v>100</v>
      </c>
      <c r="X41" s="1567"/>
      <c r="Y41" s="3433"/>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3"/>
      <c r="Q42" s="1572">
        <f t="shared" si="14"/>
        <v>111</v>
      </c>
      <c r="R42" s="1577" t="s">
        <v>8</v>
      </c>
      <c r="S42" s="1578">
        <f t="shared" si="10"/>
        <v>100</v>
      </c>
      <c r="T42" s="1577" t="s">
        <v>8</v>
      </c>
      <c r="U42" s="1578">
        <f t="shared" si="11"/>
        <v>100</v>
      </c>
      <c r="V42" s="1577" t="s">
        <v>8</v>
      </c>
      <c r="W42" s="1578">
        <f t="shared" si="12"/>
        <v>100</v>
      </c>
      <c r="X42" s="1579"/>
      <c r="Y42" s="3433"/>
      <c r="Z42" s="1580">
        <f t="shared" si="13"/>
        <v>111</v>
      </c>
      <c r="AA42" s="1576">
        <f t="shared" si="3"/>
        <v>1</v>
      </c>
      <c r="AB42" s="1576">
        <f t="shared" si="4"/>
        <v>1</v>
      </c>
      <c r="AC42" s="1576">
        <f t="shared" si="5"/>
        <v>1</v>
      </c>
    </row>
    <row r="43" spans="1:29" ht="15">
      <c r="A43" s="607" t="s">
        <v>556</v>
      </c>
      <c r="B43" s="608" t="s">
        <v>2938</v>
      </c>
      <c r="C43" s="609" t="s">
        <v>1</v>
      </c>
      <c r="D43" s="610"/>
      <c r="E43" s="611"/>
      <c r="F43" s="612"/>
      <c r="G43" s="613"/>
      <c r="H43" s="614"/>
      <c r="I43" s="611"/>
      <c r="J43" s="614"/>
      <c r="K43" s="1340"/>
      <c r="L43" s="2145"/>
      <c r="M43" s="2135"/>
      <c r="N43" s="2135"/>
      <c r="O43" s="2146"/>
      <c r="P43" s="3428" t="str">
        <f>A43</f>
        <v>成交单价</v>
      </c>
      <c r="Q43" s="3428"/>
      <c r="R43" s="3442">
        <f>E43</f>
        <v>0</v>
      </c>
      <c r="S43" s="3442"/>
      <c r="T43" s="3442">
        <f>G43</f>
        <v>0</v>
      </c>
      <c r="U43" s="3442"/>
      <c r="V43" s="3442">
        <f>I43</f>
        <v>0</v>
      </c>
      <c r="W43" s="3442"/>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28" t="str">
        <f>A44</f>
        <v>比较价格（元/平方米）</v>
      </c>
      <c r="Q44" s="3428"/>
      <c r="R44" s="3452" t="e">
        <f>ROUND(PRODUCT(R43,AA9:AA42),0)</f>
        <v>#DIV/0!</v>
      </c>
      <c r="S44" s="3452"/>
      <c r="T44" s="3452" t="e">
        <f>ROUND(PRODUCT(T43,AB9:AB42),0)</f>
        <v>#DIV/0!</v>
      </c>
      <c r="U44" s="3452"/>
      <c r="V44" s="3452" t="e">
        <f>ROUND(PRODUCT(V43,AC9:AC42),0)</f>
        <v>#DIV/0!</v>
      </c>
      <c r="W44" s="3452"/>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449" t="str">
        <f>A45</f>
        <v>估价对象XX用房的比较价格（楼面单价，元/平方米）</v>
      </c>
      <c r="Q45" s="3450"/>
      <c r="R45" s="3451" t="e">
        <f>ROUND(AVERAGE(R44:V44),0)</f>
        <v>#DIV/0!</v>
      </c>
      <c r="S45" s="3451"/>
      <c r="T45" s="3451"/>
      <c r="U45" s="3451"/>
      <c r="V45" s="3451"/>
      <c r="W45" s="3451"/>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53" t="s">
        <v>2287</v>
      </c>
      <c r="H52" s="3454"/>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20000</v>
      </c>
      <c r="F53" s="1951" t="e">
        <f t="shared" ref="F53:F62" si="15">ROUND(B53*E53/10000,0)</f>
        <v>#DIV/0!</v>
      </c>
      <c r="G53" s="3455"/>
      <c r="H53" s="3456"/>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57"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57"/>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57"/>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57"/>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0.25</v>
      </c>
      <c r="D58" s="2230">
        <v>0.25</v>
      </c>
      <c r="E58" s="641">
        <f>'数据-汇总表'!E11</f>
        <v>0</v>
      </c>
      <c r="F58" s="1951" t="e">
        <f t="shared" si="15"/>
        <v>#DIV/0!</v>
      </c>
      <c r="G58" s="1957" t="s">
        <v>2289</v>
      </c>
      <c r="H58" s="1956" t="str">
        <f>项目基本情况!C43</f>
        <v>七级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3618.52</v>
      </c>
      <c r="F59" s="1951" t="e">
        <f t="shared" si="15"/>
        <v>#DIV/0!</v>
      </c>
      <c r="G59" s="1947" t="s">
        <v>1678</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4101.03</v>
      </c>
      <c r="F60" s="1951" t="e">
        <f t="shared" si="15"/>
        <v>#DIV/0!</v>
      </c>
      <c r="G60" s="1947" t="s">
        <v>923</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2289</v>
      </c>
      <c r="H62" s="1959" t="str">
        <f>项目基本情况!C43</f>
        <v>七级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2245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2018-6-1</v>
      </c>
      <c r="D65" s="2800">
        <f>EDATE(C65,-3)</f>
        <v>43160</v>
      </c>
      <c r="E65" s="2800">
        <f t="shared" ref="E65:N65" si="18">EDATE(D65,-3)</f>
        <v>43070</v>
      </c>
      <c r="F65" s="2800">
        <f t="shared" si="18"/>
        <v>42979</v>
      </c>
      <c r="G65" s="2800">
        <f t="shared" si="18"/>
        <v>42887</v>
      </c>
      <c r="H65" s="2800">
        <f t="shared" si="18"/>
        <v>42795</v>
      </c>
      <c r="I65" s="2800">
        <f t="shared" si="18"/>
        <v>42705</v>
      </c>
      <c r="J65" s="2800">
        <f t="shared" si="18"/>
        <v>42614</v>
      </c>
      <c r="K65" s="2800">
        <f t="shared" si="18"/>
        <v>42522</v>
      </c>
      <c r="L65" s="2800">
        <f t="shared" si="18"/>
        <v>42430</v>
      </c>
      <c r="M65" s="2800">
        <f t="shared" si="18"/>
        <v>42339</v>
      </c>
      <c r="N65" s="2800">
        <f t="shared" si="18"/>
        <v>42248</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2018-2</v>
      </c>
      <c r="D67" s="2802" t="str">
        <f t="shared" ref="D67:N67" si="19">YEAR(D65)&amp;"-"&amp;ROUNDUP(MONTH(D65)/3,0)</f>
        <v>2018-1</v>
      </c>
      <c r="E67" s="2802" t="str">
        <f t="shared" si="19"/>
        <v>2017-4</v>
      </c>
      <c r="F67" s="2802" t="str">
        <f t="shared" si="19"/>
        <v>2017-3</v>
      </c>
      <c r="G67" s="2802" t="str">
        <f t="shared" si="19"/>
        <v>2017-2</v>
      </c>
      <c r="H67" s="2802" t="str">
        <f t="shared" si="19"/>
        <v>2017-1</v>
      </c>
      <c r="I67" s="2802" t="str">
        <f t="shared" si="19"/>
        <v>2016-4</v>
      </c>
      <c r="J67" s="2802" t="str">
        <f t="shared" si="19"/>
        <v>2016-3</v>
      </c>
      <c r="K67" s="2802" t="str">
        <f t="shared" si="19"/>
        <v>2016-2</v>
      </c>
      <c r="L67" s="2802" t="str">
        <f t="shared" si="19"/>
        <v>2016-1</v>
      </c>
      <c r="M67" s="2802" t="str">
        <f t="shared" si="19"/>
        <v>2015-4</v>
      </c>
      <c r="N67" s="2802"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北京市平均增长率1.35%</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N118"/>
  <sheetViews>
    <sheetView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23663</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16986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13703</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10995</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9363</v>
      </c>
      <c r="U6" s="2927"/>
      <c r="V6" s="2938">
        <f t="shared" ca="1" si="1"/>
        <v>0</v>
      </c>
      <c r="W6" s="2190"/>
      <c r="X6" s="2190"/>
      <c r="Y6" s="2190"/>
      <c r="Z6" s="2190"/>
      <c r="AA6" s="2190"/>
      <c r="AB6" s="2190"/>
      <c r="AC6" s="2192"/>
      <c r="AD6" s="1419"/>
      <c r="AE6" s="1419"/>
      <c r="AF6" s="1419"/>
      <c r="AG6" s="1419"/>
      <c r="AH6" s="1419"/>
      <c r="AI6" s="1419"/>
      <c r="AJ6" s="1420"/>
    </row>
    <row r="7" spans="1:39" ht="24">
      <c r="A7" s="3395"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8234</v>
      </c>
      <c r="U7" s="2927"/>
      <c r="V7" s="2938">
        <f t="shared" ca="1" si="1"/>
        <v>0</v>
      </c>
      <c r="W7" s="3181" t="s">
        <v>2767</v>
      </c>
      <c r="X7" s="2928" t="str">
        <f>G2</f>
        <v>七级</v>
      </c>
      <c r="Y7" s="2928" t="s">
        <v>2768</v>
      </c>
      <c r="Z7" s="2929">
        <f>G3</f>
        <v>1</v>
      </c>
      <c r="AA7" s="2193"/>
      <c r="AB7" s="2193"/>
      <c r="AC7" s="2194"/>
      <c r="AD7" s="2930"/>
      <c r="AE7" s="2930"/>
      <c r="AF7" s="2930"/>
      <c r="AG7" s="2930"/>
      <c r="AH7" s="2930"/>
      <c r="AI7" s="2930"/>
      <c r="AJ7" s="2931"/>
    </row>
    <row r="8" spans="1:39" ht="15">
      <c r="A8" s="3396"/>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5" t="s">
        <v>2785</v>
      </c>
      <c r="X8" s="3406"/>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6"/>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4"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6"/>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4"/>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6"/>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4"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5"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4"/>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7"/>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4"/>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7"/>
      <c r="B14" s="1451"/>
      <c r="C14" s="1452" t="s">
        <v>3034</v>
      </c>
      <c r="D14" s="1453" t="s">
        <v>3034</v>
      </c>
      <c r="E14" s="1453" t="s">
        <v>3034</v>
      </c>
      <c r="F14" s="1454" t="s">
        <v>3035</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8"/>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5" t="s">
        <v>1839</v>
      </c>
      <c r="B16" s="1427" t="s">
        <v>950</v>
      </c>
      <c r="C16" s="1054">
        <f>ROUND(SUM(G17:J17)/C17,0)</f>
        <v>20</v>
      </c>
      <c r="D16" s="1460" t="s">
        <v>951</v>
      </c>
      <c r="E16" s="1461" t="s">
        <v>3036</v>
      </c>
      <c r="F16" s="1462" t="s">
        <v>3037</v>
      </c>
      <c r="G16" s="1463" t="s">
        <v>3038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6"/>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基准地价住宅50!C19</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0.98719999999999997</v>
      </c>
      <c r="D20" s="2782" t="s">
        <v>973</v>
      </c>
      <c r="E20" s="3097">
        <f ca="1">存贷款利率!I4/100</f>
        <v>4.3499999999999997E-2</v>
      </c>
      <c r="F20" s="2782" t="s">
        <v>974</v>
      </c>
      <c r="G20" s="2783">
        <f ca="1">SUMIF(M15:P15,E2,M17:P17)</f>
        <v>0.05</v>
      </c>
      <c r="H20" s="2782" t="s">
        <v>975</v>
      </c>
      <c r="I20" s="2772">
        <f>基准地价!I20</f>
        <v>47.42</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3136</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15720</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3930</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01"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2"/>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2"/>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3"/>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3176</v>
      </c>
      <c r="D37" s="1537"/>
      <c r="E37" s="1048">
        <f t="shared" ca="1" si="7"/>
        <v>0</v>
      </c>
      <c r="F37" s="1063">
        <f>SUMIF(修正!A45:A56,G2,修正!F45:F56)</f>
        <v>0.25</v>
      </c>
      <c r="G37" s="1048">
        <f ca="1">ROUND(IF(E2="工业",C37*$M$39,C37*$M$38),0)</f>
        <v>794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3176</v>
      </c>
      <c r="D38" s="1537"/>
      <c r="E38" s="1048">
        <f t="shared" ca="1" si="7"/>
        <v>0</v>
      </c>
      <c r="F38" s="1063">
        <f>SUMIF(修正!A45:A56,G2,修正!G45:G56)</f>
        <v>0.25</v>
      </c>
      <c r="G38" s="1048">
        <f ca="1">ROUND(IF(E2="工业",C38*$M$39,C38*$M$38),0)</f>
        <v>794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2540</v>
      </c>
      <c r="D39" s="1538"/>
      <c r="E39" s="1051">
        <f t="shared" ca="1" si="7"/>
        <v>0</v>
      </c>
      <c r="F39" s="1065">
        <f>SUMIF(修正!A45:A56,G2,修正!H45:H56)</f>
        <v>0.2</v>
      </c>
      <c r="G39" s="1051">
        <f ca="1">ROUND(IF(E2="工业",C39*$M$39,C39*$M$38),0)</f>
        <v>635</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3053</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3053</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3072</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3053</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3053</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3073</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3072</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3053</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3053</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9" t="s">
        <v>1634</v>
      </c>
      <c r="B90" s="3399"/>
      <c r="C90" s="3399"/>
      <c r="D90" s="3399"/>
      <c r="E90" s="3399"/>
      <c r="F90" s="3399"/>
      <c r="G90" s="3399"/>
      <c r="H90" s="3399"/>
      <c r="I90" s="3399"/>
      <c r="J90" s="3399"/>
      <c r="K90" s="3183"/>
      <c r="L90" s="3183"/>
      <c r="M90" s="3183"/>
      <c r="N90" s="3183"/>
    </row>
    <row r="91" spans="1:40">
      <c r="A91" s="3400" t="s">
        <v>1444</v>
      </c>
      <c r="B91" s="3400" t="s">
        <v>1635</v>
      </c>
      <c r="C91" s="1140" t="s">
        <v>1636</v>
      </c>
      <c r="D91" s="1141"/>
      <c r="E91" s="1141"/>
      <c r="F91" s="1141"/>
      <c r="G91" s="1141"/>
      <c r="H91" s="1141"/>
      <c r="I91" s="1141"/>
      <c r="J91" s="1142"/>
      <c r="K91" s="1134"/>
      <c r="L91" s="1134"/>
      <c r="M91" s="1134"/>
      <c r="N91" s="1134"/>
    </row>
    <row r="92" spans="1:40">
      <c r="A92" s="3400"/>
      <c r="B92" s="3400"/>
      <c r="C92" s="3184" t="s">
        <v>907</v>
      </c>
      <c r="D92" s="3184" t="s">
        <v>885</v>
      </c>
      <c r="E92" s="3184" t="s">
        <v>886</v>
      </c>
      <c r="F92" s="3184" t="s">
        <v>910</v>
      </c>
      <c r="G92" s="3184" t="s">
        <v>888</v>
      </c>
      <c r="H92" s="3184" t="s">
        <v>889</v>
      </c>
      <c r="I92" s="3184" t="s">
        <v>890</v>
      </c>
      <c r="J92" s="3184" t="s">
        <v>891</v>
      </c>
      <c r="K92" s="3184" t="s">
        <v>915</v>
      </c>
      <c r="L92" s="3184" t="s">
        <v>893</v>
      </c>
      <c r="M92" s="3184" t="s">
        <v>894</v>
      </c>
      <c r="N92" s="3184" t="s">
        <v>918</v>
      </c>
    </row>
    <row r="93" spans="1:40">
      <c r="A93" s="3407"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8"/>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8"/>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8"/>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8"/>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8"/>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8"/>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8"/>
      <c r="B108" s="341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4" t="s">
        <v>1640</v>
      </c>
      <c r="B110" s="3394"/>
      <c r="C110" s="3394"/>
      <c r="D110" s="3394"/>
      <c r="E110" s="3394"/>
      <c r="F110" s="3394"/>
      <c r="G110" s="3394"/>
      <c r="H110" s="3394"/>
      <c r="I110" s="3394"/>
      <c r="J110" s="3394"/>
      <c r="K110" s="3182"/>
      <c r="L110" s="3182"/>
      <c r="M110" s="3182"/>
      <c r="N110" s="3182"/>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00" t="s">
        <v>1008</v>
      </c>
      <c r="B18" s="1154" t="s">
        <v>1447</v>
      </c>
      <c r="C18" s="1131" t="s">
        <v>1448</v>
      </c>
      <c r="D18" s="1132"/>
      <c r="E18" s="1154">
        <v>1</v>
      </c>
      <c r="F18" s="1133" t="s">
        <v>1449</v>
      </c>
      <c r="G18" s="1134"/>
      <c r="H18" s="1105"/>
      <c r="I18" s="1105"/>
    </row>
    <row r="19" spans="1:9" s="1599" customFormat="1" ht="19.5" customHeight="1">
      <c r="A19" s="3400"/>
      <c r="B19" s="3400" t="s">
        <v>1450</v>
      </c>
      <c r="C19" s="1131" t="s">
        <v>1451</v>
      </c>
      <c r="D19" s="1132"/>
      <c r="E19" s="1154">
        <v>0.9</v>
      </c>
      <c r="F19" s="1133" t="s">
        <v>1452</v>
      </c>
      <c r="G19" s="1134"/>
      <c r="H19" s="1105"/>
      <c r="I19" s="1105"/>
    </row>
    <row r="20" spans="1:9" s="1599" customFormat="1" ht="19.5" customHeight="1">
      <c r="A20" s="3400"/>
      <c r="B20" s="3400"/>
      <c r="C20" s="1131" t="s">
        <v>1453</v>
      </c>
      <c r="D20" s="1132"/>
      <c r="E20" s="1154">
        <v>1.1000000000000001</v>
      </c>
      <c r="F20" s="1133" t="s">
        <v>1454</v>
      </c>
      <c r="G20" s="1134"/>
      <c r="H20" s="1105"/>
      <c r="I20" s="1105"/>
    </row>
    <row r="21" spans="1:9" s="1599" customFormat="1" ht="19.5" customHeight="1">
      <c r="A21" s="3400"/>
      <c r="B21" s="3400"/>
      <c r="C21" s="1131" t="s">
        <v>1455</v>
      </c>
      <c r="D21" s="1132"/>
      <c r="E21" s="1154">
        <v>0.8</v>
      </c>
      <c r="F21" s="1133" t="s">
        <v>1456</v>
      </c>
      <c r="G21" s="1134"/>
      <c r="H21" s="1105"/>
      <c r="I21" s="1105"/>
    </row>
    <row r="22" spans="1:9" s="1599" customFormat="1" ht="19.5" customHeight="1">
      <c r="A22" s="3400"/>
      <c r="B22" s="3400"/>
      <c r="C22" s="1131" t="s">
        <v>1457</v>
      </c>
      <c r="D22" s="1132"/>
      <c r="E22" s="1154">
        <v>0.5</v>
      </c>
      <c r="F22" s="1133"/>
      <c r="G22" s="1134"/>
      <c r="H22" s="1105"/>
      <c r="I22" s="1105"/>
    </row>
    <row r="23" spans="1:9" s="1599" customFormat="1" ht="19.5" customHeight="1">
      <c r="A23" s="3400" t="s">
        <v>1030</v>
      </c>
      <c r="B23" s="1154" t="s">
        <v>1447</v>
      </c>
      <c r="C23" s="1131" t="s">
        <v>1458</v>
      </c>
      <c r="D23" s="1132"/>
      <c r="E23" s="1154">
        <v>1</v>
      </c>
      <c r="F23" s="1133" t="s">
        <v>1459</v>
      </c>
      <c r="G23" s="1134"/>
      <c r="H23" s="1105"/>
      <c r="I23" s="1105"/>
    </row>
    <row r="24" spans="1:9" s="1599" customFormat="1" ht="19.5" customHeight="1">
      <c r="A24" s="3400"/>
      <c r="B24" s="3400" t="s">
        <v>1450</v>
      </c>
      <c r="C24" s="1131" t="s">
        <v>1460</v>
      </c>
      <c r="D24" s="1132"/>
      <c r="E24" s="1154">
        <v>0.5</v>
      </c>
      <c r="F24" s="1133"/>
      <c r="G24" s="1134"/>
      <c r="H24" s="1105"/>
      <c r="I24" s="1105"/>
    </row>
    <row r="25" spans="1:9" s="1599" customFormat="1" ht="19.5" customHeight="1">
      <c r="A25" s="3400"/>
      <c r="B25" s="3400"/>
      <c r="C25" s="1131" t="s">
        <v>1461</v>
      </c>
      <c r="D25" s="1132"/>
      <c r="E25" s="1154">
        <v>1.1000000000000001</v>
      </c>
      <c r="F25" s="1133"/>
      <c r="G25" s="1134"/>
      <c r="H25" s="1105"/>
      <c r="I25" s="1105"/>
    </row>
    <row r="26" spans="1:9" s="1599" customFormat="1" ht="19.5" customHeight="1">
      <c r="A26" s="3400"/>
      <c r="B26" s="3400"/>
      <c r="C26" s="1131" t="s">
        <v>1462</v>
      </c>
      <c r="D26" s="1132"/>
      <c r="E26" s="1154">
        <v>1.1000000000000001</v>
      </c>
      <c r="F26" s="1133"/>
      <c r="G26" s="1134"/>
      <c r="H26" s="1105"/>
      <c r="I26" s="1105"/>
    </row>
    <row r="27" spans="1:9" s="1599" customFormat="1" ht="19.5" customHeight="1">
      <c r="A27" s="3400"/>
      <c r="B27" s="3400"/>
      <c r="C27" s="1131" t="s">
        <v>1463</v>
      </c>
      <c r="D27" s="1132"/>
      <c r="E27" s="1154">
        <v>0.9</v>
      </c>
      <c r="F27" s="1133" t="s">
        <v>1464</v>
      </c>
      <c r="G27" s="1134"/>
      <c r="H27" s="1105"/>
      <c r="I27" s="1105"/>
    </row>
    <row r="28" spans="1:9" s="1599" customFormat="1" ht="19.5" customHeight="1">
      <c r="A28" s="3400"/>
      <c r="B28" s="3400"/>
      <c r="C28" s="1131" t="s">
        <v>1465</v>
      </c>
      <c r="D28" s="1132"/>
      <c r="E28" s="1154">
        <v>0.9</v>
      </c>
      <c r="F28" s="1133" t="s">
        <v>1466</v>
      </c>
      <c r="G28" s="1134"/>
      <c r="H28" s="1105"/>
      <c r="I28" s="1105"/>
    </row>
    <row r="29" spans="1:9" s="1599" customFormat="1" ht="19.5" customHeight="1">
      <c r="A29" s="3400"/>
      <c r="B29" s="3400"/>
      <c r="C29" s="1131" t="s">
        <v>1467</v>
      </c>
      <c r="D29" s="1132"/>
      <c r="E29" s="1154">
        <v>0.9</v>
      </c>
      <c r="F29" s="1133" t="s">
        <v>1468</v>
      </c>
      <c r="G29" s="1134"/>
      <c r="H29" s="1105"/>
      <c r="I29" s="1105"/>
    </row>
    <row r="30" spans="1:9" s="1599" customFormat="1" ht="19.5" customHeight="1">
      <c r="A30" s="3400"/>
      <c r="B30" s="3400"/>
      <c r="C30" s="1131" t="s">
        <v>1469</v>
      </c>
      <c r="D30" s="1132"/>
      <c r="E30" s="1154">
        <v>0.9</v>
      </c>
      <c r="F30" s="1133" t="s">
        <v>1470</v>
      </c>
      <c r="G30" s="1134"/>
      <c r="H30" s="1105"/>
      <c r="I30" s="1105"/>
    </row>
    <row r="31" spans="1:9" s="1599" customFormat="1" ht="19.5" customHeight="1">
      <c r="A31" s="3400"/>
      <c r="B31" s="3400"/>
      <c r="C31" s="1131" t="s">
        <v>1471</v>
      </c>
      <c r="D31" s="1132"/>
      <c r="E31" s="1154">
        <v>0.8</v>
      </c>
      <c r="F31" s="1133" t="s">
        <v>1472</v>
      </c>
      <c r="G31" s="1134"/>
      <c r="H31" s="1105"/>
      <c r="I31" s="1105"/>
    </row>
    <row r="32" spans="1:9" s="1599" customFormat="1" ht="19.5" customHeight="1">
      <c r="A32" s="3400"/>
      <c r="B32" s="3400"/>
      <c r="C32" s="1131" t="s">
        <v>1473</v>
      </c>
      <c r="D32" s="1132"/>
      <c r="E32" s="1154">
        <v>0.8</v>
      </c>
      <c r="F32" s="1133" t="s">
        <v>1474</v>
      </c>
      <c r="G32" s="1134"/>
      <c r="H32" s="1105"/>
      <c r="I32" s="1105"/>
    </row>
    <row r="33" spans="1:9" s="1599" customFormat="1" ht="19.5" customHeight="1">
      <c r="A33" s="3400" t="s">
        <v>1475</v>
      </c>
      <c r="B33" s="1154" t="s">
        <v>1447</v>
      </c>
      <c r="C33" s="1131" t="s">
        <v>1476</v>
      </c>
      <c r="D33" s="1132"/>
      <c r="E33" s="1154">
        <v>1</v>
      </c>
      <c r="F33" s="1133" t="s">
        <v>1477</v>
      </c>
      <c r="G33" s="1134"/>
      <c r="H33" s="1105"/>
      <c r="I33" s="1105"/>
    </row>
    <row r="34" spans="1:9" s="1599" customFormat="1" ht="19.5" customHeight="1">
      <c r="A34" s="3400"/>
      <c r="B34" s="1154" t="s">
        <v>1450</v>
      </c>
      <c r="C34" s="1131" t="s">
        <v>1478</v>
      </c>
      <c r="D34" s="1132"/>
      <c r="E34" s="1154">
        <v>1.5</v>
      </c>
      <c r="F34" s="1133" t="s">
        <v>1479</v>
      </c>
      <c r="G34" s="1134"/>
      <c r="H34" s="1105"/>
      <c r="I34" s="1105"/>
    </row>
    <row r="35" spans="1:9" s="1599" customFormat="1" ht="19.5" customHeight="1">
      <c r="A35" s="3400" t="s">
        <v>1433</v>
      </c>
      <c r="B35" s="1154" t="s">
        <v>1447</v>
      </c>
      <c r="C35" s="1131" t="s">
        <v>1480</v>
      </c>
      <c r="D35" s="1132"/>
      <c r="E35" s="1154">
        <v>1</v>
      </c>
      <c r="F35" s="1133" t="s">
        <v>1481</v>
      </c>
      <c r="G35" s="1134"/>
      <c r="H35" s="1105"/>
      <c r="I35" s="1105"/>
    </row>
    <row r="36" spans="1:9" s="1599" customFormat="1" ht="19.5" customHeight="1">
      <c r="A36" s="3400"/>
      <c r="B36" s="3400" t="s">
        <v>1450</v>
      </c>
      <c r="C36" s="1131" t="s">
        <v>1482</v>
      </c>
      <c r="D36" s="1132"/>
      <c r="E36" s="1154">
        <v>1</v>
      </c>
      <c r="F36" s="1133" t="s">
        <v>1483</v>
      </c>
      <c r="G36" s="1134"/>
      <c r="H36" s="1105"/>
      <c r="I36" s="1105"/>
    </row>
    <row r="37" spans="1:9" s="1599" customFormat="1" ht="19.5" customHeight="1">
      <c r="A37" s="3400"/>
      <c r="B37" s="3400"/>
      <c r="C37" s="1131" t="s">
        <v>1484</v>
      </c>
      <c r="D37" s="1132"/>
      <c r="E37" s="1154">
        <v>1.5</v>
      </c>
      <c r="F37" s="1133" t="s">
        <v>1485</v>
      </c>
      <c r="G37" s="1134"/>
      <c r="H37" s="1105"/>
      <c r="I37" s="1105"/>
    </row>
    <row r="38" spans="1:9" s="1599" customFormat="1" ht="19.5" customHeight="1">
      <c r="A38" s="3400"/>
      <c r="B38" s="3400"/>
      <c r="C38" s="1131" t="s">
        <v>1486</v>
      </c>
      <c r="D38" s="1132"/>
      <c r="E38" s="1154">
        <v>1</v>
      </c>
      <c r="F38" s="1133" t="s">
        <v>1487</v>
      </c>
      <c r="G38" s="1134"/>
      <c r="H38" s="1105"/>
      <c r="I38" s="1105"/>
    </row>
    <row r="39" spans="1:9" s="1599" customFormat="1" ht="19.5" customHeight="1">
      <c r="A39" s="3400"/>
      <c r="B39" s="3400"/>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0" t="s">
        <v>1502</v>
      </c>
      <c r="C61" s="1068" t="s">
        <v>1503</v>
      </c>
      <c r="D61" s="1068" t="s">
        <v>1504</v>
      </c>
      <c r="E61" s="1139">
        <v>0.5</v>
      </c>
      <c r="F61" s="1154">
        <v>80</v>
      </c>
      <c r="H61" s="1105">
        <f>SUMIF(C59:C119,基准地价!C8,E59:E119)</f>
        <v>0</v>
      </c>
    </row>
    <row r="62" spans="1:8" s="1105" customFormat="1" ht="24">
      <c r="A62" s="1154">
        <v>2</v>
      </c>
      <c r="B62" s="3400"/>
      <c r="C62" s="1068" t="s">
        <v>1505</v>
      </c>
      <c r="D62" s="1068" t="s">
        <v>1506</v>
      </c>
      <c r="E62" s="1139">
        <v>0.5</v>
      </c>
      <c r="F62" s="1154">
        <v>80</v>
      </c>
    </row>
    <row r="63" spans="1:8" s="1105" customFormat="1" ht="36">
      <c r="A63" s="1154">
        <v>3</v>
      </c>
      <c r="B63" s="3400"/>
      <c r="C63" s="1068" t="s">
        <v>1507</v>
      </c>
      <c r="D63" s="1068" t="s">
        <v>1508</v>
      </c>
      <c r="E63" s="1139">
        <v>0.5</v>
      </c>
      <c r="F63" s="1154">
        <v>80</v>
      </c>
    </row>
    <row r="64" spans="1:8" s="1105" customFormat="1" ht="36">
      <c r="A64" s="1154">
        <v>4</v>
      </c>
      <c r="B64" s="3400"/>
      <c r="C64" s="1068" t="s">
        <v>1509</v>
      </c>
      <c r="D64" s="1068" t="s">
        <v>1510</v>
      </c>
      <c r="E64" s="1139">
        <v>0.4</v>
      </c>
      <c r="F64" s="1154">
        <v>60</v>
      </c>
    </row>
    <row r="65" spans="1:6" s="1105" customFormat="1" ht="36">
      <c r="A65" s="1154">
        <v>5</v>
      </c>
      <c r="B65" s="3400"/>
      <c r="C65" s="1068" t="s">
        <v>1511</v>
      </c>
      <c r="D65" s="1068" t="s">
        <v>1512</v>
      </c>
      <c r="E65" s="1139">
        <v>0.2</v>
      </c>
      <c r="F65" s="1154">
        <v>30</v>
      </c>
    </row>
    <row r="66" spans="1:6" s="1105" customFormat="1" ht="36">
      <c r="A66" s="1154">
        <v>6</v>
      </c>
      <c r="B66" s="3400"/>
      <c r="C66" s="1068" t="s">
        <v>1513</v>
      </c>
      <c r="D66" s="1068" t="s">
        <v>1514</v>
      </c>
      <c r="E66" s="1139">
        <v>0.3</v>
      </c>
      <c r="F66" s="1154">
        <v>50</v>
      </c>
    </row>
    <row r="67" spans="1:6" s="1105" customFormat="1" ht="36">
      <c r="A67" s="1154">
        <v>7</v>
      </c>
      <c r="B67" s="3400"/>
      <c r="C67" s="1068" t="s">
        <v>1515</v>
      </c>
      <c r="D67" s="1068" t="s">
        <v>1516</v>
      </c>
      <c r="E67" s="1139">
        <v>0.2</v>
      </c>
      <c r="F67" s="1154">
        <v>30</v>
      </c>
    </row>
    <row r="68" spans="1:6" s="1105" customFormat="1" ht="36">
      <c r="A68" s="1154">
        <v>8</v>
      </c>
      <c r="B68" s="3400"/>
      <c r="C68" s="1068" t="s">
        <v>1517</v>
      </c>
      <c r="D68" s="1068" t="s">
        <v>1518</v>
      </c>
      <c r="E68" s="1139">
        <v>0.2</v>
      </c>
      <c r="F68" s="1154">
        <v>30</v>
      </c>
    </row>
    <row r="69" spans="1:6" s="1105" customFormat="1" ht="36">
      <c r="A69" s="1154">
        <v>9</v>
      </c>
      <c r="B69" s="3400"/>
      <c r="C69" s="1068" t="s">
        <v>1519</v>
      </c>
      <c r="D69" s="1068" t="s">
        <v>1520</v>
      </c>
      <c r="E69" s="1139">
        <v>0.2</v>
      </c>
      <c r="F69" s="1154">
        <v>30</v>
      </c>
    </row>
    <row r="70" spans="1:6" s="1105" customFormat="1" ht="48">
      <c r="A70" s="1154">
        <v>10</v>
      </c>
      <c r="B70" s="3400"/>
      <c r="C70" s="1068" t="s">
        <v>1521</v>
      </c>
      <c r="D70" s="1068" t="s">
        <v>1522</v>
      </c>
      <c r="E70" s="1139">
        <v>0.2</v>
      </c>
      <c r="F70" s="1154">
        <v>30</v>
      </c>
    </row>
    <row r="71" spans="1:6" s="1105" customFormat="1" ht="48">
      <c r="A71" s="1154">
        <v>11</v>
      </c>
      <c r="B71" s="3400"/>
      <c r="C71" s="1068" t="s">
        <v>1523</v>
      </c>
      <c r="D71" s="1068" t="s">
        <v>1524</v>
      </c>
      <c r="E71" s="1139">
        <v>0.2</v>
      </c>
      <c r="F71" s="1154">
        <v>30</v>
      </c>
    </row>
    <row r="72" spans="1:6" s="1105" customFormat="1" ht="36">
      <c r="A72" s="1154">
        <v>12</v>
      </c>
      <c r="B72" s="3400"/>
      <c r="C72" s="1068" t="s">
        <v>1525</v>
      </c>
      <c r="D72" s="1068" t="s">
        <v>1526</v>
      </c>
      <c r="E72" s="1139">
        <v>0.5</v>
      </c>
      <c r="F72" s="1154">
        <v>80</v>
      </c>
    </row>
    <row r="73" spans="1:6" s="1105" customFormat="1" ht="24">
      <c r="A73" s="1154">
        <v>13</v>
      </c>
      <c r="B73" s="3400"/>
      <c r="C73" s="1068" t="s">
        <v>1527</v>
      </c>
      <c r="D73" s="1068" t="s">
        <v>1528</v>
      </c>
      <c r="E73" s="1139">
        <v>0.4</v>
      </c>
      <c r="F73" s="1154">
        <v>60</v>
      </c>
    </row>
    <row r="74" spans="1:6" s="1105" customFormat="1" ht="24">
      <c r="A74" s="1154">
        <v>14</v>
      </c>
      <c r="B74" s="3400"/>
      <c r="C74" s="1068" t="s">
        <v>1529</v>
      </c>
      <c r="D74" s="1068" t="s">
        <v>1530</v>
      </c>
      <c r="E74" s="1139">
        <v>0.2</v>
      </c>
      <c r="F74" s="1154">
        <v>30</v>
      </c>
    </row>
    <row r="75" spans="1:6" s="1105" customFormat="1" ht="24">
      <c r="A75" s="1154">
        <v>15</v>
      </c>
      <c r="B75" s="3400"/>
      <c r="C75" s="1068" t="s">
        <v>1531</v>
      </c>
      <c r="D75" s="1068" t="s">
        <v>1532</v>
      </c>
      <c r="E75" s="1139">
        <v>0.2</v>
      </c>
      <c r="F75" s="1154">
        <v>30</v>
      </c>
    </row>
    <row r="76" spans="1:6" s="1105" customFormat="1" ht="24">
      <c r="A76" s="1154">
        <v>16</v>
      </c>
      <c r="B76" s="3400" t="s">
        <v>1533</v>
      </c>
      <c r="C76" s="1068" t="s">
        <v>1534</v>
      </c>
      <c r="D76" s="1068" t="s">
        <v>1535</v>
      </c>
      <c r="E76" s="1139">
        <v>0.5</v>
      </c>
      <c r="F76" s="1154">
        <v>80</v>
      </c>
    </row>
    <row r="77" spans="1:6" s="1105" customFormat="1" ht="24">
      <c r="A77" s="1154">
        <v>17</v>
      </c>
      <c r="B77" s="3400"/>
      <c r="C77" s="1068" t="s">
        <v>1536</v>
      </c>
      <c r="D77" s="1068" t="s">
        <v>1537</v>
      </c>
      <c r="E77" s="1139">
        <v>0.5</v>
      </c>
      <c r="F77" s="1154">
        <v>80</v>
      </c>
    </row>
    <row r="78" spans="1:6" s="1105" customFormat="1" ht="24">
      <c r="A78" s="1154">
        <v>18</v>
      </c>
      <c r="B78" s="3400"/>
      <c r="C78" s="1068" t="s">
        <v>1538</v>
      </c>
      <c r="D78" s="1068" t="s">
        <v>1539</v>
      </c>
      <c r="E78" s="1139">
        <v>0.2</v>
      </c>
      <c r="F78" s="1154">
        <v>30</v>
      </c>
    </row>
    <row r="79" spans="1:6" s="1105" customFormat="1" ht="24">
      <c r="A79" s="1154">
        <v>19</v>
      </c>
      <c r="B79" s="3400"/>
      <c r="C79" s="1068" t="s">
        <v>1540</v>
      </c>
      <c r="D79" s="1068" t="s">
        <v>1541</v>
      </c>
      <c r="E79" s="1139">
        <v>0.5</v>
      </c>
      <c r="F79" s="1154">
        <v>80</v>
      </c>
    </row>
    <row r="80" spans="1:6" s="1105" customFormat="1" ht="36">
      <c r="A80" s="1154">
        <v>20</v>
      </c>
      <c r="B80" s="3400"/>
      <c r="C80" s="1068" t="s">
        <v>1542</v>
      </c>
      <c r="D80" s="1068" t="s">
        <v>1543</v>
      </c>
      <c r="E80" s="1139">
        <v>0.2</v>
      </c>
      <c r="F80" s="1154">
        <v>30</v>
      </c>
    </row>
    <row r="81" spans="1:6" s="1105" customFormat="1" ht="36">
      <c r="A81" s="1154">
        <v>21</v>
      </c>
      <c r="B81" s="3400"/>
      <c r="C81" s="1068" t="s">
        <v>1544</v>
      </c>
      <c r="D81" s="1068" t="s">
        <v>1545</v>
      </c>
      <c r="E81" s="1139">
        <v>0.2</v>
      </c>
      <c r="F81" s="1154">
        <v>30</v>
      </c>
    </row>
    <row r="82" spans="1:6" s="1105" customFormat="1" ht="48">
      <c r="A82" s="1154">
        <v>22</v>
      </c>
      <c r="B82" s="3400"/>
      <c r="C82" s="1068" t="s">
        <v>1546</v>
      </c>
      <c r="D82" s="1068" t="s">
        <v>1547</v>
      </c>
      <c r="E82" s="1139">
        <v>0.2</v>
      </c>
      <c r="F82" s="1154">
        <v>30</v>
      </c>
    </row>
    <row r="83" spans="1:6" s="1105" customFormat="1" ht="48">
      <c r="A83" s="1154">
        <v>23</v>
      </c>
      <c r="B83" s="3400"/>
      <c r="C83" s="1068" t="s">
        <v>1548</v>
      </c>
      <c r="D83" s="1068" t="s">
        <v>1549</v>
      </c>
      <c r="E83" s="1139">
        <v>0.2</v>
      </c>
      <c r="F83" s="1154">
        <v>30</v>
      </c>
    </row>
    <row r="84" spans="1:6" s="1105" customFormat="1" ht="36">
      <c r="A84" s="1154">
        <v>24</v>
      </c>
      <c r="B84" s="3400"/>
      <c r="C84" s="1068" t="s">
        <v>1550</v>
      </c>
      <c r="D84" s="1068" t="s">
        <v>1551</v>
      </c>
      <c r="E84" s="1139">
        <v>0.2</v>
      </c>
      <c r="F84" s="1154">
        <v>30</v>
      </c>
    </row>
    <row r="85" spans="1:6" s="1105" customFormat="1" ht="36">
      <c r="A85" s="1154">
        <v>25</v>
      </c>
      <c r="B85" s="3400"/>
      <c r="C85" s="1068" t="s">
        <v>1552</v>
      </c>
      <c r="D85" s="1068" t="s">
        <v>1553</v>
      </c>
      <c r="E85" s="1139">
        <v>0.5</v>
      </c>
      <c r="F85" s="1154">
        <v>80</v>
      </c>
    </row>
    <row r="86" spans="1:6" s="1105" customFormat="1" ht="36">
      <c r="A86" s="1154">
        <v>26</v>
      </c>
      <c r="B86" s="3400"/>
      <c r="C86" s="1068" t="s">
        <v>1554</v>
      </c>
      <c r="D86" s="1068" t="s">
        <v>1555</v>
      </c>
      <c r="E86" s="1139">
        <v>0.2</v>
      </c>
      <c r="F86" s="1154">
        <v>30</v>
      </c>
    </row>
    <row r="87" spans="1:6" s="1105" customFormat="1" ht="36">
      <c r="A87" s="1154">
        <v>27</v>
      </c>
      <c r="B87" s="3400"/>
      <c r="C87" s="1068" t="s">
        <v>1556</v>
      </c>
      <c r="D87" s="1068" t="s">
        <v>1557</v>
      </c>
      <c r="E87" s="1139">
        <v>0.2</v>
      </c>
      <c r="F87" s="1154">
        <v>30</v>
      </c>
    </row>
    <row r="88" spans="1:6" s="1105" customFormat="1" ht="36">
      <c r="A88" s="1154">
        <v>28</v>
      </c>
      <c r="B88" s="3400"/>
      <c r="C88" s="1068" t="s">
        <v>1558</v>
      </c>
      <c r="D88" s="1068" t="s">
        <v>1559</v>
      </c>
      <c r="E88" s="1139">
        <v>0.2</v>
      </c>
      <c r="F88" s="1154">
        <v>30</v>
      </c>
    </row>
    <row r="89" spans="1:6" s="1105" customFormat="1" ht="24">
      <c r="A89" s="1154">
        <v>29</v>
      </c>
      <c r="B89" s="3400"/>
      <c r="C89" s="1068" t="s">
        <v>1560</v>
      </c>
      <c r="D89" s="1068" t="s">
        <v>1561</v>
      </c>
      <c r="E89" s="1139">
        <v>0.2</v>
      </c>
      <c r="F89" s="1154">
        <v>30</v>
      </c>
    </row>
    <row r="90" spans="1:6" s="1105" customFormat="1" ht="24">
      <c r="A90" s="1154">
        <v>30</v>
      </c>
      <c r="B90" s="3400"/>
      <c r="C90" s="1068" t="s">
        <v>1562</v>
      </c>
      <c r="D90" s="1068" t="s">
        <v>1563</v>
      </c>
      <c r="E90" s="1139">
        <v>0.2</v>
      </c>
      <c r="F90" s="1154">
        <v>30</v>
      </c>
    </row>
    <row r="91" spans="1:6" s="1105" customFormat="1" ht="36">
      <c r="A91" s="1154">
        <v>31</v>
      </c>
      <c r="B91" s="3400"/>
      <c r="C91" s="1068" t="s">
        <v>1564</v>
      </c>
      <c r="D91" s="1068" t="s">
        <v>1565</v>
      </c>
      <c r="E91" s="1139">
        <v>0.2</v>
      </c>
      <c r="F91" s="1154">
        <v>30</v>
      </c>
    </row>
    <row r="92" spans="1:6" s="1105" customFormat="1" ht="24">
      <c r="A92" s="1154">
        <v>32</v>
      </c>
      <c r="B92" s="3400" t="s">
        <v>1566</v>
      </c>
      <c r="C92" s="1154" t="s">
        <v>1567</v>
      </c>
      <c r="D92" s="1068" t="s">
        <v>1568</v>
      </c>
      <c r="E92" s="1139">
        <v>0.2</v>
      </c>
      <c r="F92" s="1154">
        <v>30</v>
      </c>
    </row>
    <row r="93" spans="1:6" s="1105" customFormat="1" ht="36">
      <c r="A93" s="1154">
        <v>33</v>
      </c>
      <c r="B93" s="3400"/>
      <c r="C93" s="1154" t="s">
        <v>1569</v>
      </c>
      <c r="D93" s="1068" t="s">
        <v>1570</v>
      </c>
      <c r="E93" s="1139">
        <v>0.2</v>
      </c>
      <c r="F93" s="1154">
        <v>30</v>
      </c>
    </row>
    <row r="94" spans="1:6" s="1105" customFormat="1" ht="48">
      <c r="A94" s="1154">
        <v>34</v>
      </c>
      <c r="B94" s="3400"/>
      <c r="C94" s="1154" t="s">
        <v>1571</v>
      </c>
      <c r="D94" s="1068" t="s">
        <v>1572</v>
      </c>
      <c r="E94" s="1139">
        <v>0.2</v>
      </c>
      <c r="F94" s="1154">
        <v>30</v>
      </c>
    </row>
    <row r="95" spans="1:6" s="1105" customFormat="1" ht="36">
      <c r="A95" s="1154">
        <v>35</v>
      </c>
      <c r="B95" s="3400"/>
      <c r="C95" s="1154" t="s">
        <v>1573</v>
      </c>
      <c r="D95" s="1068" t="s">
        <v>1574</v>
      </c>
      <c r="E95" s="1139">
        <v>0.2</v>
      </c>
      <c r="F95" s="1154">
        <v>30</v>
      </c>
    </row>
    <row r="96" spans="1:6" s="1105" customFormat="1" ht="48">
      <c r="A96" s="1154">
        <v>36</v>
      </c>
      <c r="B96" s="3400"/>
      <c r="C96" s="1068" t="s">
        <v>1575</v>
      </c>
      <c r="D96" s="1068" t="s">
        <v>1576</v>
      </c>
      <c r="E96" s="1139">
        <v>0.2</v>
      </c>
      <c r="F96" s="1154">
        <v>30</v>
      </c>
    </row>
    <row r="97" spans="1:6" s="1105" customFormat="1" ht="36">
      <c r="A97" s="1154">
        <v>37</v>
      </c>
      <c r="B97" s="3400"/>
      <c r="C97" s="1154" t="s">
        <v>1577</v>
      </c>
      <c r="D97" s="1068" t="s">
        <v>1578</v>
      </c>
      <c r="E97" s="1139">
        <v>0.2</v>
      </c>
      <c r="F97" s="1154">
        <v>30</v>
      </c>
    </row>
    <row r="98" spans="1:6" s="1105" customFormat="1" ht="36">
      <c r="A98" s="1154">
        <v>38</v>
      </c>
      <c r="B98" s="3400"/>
      <c r="C98" s="1154" t="s">
        <v>1579</v>
      </c>
      <c r="D98" s="1068" t="s">
        <v>1580</v>
      </c>
      <c r="E98" s="1139">
        <v>0.2</v>
      </c>
      <c r="F98" s="1154">
        <v>30</v>
      </c>
    </row>
    <row r="99" spans="1:6" s="1105" customFormat="1" ht="36">
      <c r="A99" s="1154">
        <v>39</v>
      </c>
      <c r="B99" s="3400" t="s">
        <v>1581</v>
      </c>
      <c r="C99" s="1154" t="s">
        <v>1582</v>
      </c>
      <c r="D99" s="1068" t="s">
        <v>1583</v>
      </c>
      <c r="E99" s="1139">
        <v>0.3</v>
      </c>
      <c r="F99" s="1154">
        <v>50</v>
      </c>
    </row>
    <row r="100" spans="1:6" s="1105" customFormat="1" ht="24">
      <c r="A100" s="1154">
        <v>40</v>
      </c>
      <c r="B100" s="3400"/>
      <c r="C100" s="1154" t="s">
        <v>1584</v>
      </c>
      <c r="D100" s="1068" t="s">
        <v>1585</v>
      </c>
      <c r="E100" s="1139">
        <v>0.2</v>
      </c>
      <c r="F100" s="1154">
        <v>30</v>
      </c>
    </row>
    <row r="101" spans="1:6" s="1105" customFormat="1" ht="36">
      <c r="A101" s="1154">
        <v>41</v>
      </c>
      <c r="B101" s="340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0" t="s">
        <v>1596</v>
      </c>
      <c r="C105" s="1154" t="s">
        <v>1597</v>
      </c>
      <c r="D105" s="1068" t="s">
        <v>1598</v>
      </c>
      <c r="E105" s="1139">
        <v>0.2</v>
      </c>
      <c r="F105" s="1154">
        <v>30</v>
      </c>
    </row>
    <row r="106" spans="1:6" s="1105" customFormat="1" ht="36">
      <c r="A106" s="1154">
        <v>46</v>
      </c>
      <c r="B106" s="3400"/>
      <c r="C106" s="1154" t="s">
        <v>1599</v>
      </c>
      <c r="D106" s="1068" t="s">
        <v>1600</v>
      </c>
      <c r="E106" s="1139">
        <v>0.2</v>
      </c>
      <c r="F106" s="1154">
        <v>30</v>
      </c>
    </row>
    <row r="107" spans="1:6" s="1105" customFormat="1" ht="36">
      <c r="A107" s="1154">
        <v>47</v>
      </c>
      <c r="B107" s="3400" t="s">
        <v>1601</v>
      </c>
      <c r="C107" s="1154" t="s">
        <v>1602</v>
      </c>
      <c r="D107" s="1068" t="s">
        <v>1603</v>
      </c>
      <c r="E107" s="1139">
        <v>0.3</v>
      </c>
      <c r="F107" s="1154">
        <v>50</v>
      </c>
    </row>
    <row r="108" spans="1:6" s="1105" customFormat="1" ht="36">
      <c r="A108" s="1154">
        <v>48</v>
      </c>
      <c r="B108" s="340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0" t="s">
        <v>1612</v>
      </c>
      <c r="C111" s="1154" t="s">
        <v>1613</v>
      </c>
      <c r="D111" s="1068" t="s">
        <v>1614</v>
      </c>
      <c r="E111" s="1139">
        <v>0.2</v>
      </c>
      <c r="F111" s="1154">
        <v>30</v>
      </c>
    </row>
    <row r="112" spans="1:6" s="1105" customFormat="1" ht="24">
      <c r="A112" s="1154">
        <v>52</v>
      </c>
      <c r="B112" s="3400"/>
      <c r="C112" s="1154" t="s">
        <v>1615</v>
      </c>
      <c r="D112" s="1068" t="s">
        <v>1616</v>
      </c>
      <c r="E112" s="1139">
        <v>0.2</v>
      </c>
      <c r="F112" s="1154">
        <v>30</v>
      </c>
    </row>
    <row r="113" spans="1:14" s="1105" customFormat="1" ht="24">
      <c r="A113" s="1154">
        <v>53</v>
      </c>
      <c r="B113" s="340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0" t="s">
        <v>1625</v>
      </c>
      <c r="C116" s="1154" t="s">
        <v>1626</v>
      </c>
      <c r="D116" s="1068" t="s">
        <v>1627</v>
      </c>
      <c r="E116" s="1139">
        <v>0.2</v>
      </c>
      <c r="F116" s="1154">
        <v>30</v>
      </c>
    </row>
    <row r="117" spans="1:14" ht="36">
      <c r="A117" s="1154">
        <v>57</v>
      </c>
      <c r="B117" s="340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99" t="s">
        <v>1634</v>
      </c>
      <c r="B121" s="3399"/>
      <c r="C121" s="3399"/>
      <c r="D121" s="3399"/>
      <c r="E121" s="3399"/>
      <c r="F121" s="3399"/>
      <c r="G121" s="3399"/>
      <c r="H121" s="3399"/>
      <c r="I121" s="3399"/>
      <c r="J121" s="339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4" t="s">
        <v>1040</v>
      </c>
      <c r="B1" s="3464"/>
      <c r="C1" s="3464"/>
      <c r="D1" s="3464"/>
      <c r="E1" s="3464"/>
      <c r="F1" s="346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5" t="s">
        <v>1053</v>
      </c>
      <c r="B2" s="3465"/>
      <c r="C2" s="3465"/>
      <c r="D2" s="3465"/>
      <c r="E2" s="3465"/>
      <c r="F2" s="346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6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7430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8" t="s">
        <v>2082</v>
      </c>
      <c r="B1" s="3468"/>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18.75">
      <c r="A21" s="1792" t="s">
        <v>2077</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2953</v>
      </c>
      <c r="B1" s="3107"/>
      <c r="C1" s="3107"/>
      <c r="D1" s="3107"/>
      <c r="E1" s="3107"/>
      <c r="F1" s="3107"/>
    </row>
    <row r="2" spans="1:6" ht="14.25">
      <c r="A2" s="3108" t="s">
        <v>2948</v>
      </c>
      <c r="B2" s="3109">
        <f ca="1">SUMIF(B7:B14,"&lt;&gt;#ref!",B7:B14)</f>
        <v>0</v>
      </c>
      <c r="C2" s="3108" t="s">
        <v>2949</v>
      </c>
      <c r="D2" s="3107"/>
      <c r="E2" s="3107"/>
      <c r="F2" s="3107"/>
    </row>
    <row r="3" spans="1:6" ht="14.25">
      <c r="A3" s="3108" t="s">
        <v>2982</v>
      </c>
      <c r="B3" s="3109" t="e">
        <f ca="1">ROUND(B2*10000/E3,0)</f>
        <v>#DIV/0!</v>
      </c>
      <c r="C3" s="3108" t="s">
        <v>2081</v>
      </c>
      <c r="D3" s="3108" t="s">
        <v>2950</v>
      </c>
      <c r="E3" s="3109">
        <f ca="1">SUMIF(E7:E14,"&lt;&gt;#ref!",E7:E14)</f>
        <v>0</v>
      </c>
      <c r="F3" s="3107"/>
    </row>
    <row r="4" spans="1:6" ht="14.25">
      <c r="A4" s="3108" t="s">
        <v>2957</v>
      </c>
      <c r="B4" s="3109" t="e">
        <f ca="1">ROUND(B2*10000/E4,0)</f>
        <v>#DIV/0!</v>
      </c>
      <c r="C4" s="3108" t="s">
        <v>2081</v>
      </c>
      <c r="D4" s="3108" t="s">
        <v>2958</v>
      </c>
      <c r="E4" s="3109">
        <f ca="1">SUMIF(F7:F14,"&lt;&gt;#ref!",F7:F14)</f>
        <v>0</v>
      </c>
      <c r="F4" s="3107"/>
    </row>
    <row r="5" spans="1:6" ht="14.25">
      <c r="A5" s="3110"/>
      <c r="B5" s="1882"/>
      <c r="C5" s="1882"/>
      <c r="D5" s="1882"/>
      <c r="E5" s="1882"/>
      <c r="F5" s="3107"/>
    </row>
    <row r="6" spans="1:6" ht="28.5">
      <c r="A6" s="3111" t="s">
        <v>2954</v>
      </c>
      <c r="B6" s="3108" t="s">
        <v>2951</v>
      </c>
      <c r="C6" s="3109"/>
      <c r="D6" s="1882"/>
      <c r="E6" s="3108" t="s">
        <v>2952</v>
      </c>
      <c r="F6" s="3108" t="s">
        <v>2956</v>
      </c>
    </row>
    <row r="7" spans="1:6" ht="14.25">
      <c r="A7" s="260" t="s">
        <v>2955</v>
      </c>
      <c r="B7" s="3112">
        <f ca="1">SUMIF(INDIRECT("'"&amp;A7&amp;"'"&amp;"!A:A"),"总价",INDIRECT("'"&amp;A7&amp;"'"&amp;"!B:B"))</f>
        <v>0</v>
      </c>
      <c r="C7" s="3108" t="s">
        <v>2949</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2949</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2949</v>
      </c>
      <c r="D9" s="1882"/>
      <c r="E9" s="3113" t="e">
        <f t="shared" ca="1" si="1"/>
        <v>#REF!</v>
      </c>
      <c r="F9" s="3113" t="e">
        <f t="shared" ca="1" si="2"/>
        <v>#REF!</v>
      </c>
    </row>
    <row r="10" spans="1:6" ht="14.25">
      <c r="A10" s="260"/>
      <c r="B10" s="3112" t="e">
        <f t="shared" ca="1" si="0"/>
        <v>#REF!</v>
      </c>
      <c r="C10" s="3108" t="s">
        <v>2949</v>
      </c>
      <c r="D10" s="1882"/>
      <c r="E10" s="3113" t="e">
        <f t="shared" ca="1" si="1"/>
        <v>#REF!</v>
      </c>
      <c r="F10" s="3113" t="e">
        <f t="shared" ca="1" si="2"/>
        <v>#REF!</v>
      </c>
    </row>
    <row r="11" spans="1:6" ht="14.25">
      <c r="A11" s="260"/>
      <c r="B11" s="3112" t="e">
        <f t="shared" ca="1" si="0"/>
        <v>#REF!</v>
      </c>
      <c r="C11" s="3108" t="s">
        <v>2949</v>
      </c>
      <c r="D11" s="1882"/>
      <c r="E11" s="3113" t="e">
        <f t="shared" ca="1" si="1"/>
        <v>#REF!</v>
      </c>
      <c r="F11" s="3113" t="e">
        <f t="shared" ca="1" si="2"/>
        <v>#REF!</v>
      </c>
    </row>
    <row r="12" spans="1:6" ht="14.25">
      <c r="A12" s="260"/>
      <c r="B12" s="3112" t="e">
        <f t="shared" ca="1" si="0"/>
        <v>#REF!</v>
      </c>
      <c r="C12" s="3108" t="s">
        <v>2949</v>
      </c>
      <c r="D12" s="1882"/>
      <c r="E12" s="3113" t="e">
        <f t="shared" ca="1" si="1"/>
        <v>#REF!</v>
      </c>
      <c r="F12" s="3113" t="e">
        <f t="shared" ca="1" si="2"/>
        <v>#REF!</v>
      </c>
    </row>
    <row r="13" spans="1:6" ht="14.25">
      <c r="A13" s="260"/>
      <c r="B13" s="3112" t="e">
        <f t="shared" ca="1" si="0"/>
        <v>#REF!</v>
      </c>
      <c r="C13" s="3108" t="s">
        <v>2949</v>
      </c>
      <c r="D13" s="1882"/>
      <c r="E13" s="3113" t="e">
        <f t="shared" ca="1" si="1"/>
        <v>#REF!</v>
      </c>
      <c r="F13" s="3113" t="e">
        <f t="shared" ca="1" si="2"/>
        <v>#REF!</v>
      </c>
    </row>
    <row r="14" spans="1:6" ht="14.25">
      <c r="A14" s="3106"/>
      <c r="B14" s="3112" t="e">
        <f t="shared" ca="1" si="0"/>
        <v>#REF!</v>
      </c>
      <c r="C14" s="3108" t="s">
        <v>2949</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70" t="s">
        <v>2466</v>
      </c>
      <c r="C8" s="1826">
        <f ca="1">ROUND(F8*F10*F9*(1-F11)/10000,0)</f>
        <v>0</v>
      </c>
      <c r="D8" s="1823" t="s">
        <v>2537</v>
      </c>
      <c r="E8" s="61" t="s">
        <v>637</v>
      </c>
      <c r="F8" s="785">
        <f ca="1">INDIRECT("'数据-取费表'!u"&amp;$G$1)</f>
        <v>0</v>
      </c>
      <c r="G8" s="1592"/>
      <c r="H8" s="2505" t="s">
        <v>1825</v>
      </c>
      <c r="I8" s="3470" t="s">
        <v>2466</v>
      </c>
      <c r="J8" s="783">
        <f ca="1">ROUND(M8*M10*M9*(1-M11)/10000,0)</f>
        <v>0</v>
      </c>
      <c r="K8" s="341" t="s">
        <v>2537</v>
      </c>
      <c r="L8" s="784" t="s">
        <v>1739</v>
      </c>
      <c r="M8" s="785">
        <f ca="1">INDIRECT("'数据-取费表'!z"&amp;$G$1)</f>
        <v>0</v>
      </c>
    </row>
    <row r="9" spans="1:25" ht="18" customHeight="1">
      <c r="A9" s="2501"/>
      <c r="B9" s="3471"/>
      <c r="C9" s="1827"/>
      <c r="D9" s="1824"/>
      <c r="E9" s="61" t="s">
        <v>638</v>
      </c>
      <c r="F9" s="785">
        <f ca="1">IF(INDIRECT("'数据-取费表'!ah"&amp;$G$1)="",INDIRECT("'数据-取费表'!k"&amp;$G$1),INDIRECT("'数据-取费表'!ah"&amp;$G$1))</f>
        <v>0</v>
      </c>
      <c r="G9" s="1592"/>
      <c r="H9" s="2490"/>
      <c r="I9" s="3471"/>
      <c r="J9" s="788"/>
      <c r="K9" s="789"/>
      <c r="L9" s="784" t="s">
        <v>1740</v>
      </c>
      <c r="M9" s="785">
        <f ca="1">F9</f>
        <v>0</v>
      </c>
    </row>
    <row r="10" spans="1:25" ht="18" customHeight="1">
      <c r="A10" s="2494"/>
      <c r="B10" s="3472"/>
      <c r="C10" s="1827"/>
      <c r="D10" s="1824"/>
      <c r="E10" s="61" t="s">
        <v>639</v>
      </c>
      <c r="F10" s="785">
        <f ca="1">INDIRECT("'数据-取费表'!ai"&amp;$G$1)</f>
        <v>0</v>
      </c>
      <c r="G10" s="1592"/>
      <c r="H10" s="2490"/>
      <c r="I10" s="3472"/>
      <c r="J10" s="788"/>
      <c r="K10" s="789"/>
      <c r="L10" s="784" t="s">
        <v>1741</v>
      </c>
      <c r="M10" s="785">
        <f ca="1">INDIRECT("'数据-取费表'!ai"&amp;$G$1)</f>
        <v>0</v>
      </c>
    </row>
    <row r="11" spans="1:25" ht="18" customHeight="1">
      <c r="A11" s="786"/>
      <c r="B11" s="3473"/>
      <c r="C11" s="1827"/>
      <c r="D11" s="1824"/>
      <c r="E11" s="61" t="s">
        <v>640</v>
      </c>
      <c r="F11" s="794">
        <f ca="1">INDIRECT("'数据-取费表'!w"&amp;$G$1)</f>
        <v>0</v>
      </c>
      <c r="G11" s="1592"/>
      <c r="H11" s="2506"/>
      <c r="I11" s="3472"/>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2978</v>
      </c>
      <c r="E12" s="2499" t="s">
        <v>2467</v>
      </c>
      <c r="F12" s="2622"/>
      <c r="G12" s="1592"/>
      <c r="H12" s="2562" t="s">
        <v>1826</v>
      </c>
      <c r="I12" s="2567" t="s">
        <v>2462</v>
      </c>
      <c r="J12" s="783">
        <f ca="1">ROUND(IF(M12="押一",J8/12*M13,IF(M12="押二",J8/12*2*M13,IF(M12="押三",J8/12*3*M13,J13*M13))),0)</f>
        <v>0</v>
      </c>
      <c r="K12" s="2502" t="s">
        <v>2978</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69"/>
      <c r="J36" s="2080"/>
      <c r="K36" s="2081"/>
      <c r="L36" s="2080"/>
      <c r="M36" s="2080"/>
    </row>
    <row r="37" spans="1:18" ht="18" customHeight="1">
      <c r="A37" s="815"/>
      <c r="B37" s="793"/>
      <c r="C37" s="69"/>
      <c r="D37" s="816"/>
      <c r="E37" s="784" t="s">
        <v>674</v>
      </c>
      <c r="F37" s="785">
        <f ca="1">INDIRECT("'数据-取费表'!r"&amp;$G$1)</f>
        <v>0</v>
      </c>
      <c r="G37" s="2063"/>
      <c r="H37" s="2066"/>
      <c r="I37" s="3469"/>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2966</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2983</v>
      </c>
      <c r="J54" s="3158">
        <f ca="1">IF(M48="住宅",MAX(J52,L49-'数据-取费表'!B20),MIN(J52,L49-'数据-取费表'!B20))</f>
        <v>-2</v>
      </c>
      <c r="K54" s="3474"/>
      <c r="L54" s="3475"/>
      <c r="O54" s="2402" t="s">
        <v>2391</v>
      </c>
      <c r="P54" s="2400" t="s">
        <v>2392</v>
      </c>
      <c r="Q54" s="2401">
        <f ca="1">J54</f>
        <v>-2</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2946</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E38"/>
  <sheetViews>
    <sheetView topLeftCell="A16" workbookViewId="0">
      <selection activeCell="C28" sqref="C2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42169</v>
      </c>
      <c r="C2" s="2105"/>
      <c r="D2" s="2105"/>
      <c r="E2" s="2105"/>
      <c r="F2" s="2105"/>
      <c r="G2" s="2105"/>
      <c r="H2" s="2105"/>
      <c r="I2" s="2105"/>
      <c r="J2" s="2105"/>
      <c r="K2" s="2105"/>
    </row>
    <row r="3" spans="1:31" s="2042" customFormat="1" ht="18" customHeight="1">
      <c r="A3" s="2107" t="s">
        <v>1685</v>
      </c>
      <c r="B3" s="2108">
        <f ca="1">ROUND(B2*10000/IF(B1="",'数据-汇总表'!E3,INDIRECT("'数据-取费表'!K"&amp;$K$1)),0)</f>
        <v>42169</v>
      </c>
      <c r="C3" s="2105"/>
      <c r="D3" s="2105"/>
      <c r="E3" s="2105"/>
      <c r="F3" s="2105"/>
      <c r="G3" s="2105"/>
      <c r="H3" s="2105"/>
      <c r="I3" s="2105"/>
      <c r="J3" s="2105"/>
      <c r="K3" s="2105"/>
    </row>
    <row r="4" spans="1:31" s="2042" customFormat="1" ht="18" customHeight="1">
      <c r="A4" s="426" t="s">
        <v>468</v>
      </c>
      <c r="B4" s="427">
        <f ca="1">ROUND(B2*10000/IF(B1="",'数据-汇总表'!D3,INDIRECT("'数据-取费表'!R"&amp;$K$1)),0)</f>
        <v>520669</v>
      </c>
      <c r="C4" s="428"/>
      <c r="D4" s="422"/>
      <c r="E4" s="422"/>
      <c r="F4" s="422"/>
      <c r="G4" s="422"/>
      <c r="H4" s="422"/>
      <c r="I4" s="422"/>
      <c r="J4" s="422"/>
      <c r="K4" s="422"/>
    </row>
    <row r="5" spans="1:31" s="2042" customFormat="1" ht="18" customHeight="1" thickBot="1">
      <c r="A5" s="429"/>
      <c r="B5" s="430">
        <f ca="1">ROUND(B2/(IF(B1="",'数据-汇总表'!D3,INDIRECT("'数据-取费表'!R"&amp;$K$1))/666.67),0)</f>
        <v>34711</v>
      </c>
      <c r="C5" s="431" t="s">
        <v>469</v>
      </c>
      <c r="D5" s="422"/>
      <c r="E5" s="422"/>
      <c r="F5" s="422"/>
      <c r="G5" s="422"/>
      <c r="H5" s="422"/>
      <c r="I5" s="422"/>
      <c r="J5" s="422"/>
      <c r="K5" s="422"/>
    </row>
    <row r="6" spans="1:31" s="2112" customFormat="1" ht="16.5" customHeight="1">
      <c r="A6" s="2829" t="s">
        <v>1843</v>
      </c>
      <c r="B6" s="2830"/>
      <c r="C6" s="2831">
        <f>SUM(C10:K10)</f>
        <v>63378</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SUMIF('数据-汇总表'!$C19:$C33,剩余法待开发住宅50!C7,'数据-汇总表'!$E19:$E33)</f>
        <v>0</v>
      </c>
      <c r="D9" s="441">
        <f>SUMIF('数据-汇总表'!$C19:$C33,剩余法待开发住宅50!D7,'数据-汇总表'!$E19:$E33)</f>
        <v>0</v>
      </c>
      <c r="E9" s="441">
        <f>SUMIF('数据-汇总表'!$C19:$C33,剩余法待开发住宅50!E7,'数据-汇总表'!$E19:$E33)</f>
        <v>0</v>
      </c>
      <c r="F9" s="441">
        <f>SUMIF('数据-汇总表'!$C19:$C33,剩余法待开发住宅50!F7,'数据-汇总表'!$E19:$E33)</f>
        <v>0</v>
      </c>
      <c r="G9" s="441">
        <f>SUMIF('数据-汇总表'!$C19:$C33,剩余法待开发住宅50!G7,'数据-汇总表'!$E19:$E33)</f>
        <v>0</v>
      </c>
      <c r="H9" s="441">
        <f>SUMIF('数据-汇总表'!$C19:$C33,剩余法待开发住宅50!H7,'数据-汇总表'!$E19:$E33)</f>
        <v>0</v>
      </c>
      <c r="I9" s="441">
        <f>SUMIF('数据-汇总表'!$C19:$C33,剩余法待开发住宅50!I7,'数据-汇总表'!$E19:$E33)</f>
        <v>0</v>
      </c>
      <c r="J9" s="441">
        <f>SUMIF('数据-汇总表'!$C19:$C33,剩余法待开发住宅50!J7,'数据-汇总表'!$E19:$E33)</f>
        <v>0</v>
      </c>
      <c r="K9" s="442">
        <f>SUMIF('数据-汇总表'!$C19:$C33,剩余法待开发住宅50!K7,'数据-汇总表'!$E19:$E33)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63378</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192" t="s">
        <v>476</v>
      </c>
      <c r="E12" s="3192" t="s">
        <v>477</v>
      </c>
      <c r="F12" s="3192"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192">
        <f ca="1">ROUND(D19*E19/10000,0)</f>
        <v>0</v>
      </c>
      <c r="D19" s="2855">
        <f ca="1">D16</f>
        <v>10000</v>
      </c>
      <c r="E19" s="3192">
        <f>'数据-取费表'!B32</f>
        <v>0</v>
      </c>
      <c r="F19" s="468"/>
      <c r="G19" s="2813" t="s">
        <v>489</v>
      </c>
      <c r="H19" s="2814"/>
      <c r="I19" s="2818"/>
      <c r="J19" s="2818"/>
      <c r="K19" s="2819"/>
    </row>
    <row r="20" spans="1:14" s="2117" customFormat="1" ht="13.5" customHeight="1">
      <c r="A20" s="2851" t="s">
        <v>1856</v>
      </c>
      <c r="B20" s="2852" t="s">
        <v>490</v>
      </c>
      <c r="C20" s="3192">
        <f ca="1">C21+C22-IF(B1="",'数据-取费表'!B29,IF(G20="已全部缴纳",C21+C22,H20))</f>
        <v>160</v>
      </c>
      <c r="D20" s="2855"/>
      <c r="E20" s="3192"/>
      <c r="F20" s="2856"/>
      <c r="G20" s="3090"/>
      <c r="H20" s="2811"/>
      <c r="I20" s="2812">
        <v>50</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1268</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233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233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3380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8518</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8518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736</v>
      </c>
      <c r="D33" s="467">
        <f ca="1">C34</f>
        <v>0.15440000000000001</v>
      </c>
      <c r="E33" s="469" t="s">
        <v>495</v>
      </c>
      <c r="F33" s="479">
        <f ca="1">IF(B1="",'数据-取费表'!Q16,INDIRECT("'数据-取费表'!q"&amp;$K$1))</f>
        <v>0.15</v>
      </c>
      <c r="G33" s="2817"/>
      <c r="H33" s="2818"/>
      <c r="I33" s="2818"/>
      <c r="J33" s="2818"/>
      <c r="K33" s="2819"/>
    </row>
    <row r="34" spans="1:11" s="2124" customFormat="1" ht="13.5" customHeight="1">
      <c r="A34" s="375" t="s">
        <v>1857</v>
      </c>
      <c r="B34" s="2864" t="s">
        <v>501</v>
      </c>
      <c r="C34" s="472">
        <f ca="1">ROUND((1+C25)*F33,4)</f>
        <v>0.15440000000000001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736</v>
      </c>
      <c r="D35" s="1629"/>
      <c r="E35" s="2865"/>
      <c r="F35" s="1630"/>
      <c r="G35" s="2823"/>
      <c r="H35" s="2824"/>
      <c r="I35" s="2824"/>
      <c r="J35" s="2824"/>
      <c r="K35" s="2825"/>
    </row>
    <row r="36" spans="1:11" s="2086" customFormat="1" ht="13.5" customHeight="1" thickBot="1">
      <c r="A36" s="284" t="s">
        <v>1845</v>
      </c>
      <c r="B36" s="2827"/>
      <c r="C36" s="2866">
        <f ca="1">ROUND((C6-C30-C33)/(1+D30+D33)*F36,0)</f>
        <v>42169</v>
      </c>
      <c r="D36" s="3185" t="s">
        <v>2989</v>
      </c>
      <c r="E36" s="2827"/>
      <c r="F36" s="2827">
        <f ca="1">基准地价住宅50!C20</f>
        <v>1</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18"/>
  <sheetViews>
    <sheetView topLeftCell="A19"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23970</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17206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13881</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11138</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SUMIF(L1:L12,基准地价住宅50!G2,M1:M12)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9484</v>
      </c>
      <c r="U6" s="2927"/>
      <c r="V6" s="2938">
        <f t="shared" ca="1" si="1"/>
        <v>0</v>
      </c>
      <c r="W6" s="2190"/>
      <c r="X6" s="2190"/>
      <c r="Y6" s="2190"/>
      <c r="Z6" s="2190"/>
      <c r="AA6" s="2190"/>
      <c r="AB6" s="2190"/>
      <c r="AC6" s="2192"/>
      <c r="AD6" s="1419"/>
      <c r="AE6" s="1419"/>
      <c r="AF6" s="1419"/>
      <c r="AG6" s="1419"/>
      <c r="AH6" s="1419"/>
      <c r="AI6" s="1419"/>
      <c r="AJ6" s="1420"/>
    </row>
    <row r="7" spans="1:39" ht="24">
      <c r="A7" s="3395"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8340</v>
      </c>
      <c r="U7" s="2927"/>
      <c r="V7" s="2938">
        <f t="shared" ca="1" si="1"/>
        <v>0</v>
      </c>
      <c r="W7" s="3196" t="s">
        <v>2767</v>
      </c>
      <c r="X7" s="2928" t="str">
        <f>G2</f>
        <v>七级</v>
      </c>
      <c r="Y7" s="2928" t="s">
        <v>2768</v>
      </c>
      <c r="Z7" s="2929">
        <f>G3</f>
        <v>1</v>
      </c>
      <c r="AA7" s="2193"/>
      <c r="AB7" s="2193"/>
      <c r="AC7" s="2194"/>
      <c r="AD7" s="2930"/>
      <c r="AE7" s="2930"/>
      <c r="AF7" s="2930"/>
      <c r="AG7" s="2930"/>
      <c r="AH7" s="2930"/>
      <c r="AI7" s="2930"/>
      <c r="AJ7" s="2931"/>
    </row>
    <row r="8" spans="1:39" ht="15">
      <c r="A8" s="3396"/>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5" t="s">
        <v>2785</v>
      </c>
      <c r="X8" s="3406"/>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6"/>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4"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6"/>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4"/>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6"/>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4"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5"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4"/>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7"/>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4"/>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7"/>
      <c r="B14" s="1451"/>
      <c r="C14" s="1452" t="s">
        <v>3034</v>
      </c>
      <c r="D14" s="1453" t="s">
        <v>3034</v>
      </c>
      <c r="E14" s="1453" t="s">
        <v>3034</v>
      </c>
      <c r="F14" s="1454" t="s">
        <v>3035</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8"/>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5" t="s">
        <v>1839</v>
      </c>
      <c r="B16" s="1427" t="s">
        <v>950</v>
      </c>
      <c r="C16" s="1054">
        <f>ROUND(SUM(G17:J17)/C17,0)</f>
        <v>20</v>
      </c>
      <c r="D16" s="1460" t="s">
        <v>951</v>
      </c>
      <c r="E16" s="1461" t="s">
        <v>3036</v>
      </c>
      <c r="F16" s="1462" t="s">
        <v>3037</v>
      </c>
      <c r="G16" s="1463" t="s">
        <v>3038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6"/>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地价!AA5</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1</v>
      </c>
      <c r="D20" s="2782" t="s">
        <v>973</v>
      </c>
      <c r="E20" s="3097">
        <f ca="1">存贷款利率!I4/100</f>
        <v>4.3499999999999997E-2</v>
      </c>
      <c r="F20" s="2782" t="s">
        <v>974</v>
      </c>
      <c r="G20" s="2783">
        <f ca="1">SUMIF(M15:P15,E2,M17:P17)</f>
        <v>0.05</v>
      </c>
      <c r="H20" s="2782" t="s">
        <v>975</v>
      </c>
      <c r="I20" s="2772">
        <v>50</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3136</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15924</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3981</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01"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2"/>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2"/>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3"/>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3217</v>
      </c>
      <c r="D37" s="1537"/>
      <c r="E37" s="1048">
        <f t="shared" ca="1" si="7"/>
        <v>0</v>
      </c>
      <c r="F37" s="1063">
        <f>SUMIF(修正!A45:A56,G2,修正!F45:F56)</f>
        <v>0.25</v>
      </c>
      <c r="G37" s="1048">
        <f ca="1">ROUND(IF(E2="工业",C37*$M$39,C37*$M$38),0)</f>
        <v>804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3217</v>
      </c>
      <c r="D38" s="1537"/>
      <c r="E38" s="1048">
        <f t="shared" ca="1" si="7"/>
        <v>0</v>
      </c>
      <c r="F38" s="1063">
        <f>SUMIF(修正!A45:A56,G2,修正!G45:G56)</f>
        <v>0.25</v>
      </c>
      <c r="G38" s="1048">
        <f ca="1">ROUND(IF(E2="工业",C38*$M$39,C38*$M$38),0)</f>
        <v>804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2573</v>
      </c>
      <c r="D39" s="1538"/>
      <c r="E39" s="1051">
        <f t="shared" ca="1" si="7"/>
        <v>0</v>
      </c>
      <c r="F39" s="1065">
        <f>SUMIF(修正!A45:A56,G2,修正!H45:H56)</f>
        <v>0.2</v>
      </c>
      <c r="G39" s="1051">
        <f ca="1">ROUND(IF(E2="工业",C39*$M$39,C39*$M$38),0)</f>
        <v>643</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985</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3053</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3053</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3072</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3053</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3053</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3073</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3072</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3053</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3053</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9" t="s">
        <v>1634</v>
      </c>
      <c r="B90" s="3399"/>
      <c r="C90" s="3399"/>
      <c r="D90" s="3399"/>
      <c r="E90" s="3399"/>
      <c r="F90" s="3399"/>
      <c r="G90" s="3399"/>
      <c r="H90" s="3399"/>
      <c r="I90" s="3399"/>
      <c r="J90" s="3399"/>
      <c r="K90" s="3194"/>
      <c r="L90" s="3194"/>
      <c r="M90" s="3194"/>
      <c r="N90" s="3194"/>
    </row>
    <row r="91" spans="1:40">
      <c r="A91" s="3400" t="s">
        <v>1444</v>
      </c>
      <c r="B91" s="3400" t="s">
        <v>1635</v>
      </c>
      <c r="C91" s="1140" t="s">
        <v>1636</v>
      </c>
      <c r="D91" s="1141"/>
      <c r="E91" s="1141"/>
      <c r="F91" s="1141"/>
      <c r="G91" s="1141"/>
      <c r="H91" s="1141"/>
      <c r="I91" s="1141"/>
      <c r="J91" s="1142"/>
      <c r="K91" s="1134"/>
      <c r="L91" s="1134"/>
      <c r="M91" s="1134"/>
      <c r="N91" s="1134"/>
    </row>
    <row r="92" spans="1:40">
      <c r="A92" s="3400"/>
      <c r="B92" s="3400"/>
      <c r="C92" s="3195" t="s">
        <v>907</v>
      </c>
      <c r="D92" s="3195" t="s">
        <v>885</v>
      </c>
      <c r="E92" s="3195" t="s">
        <v>886</v>
      </c>
      <c r="F92" s="3195" t="s">
        <v>910</v>
      </c>
      <c r="G92" s="3195" t="s">
        <v>888</v>
      </c>
      <c r="H92" s="3195" t="s">
        <v>889</v>
      </c>
      <c r="I92" s="3195" t="s">
        <v>890</v>
      </c>
      <c r="J92" s="3195" t="s">
        <v>891</v>
      </c>
      <c r="K92" s="3195" t="s">
        <v>915</v>
      </c>
      <c r="L92" s="3195" t="s">
        <v>893</v>
      </c>
      <c r="M92" s="3195" t="s">
        <v>894</v>
      </c>
      <c r="N92" s="3195" t="s">
        <v>918</v>
      </c>
    </row>
    <row r="93" spans="1:40">
      <c r="A93" s="3407"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8"/>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8"/>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8"/>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8"/>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8"/>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8"/>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8"/>
      <c r="B108" s="341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4" t="s">
        <v>1640</v>
      </c>
      <c r="B110" s="3394"/>
      <c r="C110" s="3394"/>
      <c r="D110" s="3394"/>
      <c r="E110" s="3394"/>
      <c r="F110" s="3394"/>
      <c r="G110" s="3394"/>
      <c r="H110" s="3394"/>
      <c r="I110" s="3394"/>
      <c r="J110" s="3394"/>
      <c r="K110" s="3193"/>
      <c r="L110" s="3193"/>
      <c r="M110" s="3193"/>
      <c r="N110" s="3193"/>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6"/>
  <sheetViews>
    <sheetView topLeftCell="I1" zoomScale="80" zoomScaleNormal="80" workbookViewId="0">
      <selection activeCell="Y28" sqref="Y28"/>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ustomWidth="1"/>
    <col min="26" max="27" width="11.625" style="2664" customWidth="1"/>
    <col min="28" max="28" width="9" style="2664" customWidth="1"/>
    <col min="29" max="29" width="2" style="2664" customWidth="1"/>
    <col min="30" max="34" width="9" style="2664" customWidth="1"/>
    <col min="35" max="35" width="9" style="2664"/>
    <col min="36" max="36" width="21.25" style="2664" bestFit="1" customWidth="1"/>
    <col min="37" max="16384" width="9" style="2664"/>
  </cols>
  <sheetData>
    <row r="1" spans="1:35" s="2654" customFormat="1">
      <c r="B1" s="3478" t="s">
        <v>2579</v>
      </c>
      <c r="C1" s="3478"/>
      <c r="D1" s="3478"/>
      <c r="E1" s="3478"/>
      <c r="F1" s="3478"/>
      <c r="G1" s="3477" t="s">
        <v>2580</v>
      </c>
      <c r="H1" s="3477"/>
      <c r="I1" s="3477"/>
      <c r="J1" s="3477"/>
      <c r="K1" s="3477"/>
      <c r="L1" s="3477"/>
      <c r="N1" s="3477" t="s">
        <v>2581</v>
      </c>
      <c r="O1" s="3477"/>
      <c r="P1" s="3477"/>
      <c r="Q1" s="3477"/>
      <c r="R1" s="2655"/>
      <c r="S1" s="3477" t="s">
        <v>2582</v>
      </c>
      <c r="T1" s="3477"/>
      <c r="U1" s="3477"/>
      <c r="V1" s="3477"/>
      <c r="X1" s="3476" t="s">
        <v>2642</v>
      </c>
      <c r="Y1" s="3477"/>
      <c r="Z1" s="3477"/>
      <c r="AA1" s="3477"/>
      <c r="AB1" s="3477"/>
      <c r="AD1" s="3476" t="s">
        <v>2646</v>
      </c>
      <c r="AE1" s="3477"/>
      <c r="AF1" s="3477"/>
      <c r="AG1" s="3477"/>
      <c r="AH1" s="3477"/>
    </row>
    <row r="2" spans="1:35" s="2757" customFormat="1" ht="14.25" thickBot="1">
      <c r="B2" s="2765" t="s">
        <v>2583</v>
      </c>
      <c r="C2" s="2765" t="s">
        <v>2644</v>
      </c>
      <c r="D2" s="2758" t="s">
        <v>1645</v>
      </c>
      <c r="E2" s="2758" t="s">
        <v>1952</v>
      </c>
      <c r="F2" s="2765" t="s">
        <v>2645</v>
      </c>
      <c r="G2" s="2761"/>
      <c r="H2" s="2760"/>
      <c r="I2" s="2765" t="s">
        <v>2960</v>
      </c>
      <c r="J2" s="2758" t="s">
        <v>2962</v>
      </c>
      <c r="K2" s="2758" t="s">
        <v>2963</v>
      </c>
      <c r="L2" s="2765" t="s">
        <v>2964</v>
      </c>
      <c r="N2" s="2765" t="s">
        <v>2583</v>
      </c>
      <c r="O2" s="2758" t="s">
        <v>2961</v>
      </c>
      <c r="P2" s="2758" t="s">
        <v>1952</v>
      </c>
      <c r="Q2" s="2765" t="s">
        <v>2645</v>
      </c>
      <c r="R2" s="2759"/>
      <c r="S2" s="2765" t="s">
        <v>2583</v>
      </c>
      <c r="T2" s="2758" t="s">
        <v>2961</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5" s="3136" customFormat="1" ht="14.25">
      <c r="A3" s="3148" t="s">
        <v>2973</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5"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5" s="3117" customFormat="1">
      <c r="A5" s="3115" t="s">
        <v>2984</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2974</v>
      </c>
      <c r="X5" s="3120">
        <f>ROUND(SUMPRODUCT(PRODUCT(1+N6:N$23)),4)</f>
        <v>1.4947999999999999</v>
      </c>
      <c r="Y5" s="3120">
        <f>ROUND(SUMPRODUCT(PRODUCT(1+O6:O$23)),4)</f>
        <v>1.3230999999999999</v>
      </c>
      <c r="Z5" s="3120">
        <f t="shared" ref="Z5" si="10">Y5</f>
        <v>1.3230999999999999</v>
      </c>
      <c r="AA5" s="3120">
        <f>ROUND(SUMPRODUCT(PRODUCT(1+P6:P$23)),4)</f>
        <v>1.5564</v>
      </c>
      <c r="AB5" s="3120">
        <f>ROUND(SUMPRODUCT(PRODUCT(1+Q6:Q$23)),4)</f>
        <v>1.2726999999999999</v>
      </c>
      <c r="AD5" s="3121">
        <f>ROUND(AVERAGE(I5:I$23)/100,4)</f>
        <v>2.23E-2</v>
      </c>
      <c r="AE5" s="3121">
        <f>ROUND(AVERAGE(J5:J$23)/100,4)</f>
        <v>1.54E-2</v>
      </c>
      <c r="AF5" s="3121">
        <f t="shared" ref="AF5" si="11">AE5</f>
        <v>1.54E-2</v>
      </c>
      <c r="AG5" s="3121">
        <f>ROUND(AVERAGE(K5:K$23)/100,4)</f>
        <v>2.4500000000000001E-2</v>
      </c>
      <c r="AH5" s="3121">
        <f>ROUND(AVERAGE(L5:L$23)/100,4)</f>
        <v>1.41E-2</v>
      </c>
      <c r="AI5" s="3210">
        <f>P5+1</f>
        <v>1.0158</v>
      </c>
    </row>
    <row r="6" spans="1:35" s="2762" customFormat="1" ht="13.5" thickBot="1">
      <c r="A6" s="2656" t="s">
        <v>2985</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c r="AI6" s="3210">
        <f t="shared" ref="AI6:AI23" si="22">P6+1</f>
        <v>1</v>
      </c>
    </row>
    <row r="7" spans="1:35" s="2762" customFormat="1" ht="13.5" thickBot="1">
      <c r="A7" s="2656" t="s">
        <v>2980</v>
      </c>
      <c r="B7" s="2670">
        <f>B8*(1+N7)</f>
        <v>446.46299999999997</v>
      </c>
      <c r="C7" s="2670">
        <f t="shared" ref="C7" si="23">C8*(1+O7)</f>
        <v>333.27840000000003</v>
      </c>
      <c r="D7" s="2670">
        <f t="shared" ref="D7:D12" si="24">C7</f>
        <v>333.27840000000003</v>
      </c>
      <c r="E7" s="2670">
        <f t="shared" ref="E7" si="25">E8*(1+P7)</f>
        <v>637.28279999999995</v>
      </c>
      <c r="F7" s="2670">
        <f t="shared" ref="F7" si="26">F8*(1+Q7)</f>
        <v>288.68830000000003</v>
      </c>
      <c r="G7" s="3135"/>
      <c r="H7" s="2660">
        <v>1</v>
      </c>
      <c r="I7" s="2660">
        <v>1.7</v>
      </c>
      <c r="J7" s="2660">
        <v>1.92</v>
      </c>
      <c r="K7" s="2660">
        <v>1.64</v>
      </c>
      <c r="L7" s="2671">
        <v>2.0099999999999998</v>
      </c>
      <c r="M7" s="2664"/>
      <c r="N7" s="2665">
        <f t="shared" ref="N7:N12" si="27">I7/100</f>
        <v>1.7000000000000001E-2</v>
      </c>
      <c r="O7" s="2666">
        <f t="shared" ref="O7" si="28">J7/100</f>
        <v>1.9199999999999998E-2</v>
      </c>
      <c r="P7" s="2666">
        <f t="shared" ref="P7" si="29">K7/100</f>
        <v>1.6399999999999998E-2</v>
      </c>
      <c r="Q7" s="2666">
        <f t="shared" ref="Q7" si="30">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1">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2">AE7</f>
        <v>1.66E-2</v>
      </c>
      <c r="AG7" s="2675">
        <f>ROUND(AVERAGE(K7:K$23)/100,4)</f>
        <v>2.6499999999999999E-2</v>
      </c>
      <c r="AH7" s="2675">
        <f>ROUND(AVERAGE(L7:L$23)/100,4)</f>
        <v>1.43E-2</v>
      </c>
      <c r="AI7" s="3210">
        <f t="shared" si="22"/>
        <v>1.0164</v>
      </c>
    </row>
    <row r="8" spans="1:35">
      <c r="A8" s="2656" t="s">
        <v>2971</v>
      </c>
      <c r="B8" s="3150">
        <v>439</v>
      </c>
      <c r="C8" s="3150">
        <v>327</v>
      </c>
      <c r="D8" s="3150">
        <f t="shared" si="24"/>
        <v>327</v>
      </c>
      <c r="E8" s="3150">
        <v>627</v>
      </c>
      <c r="F8" s="3151">
        <v>283</v>
      </c>
      <c r="G8" s="3133">
        <v>2017</v>
      </c>
      <c r="H8" s="2657">
        <v>4</v>
      </c>
      <c r="I8" s="2657">
        <v>1.71</v>
      </c>
      <c r="J8" s="2657">
        <v>1.78</v>
      </c>
      <c r="K8" s="2657">
        <v>1.71</v>
      </c>
      <c r="L8" s="2658">
        <v>1.43</v>
      </c>
      <c r="N8" s="2665">
        <f t="shared" si="27"/>
        <v>1.7100000000000001E-2</v>
      </c>
      <c r="O8" s="2666">
        <f t="shared" ref="O8" si="33">J8/100</f>
        <v>1.78E-2</v>
      </c>
      <c r="P8" s="2666">
        <f t="shared" ref="P8" si="34">K8/100</f>
        <v>1.7100000000000001E-2</v>
      </c>
      <c r="Q8" s="2666">
        <f t="shared" ref="Q8" si="35">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c r="AI8" s="3210">
        <f t="shared" si="22"/>
        <v>1.0170999999999999</v>
      </c>
    </row>
    <row r="9" spans="1:35" s="2762" customFormat="1" ht="13.5" thickBot="1">
      <c r="A9" s="2656" t="s">
        <v>2975</v>
      </c>
      <c r="B9" s="2670">
        <f t="shared" ref="B9:C11" si="36">B10*(1+N9)</f>
        <v>431.80730811680002</v>
      </c>
      <c r="C9" s="2670">
        <f t="shared" si="36"/>
        <v>320.57880516480003</v>
      </c>
      <c r="D9" s="2670">
        <f t="shared" si="24"/>
        <v>320.57880516480003</v>
      </c>
      <c r="E9" s="2670">
        <f t="shared" ref="E9:F11" si="37">E10*(1+P9)</f>
        <v>615.96110553196797</v>
      </c>
      <c r="F9" s="2670">
        <f t="shared" si="37"/>
        <v>279.46777300108801</v>
      </c>
      <c r="G9" s="3135"/>
      <c r="H9" s="2660">
        <v>3</v>
      </c>
      <c r="I9" s="2660">
        <v>2.98</v>
      </c>
      <c r="J9" s="2660">
        <v>2.11</v>
      </c>
      <c r="K9" s="2660">
        <v>3.24</v>
      </c>
      <c r="L9" s="2671">
        <v>1.72</v>
      </c>
      <c r="M9" s="2664"/>
      <c r="N9" s="2665">
        <f t="shared" si="27"/>
        <v>2.98E-2</v>
      </c>
      <c r="O9" s="2666">
        <f t="shared" ref="O9:O10" si="38">J9/100</f>
        <v>2.1099999999999997E-2</v>
      </c>
      <c r="P9" s="2666">
        <f t="shared" ref="P9:P10" si="39">K9/100</f>
        <v>3.2400000000000005E-2</v>
      </c>
      <c r="Q9" s="2666">
        <f t="shared" ref="Q9:Q10" si="40">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c r="AI9" s="3210">
        <f t="shared" si="22"/>
        <v>1.0324</v>
      </c>
    </row>
    <row r="10" spans="1:35" s="2654" customFormat="1">
      <c r="A10" s="2656" t="s">
        <v>2584</v>
      </c>
      <c r="B10" s="2670">
        <f t="shared" si="36"/>
        <v>419.31181600000002</v>
      </c>
      <c r="C10" s="2670">
        <f t="shared" si="36"/>
        <v>313.95436800000004</v>
      </c>
      <c r="D10" s="2670">
        <f t="shared" si="24"/>
        <v>313.95436800000004</v>
      </c>
      <c r="E10" s="2670">
        <f t="shared" si="37"/>
        <v>596.63028431999999</v>
      </c>
      <c r="F10" s="2670">
        <f t="shared" si="37"/>
        <v>274.74220703999998</v>
      </c>
      <c r="G10" s="3134"/>
      <c r="H10" s="2661">
        <v>2</v>
      </c>
      <c r="I10" s="2661">
        <v>3.4</v>
      </c>
      <c r="J10" s="2661">
        <v>2</v>
      </c>
      <c r="K10" s="2661">
        <v>3.82</v>
      </c>
      <c r="L10" s="2672">
        <v>1.68</v>
      </c>
      <c r="N10" s="2665">
        <f t="shared" si="27"/>
        <v>3.4000000000000002E-2</v>
      </c>
      <c r="O10" s="2666">
        <f t="shared" si="38"/>
        <v>0.02</v>
      </c>
      <c r="P10" s="2666">
        <f t="shared" si="39"/>
        <v>3.8199999999999998E-2</v>
      </c>
      <c r="Q10" s="2666">
        <f t="shared" si="40"/>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c r="AI10" s="3210">
        <f t="shared" si="22"/>
        <v>1.0382</v>
      </c>
    </row>
    <row r="11" spans="1:35" s="2762" customFormat="1" ht="13.5" thickBot="1">
      <c r="A11" s="2656" t="s">
        <v>2585</v>
      </c>
      <c r="B11" s="2670">
        <f t="shared" si="36"/>
        <v>405.524</v>
      </c>
      <c r="C11" s="2670">
        <f t="shared" si="36"/>
        <v>307.79840000000002</v>
      </c>
      <c r="D11" s="2670">
        <f t="shared" si="24"/>
        <v>307.79840000000002</v>
      </c>
      <c r="E11" s="2670">
        <f t="shared" si="37"/>
        <v>574.67759999999998</v>
      </c>
      <c r="F11" s="2670">
        <f t="shared" si="37"/>
        <v>270.20280000000002</v>
      </c>
      <c r="G11" s="3135"/>
      <c r="H11" s="2660">
        <v>1</v>
      </c>
      <c r="I11" s="2660">
        <v>3.45</v>
      </c>
      <c r="J11" s="2660">
        <v>1.92</v>
      </c>
      <c r="K11" s="2660">
        <v>3.92</v>
      </c>
      <c r="L11" s="2671">
        <v>1.58</v>
      </c>
      <c r="M11" s="2664"/>
      <c r="N11" s="2665">
        <f t="shared" si="27"/>
        <v>3.4500000000000003E-2</v>
      </c>
      <c r="O11" s="2666">
        <f t="shared" ref="O11" si="41">J11/100</f>
        <v>1.9199999999999998E-2</v>
      </c>
      <c r="P11" s="2666">
        <f t="shared" ref="P11" si="42">K11/100</f>
        <v>3.9199999999999999E-2</v>
      </c>
      <c r="Q11" s="2666">
        <f t="shared" ref="Q11" si="43">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c r="AI11" s="3210">
        <f t="shared" si="22"/>
        <v>1.0391999999999999</v>
      </c>
    </row>
    <row r="12" spans="1:35">
      <c r="A12" s="2656" t="s">
        <v>971</v>
      </c>
      <c r="B12" s="2662">
        <v>392</v>
      </c>
      <c r="C12" s="2662">
        <v>302</v>
      </c>
      <c r="D12" s="2662">
        <f t="shared" si="24"/>
        <v>302</v>
      </c>
      <c r="E12" s="2662">
        <v>553</v>
      </c>
      <c r="F12" s="2663">
        <v>266</v>
      </c>
      <c r="G12" s="3485">
        <v>2016</v>
      </c>
      <c r="H12" s="2657">
        <v>4</v>
      </c>
      <c r="I12" s="2657">
        <v>4.5599999999999996</v>
      </c>
      <c r="J12" s="2657">
        <v>2.15</v>
      </c>
      <c r="K12" s="2657">
        <v>5.32</v>
      </c>
      <c r="L12" s="2658">
        <v>1.57</v>
      </c>
      <c r="N12" s="2665">
        <f t="shared" si="27"/>
        <v>4.5599999999999995E-2</v>
      </c>
      <c r="O12" s="2666">
        <f t="shared" ref="O12:Q27" si="44">J12/100</f>
        <v>2.1499999999999998E-2</v>
      </c>
      <c r="P12" s="2666">
        <f t="shared" si="44"/>
        <v>5.3200000000000004E-2</v>
      </c>
      <c r="Q12" s="2666">
        <f t="shared" si="44"/>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c r="AI12" s="3210">
        <f t="shared" si="22"/>
        <v>1.0531999999999999</v>
      </c>
    </row>
    <row r="13" spans="1:35">
      <c r="A13" s="2656" t="s">
        <v>970</v>
      </c>
      <c r="B13" s="2670">
        <f t="shared" ref="B13:C15" si="45">B12/(1+N12)</f>
        <v>374.90436113236416</v>
      </c>
      <c r="C13" s="2670">
        <f t="shared" si="45"/>
        <v>295.64366128242779</v>
      </c>
      <c r="D13" s="2670">
        <f t="shared" ref="D13:D72" si="46">C13</f>
        <v>295.64366128242779</v>
      </c>
      <c r="E13" s="2670">
        <f t="shared" ref="E13:F15" si="47">E12/(1+P12)</f>
        <v>525.06646410938095</v>
      </c>
      <c r="F13" s="2670">
        <f t="shared" si="47"/>
        <v>261.88835286009646</v>
      </c>
      <c r="G13" s="3480"/>
      <c r="H13" s="2660">
        <v>3</v>
      </c>
      <c r="I13" s="2660">
        <v>4.12</v>
      </c>
      <c r="J13" s="2660">
        <v>2</v>
      </c>
      <c r="K13" s="2660">
        <v>4.79</v>
      </c>
      <c r="L13" s="2671">
        <v>1.97</v>
      </c>
      <c r="N13" s="2665">
        <f t="shared" ref="N13:Q47" si="48">I13/100</f>
        <v>4.1200000000000001E-2</v>
      </c>
      <c r="O13" s="2666">
        <f t="shared" si="44"/>
        <v>0.02</v>
      </c>
      <c r="P13" s="2666">
        <f t="shared" si="44"/>
        <v>4.7899999999999998E-2</v>
      </c>
      <c r="Q13" s="2666">
        <f t="shared" si="44"/>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c r="AI13" s="3210">
        <f t="shared" si="22"/>
        <v>1.0479000000000001</v>
      </c>
    </row>
    <row r="14" spans="1:35">
      <c r="A14" s="2656" t="s">
        <v>960</v>
      </c>
      <c r="B14" s="2670">
        <f t="shared" si="45"/>
        <v>360.06949782209392</v>
      </c>
      <c r="C14" s="2670">
        <f t="shared" si="45"/>
        <v>289.84672674747821</v>
      </c>
      <c r="D14" s="2670">
        <f t="shared" si="46"/>
        <v>289.84672674747821</v>
      </c>
      <c r="E14" s="2670">
        <f t="shared" si="47"/>
        <v>501.06543001181495</v>
      </c>
      <c r="F14" s="2670">
        <f t="shared" si="47"/>
        <v>256.82882500744967</v>
      </c>
      <c r="G14" s="3480"/>
      <c r="H14" s="2661">
        <v>2</v>
      </c>
      <c r="I14" s="2661">
        <v>3.85</v>
      </c>
      <c r="J14" s="2661">
        <v>1.95</v>
      </c>
      <c r="K14" s="2661">
        <v>4.4800000000000004</v>
      </c>
      <c r="L14" s="2672">
        <v>1.41</v>
      </c>
      <c r="N14" s="2665">
        <f t="shared" si="48"/>
        <v>3.85E-2</v>
      </c>
      <c r="O14" s="2666">
        <f t="shared" si="44"/>
        <v>1.95E-2</v>
      </c>
      <c r="P14" s="2666">
        <f t="shared" si="44"/>
        <v>4.4800000000000006E-2</v>
      </c>
      <c r="Q14" s="2666">
        <f t="shared" si="44"/>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c r="AI14" s="3210">
        <f t="shared" si="22"/>
        <v>1.0448</v>
      </c>
    </row>
    <row r="15" spans="1:35" ht="13.5" thickBot="1">
      <c r="A15" s="2656" t="s">
        <v>969</v>
      </c>
      <c r="B15" s="2670">
        <f t="shared" si="45"/>
        <v>346.720748986128</v>
      </c>
      <c r="C15" s="2670">
        <f t="shared" si="45"/>
        <v>284.30282172386285</v>
      </c>
      <c r="D15" s="2670">
        <f t="shared" si="46"/>
        <v>284.30282172386285</v>
      </c>
      <c r="E15" s="2670">
        <f t="shared" si="47"/>
        <v>479.58023546306947</v>
      </c>
      <c r="F15" s="2670">
        <f t="shared" si="47"/>
        <v>253.25788877571213</v>
      </c>
      <c r="G15" s="3481"/>
      <c r="H15" s="2660">
        <v>1</v>
      </c>
      <c r="I15" s="2660">
        <v>4.09</v>
      </c>
      <c r="J15" s="2660">
        <v>2.93</v>
      </c>
      <c r="K15" s="2660">
        <v>4.54</v>
      </c>
      <c r="L15" s="2671">
        <v>1.48</v>
      </c>
      <c r="N15" s="2665">
        <f t="shared" si="48"/>
        <v>4.0899999999999999E-2</v>
      </c>
      <c r="O15" s="2666">
        <f t="shared" si="44"/>
        <v>2.9300000000000003E-2</v>
      </c>
      <c r="P15" s="2666">
        <f t="shared" si="44"/>
        <v>4.5400000000000003E-2</v>
      </c>
      <c r="Q15" s="2666">
        <f t="shared" si="44"/>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c r="AI15" s="3210">
        <f t="shared" si="22"/>
        <v>1.0454000000000001</v>
      </c>
    </row>
    <row r="16" spans="1:35" ht="13.5" thickBot="1">
      <c r="A16" s="2656" t="s">
        <v>968</v>
      </c>
      <c r="B16" s="2662">
        <v>333</v>
      </c>
      <c r="C16" s="2662">
        <v>277</v>
      </c>
      <c r="D16" s="2662">
        <f t="shared" si="46"/>
        <v>277</v>
      </c>
      <c r="E16" s="2662">
        <v>459</v>
      </c>
      <c r="F16" s="2663">
        <v>249</v>
      </c>
      <c r="G16" s="3479">
        <v>2015</v>
      </c>
      <c r="H16" s="2676">
        <v>4</v>
      </c>
      <c r="I16" s="2676">
        <v>1.63</v>
      </c>
      <c r="J16" s="2676">
        <v>1.1100000000000001</v>
      </c>
      <c r="K16" s="2676">
        <v>1.77</v>
      </c>
      <c r="L16" s="2677">
        <v>1.89</v>
      </c>
      <c r="N16" s="2678">
        <f t="shared" si="48"/>
        <v>1.6299999999999999E-2</v>
      </c>
      <c r="O16" s="2679">
        <f t="shared" si="44"/>
        <v>1.11E-2</v>
      </c>
      <c r="P16" s="2679">
        <f t="shared" si="44"/>
        <v>1.77E-2</v>
      </c>
      <c r="Q16" s="2679">
        <f t="shared" si="44"/>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c r="AI16" s="3210">
        <f t="shared" si="22"/>
        <v>1.0177</v>
      </c>
    </row>
    <row r="17" spans="1:36">
      <c r="A17" s="2656" t="s">
        <v>967</v>
      </c>
      <c r="B17" s="2670">
        <f t="shared" ref="B17:C19" si="49">B16/(1+N16)</f>
        <v>327.65915576109415</v>
      </c>
      <c r="C17" s="2670">
        <f t="shared" si="49"/>
        <v>273.95905449510434</v>
      </c>
      <c r="D17" s="2670">
        <f t="shared" si="46"/>
        <v>273.95905449510434</v>
      </c>
      <c r="E17" s="2670">
        <f t="shared" ref="E17:F19" si="50">E16/(1+P16)</f>
        <v>451.01699911565294</v>
      </c>
      <c r="F17" s="2670">
        <f t="shared" si="50"/>
        <v>244.38119540681129</v>
      </c>
      <c r="G17" s="3480"/>
      <c r="H17" s="2681">
        <v>3</v>
      </c>
      <c r="I17" s="2681">
        <v>1.65</v>
      </c>
      <c r="J17" s="2681">
        <v>0.92</v>
      </c>
      <c r="K17" s="2681">
        <v>1.88</v>
      </c>
      <c r="L17" s="2682">
        <v>1.26</v>
      </c>
      <c r="N17" s="2665">
        <f t="shared" si="48"/>
        <v>1.6500000000000001E-2</v>
      </c>
      <c r="O17" s="2683">
        <f t="shared" si="44"/>
        <v>9.1999999999999998E-3</v>
      </c>
      <c r="P17" s="2683">
        <f t="shared" si="44"/>
        <v>1.8799999999999997E-2</v>
      </c>
      <c r="Q17" s="2683">
        <f t="shared" si="44"/>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c r="AI17" s="3210">
        <f t="shared" si="22"/>
        <v>1.0187999999999999</v>
      </c>
    </row>
    <row r="18" spans="1:36">
      <c r="A18" s="2656" t="s">
        <v>966</v>
      </c>
      <c r="B18" s="2670">
        <f t="shared" si="49"/>
        <v>322.34053690220776</v>
      </c>
      <c r="C18" s="2670">
        <f t="shared" si="49"/>
        <v>271.46160770422546</v>
      </c>
      <c r="D18" s="2670">
        <f t="shared" si="46"/>
        <v>271.46160770422546</v>
      </c>
      <c r="E18" s="2670">
        <f t="shared" si="50"/>
        <v>442.69434542172456</v>
      </c>
      <c r="F18" s="2670">
        <f t="shared" si="50"/>
        <v>241.34030753190925</v>
      </c>
      <c r="G18" s="3480"/>
      <c r="H18" s="2661">
        <v>2</v>
      </c>
      <c r="I18" s="2661">
        <v>0.77</v>
      </c>
      <c r="J18" s="2661">
        <v>0.69</v>
      </c>
      <c r="K18" s="2661">
        <v>0.8</v>
      </c>
      <c r="L18" s="2672">
        <v>0.88</v>
      </c>
      <c r="N18" s="2665">
        <f t="shared" si="48"/>
        <v>7.7000000000000002E-3</v>
      </c>
      <c r="O18" s="2683">
        <f t="shared" si="44"/>
        <v>6.8999999999999999E-3</v>
      </c>
      <c r="P18" s="2683">
        <f t="shared" si="44"/>
        <v>8.0000000000000002E-3</v>
      </c>
      <c r="Q18" s="2683">
        <f t="shared" si="44"/>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c r="AI18" s="3210">
        <f t="shared" si="22"/>
        <v>1.008</v>
      </c>
    </row>
    <row r="19" spans="1:36">
      <c r="A19" s="2656" t="s">
        <v>965</v>
      </c>
      <c r="B19" s="2670">
        <f t="shared" si="49"/>
        <v>319.87748030386797</v>
      </c>
      <c r="C19" s="2670">
        <f t="shared" si="49"/>
        <v>269.60135833173649</v>
      </c>
      <c r="D19" s="2670">
        <f t="shared" si="46"/>
        <v>269.60135833173649</v>
      </c>
      <c r="E19" s="2670">
        <f t="shared" si="50"/>
        <v>439.18089823583784</v>
      </c>
      <c r="F19" s="2670">
        <f t="shared" si="50"/>
        <v>239.23503918706311</v>
      </c>
      <c r="G19" s="3481"/>
      <c r="H19" s="2660">
        <v>1</v>
      </c>
      <c r="I19" s="2660">
        <v>0.51</v>
      </c>
      <c r="J19" s="2660">
        <v>0.54</v>
      </c>
      <c r="K19" s="2660">
        <v>0.48</v>
      </c>
      <c r="L19" s="2671">
        <v>0.93</v>
      </c>
      <c r="N19" s="2673">
        <f t="shared" si="48"/>
        <v>5.1000000000000004E-3</v>
      </c>
      <c r="O19" s="2674">
        <f t="shared" si="44"/>
        <v>5.4000000000000003E-3</v>
      </c>
      <c r="P19" s="2674">
        <f t="shared" si="44"/>
        <v>4.7999999999999996E-3</v>
      </c>
      <c r="Q19" s="2674">
        <f t="shared" si="44"/>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c r="AI19" s="3210">
        <f t="shared" si="22"/>
        <v>1.0047999999999999</v>
      </c>
    </row>
    <row r="20" spans="1:36" ht="13.5" thickBot="1">
      <c r="A20" s="2656" t="s">
        <v>964</v>
      </c>
      <c r="B20" s="2684">
        <v>318</v>
      </c>
      <c r="C20" s="2684">
        <v>268</v>
      </c>
      <c r="D20" s="2684">
        <f t="shared" si="46"/>
        <v>268</v>
      </c>
      <c r="E20" s="2684">
        <v>437</v>
      </c>
      <c r="F20" s="2685">
        <v>237</v>
      </c>
      <c r="G20" s="3479">
        <v>2014</v>
      </c>
      <c r="H20" s="2676">
        <v>4</v>
      </c>
      <c r="I20" s="2676">
        <v>0.21</v>
      </c>
      <c r="J20" s="2676">
        <v>0.41</v>
      </c>
      <c r="K20" s="2676">
        <v>0.12</v>
      </c>
      <c r="L20" s="2677">
        <v>0.89</v>
      </c>
      <c r="N20" s="2665">
        <f t="shared" si="48"/>
        <v>2.0999999999999999E-3</v>
      </c>
      <c r="O20" s="2666">
        <f t="shared" si="44"/>
        <v>4.0999999999999995E-3</v>
      </c>
      <c r="P20" s="2666">
        <f t="shared" si="44"/>
        <v>1.1999999999999999E-3</v>
      </c>
      <c r="Q20" s="2666">
        <f t="shared" si="44"/>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c r="AI20" s="3210">
        <f t="shared" si="22"/>
        <v>1.0012000000000001</v>
      </c>
    </row>
    <row r="21" spans="1:36">
      <c r="A21" s="2656" t="s">
        <v>963</v>
      </c>
      <c r="B21" s="2670">
        <f t="shared" ref="B21:C23" si="51">B20/(1+N20)</f>
        <v>317.33359944117353</v>
      </c>
      <c r="C21" s="2670">
        <f t="shared" si="51"/>
        <v>266.90568668459315</v>
      </c>
      <c r="D21" s="2670">
        <f t="shared" si="46"/>
        <v>266.90568668459315</v>
      </c>
      <c r="E21" s="2670">
        <f t="shared" ref="E21:F23" si="52">E20/(1+P20)</f>
        <v>436.47622852576905</v>
      </c>
      <c r="F21" s="2670">
        <f t="shared" si="52"/>
        <v>234.90930716622066</v>
      </c>
      <c r="G21" s="3480"/>
      <c r="H21" s="2686">
        <v>3</v>
      </c>
      <c r="I21" s="2686">
        <v>0.83</v>
      </c>
      <c r="J21" s="2686">
        <v>1.47</v>
      </c>
      <c r="K21" s="2686">
        <v>0.65</v>
      </c>
      <c r="L21" s="2687">
        <v>0.72</v>
      </c>
      <c r="N21" s="2665">
        <f t="shared" si="48"/>
        <v>8.3000000000000001E-3</v>
      </c>
      <c r="O21" s="2666">
        <f t="shared" si="44"/>
        <v>1.47E-2</v>
      </c>
      <c r="P21" s="2666">
        <f t="shared" si="44"/>
        <v>6.5000000000000006E-3</v>
      </c>
      <c r="Q21" s="2666">
        <f t="shared" si="44"/>
        <v>7.1999999999999998E-3</v>
      </c>
      <c r="R21" s="2667"/>
      <c r="S21" s="2665"/>
      <c r="T21" s="2666"/>
      <c r="U21" s="2666"/>
      <c r="V21" s="2666"/>
      <c r="X21" s="2755">
        <f>ROUND(SUMPRODUCT(PRODUCT(1+N21:N$22)),4)</f>
        <v>1.0325</v>
      </c>
      <c r="Y21" s="2755">
        <f>ROUND(SUMPRODUCT(PRODUCT(1+O21:O$22)),4)</f>
        <v>1.0353000000000001</v>
      </c>
      <c r="Z21" s="2755">
        <f t="shared" ref="Z21:Z22" si="53">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c r="AI21" s="3210">
        <f t="shared" si="22"/>
        <v>1.0065</v>
      </c>
    </row>
    <row r="22" spans="1:36" ht="13.5" thickBot="1">
      <c r="A22" s="2656" t="s">
        <v>962</v>
      </c>
      <c r="B22" s="2670">
        <f t="shared" si="51"/>
        <v>314.72141172386546</v>
      </c>
      <c r="C22" s="2670">
        <f t="shared" si="51"/>
        <v>263.03901319069001</v>
      </c>
      <c r="D22" s="2670">
        <f t="shared" si="46"/>
        <v>263.03901319069001</v>
      </c>
      <c r="E22" s="2670">
        <f t="shared" si="52"/>
        <v>433.65745506782821</v>
      </c>
      <c r="F22" s="2670">
        <f t="shared" si="52"/>
        <v>233.23005080045735</v>
      </c>
      <c r="G22" s="3480"/>
      <c r="H22" s="2676">
        <v>2</v>
      </c>
      <c r="I22" s="2676">
        <v>2.4</v>
      </c>
      <c r="J22" s="2676">
        <v>2.0299999999999998</v>
      </c>
      <c r="K22" s="2676">
        <v>2.59</v>
      </c>
      <c r="L22" s="2677">
        <v>1.52</v>
      </c>
      <c r="N22" s="2665">
        <f t="shared" si="48"/>
        <v>2.4E-2</v>
      </c>
      <c r="O22" s="2666">
        <f t="shared" si="44"/>
        <v>2.0299999999999999E-2</v>
      </c>
      <c r="P22" s="2666">
        <f t="shared" si="44"/>
        <v>2.5899999999999999E-2</v>
      </c>
      <c r="Q22" s="2666">
        <f t="shared" si="44"/>
        <v>1.52E-2</v>
      </c>
      <c r="R22" s="2667"/>
      <c r="S22" s="2665"/>
      <c r="T22" s="2666"/>
      <c r="U22" s="2666"/>
      <c r="V22" s="2666"/>
      <c r="X22" s="2755">
        <f>1+N22</f>
        <v>1.024</v>
      </c>
      <c r="Y22" s="2755">
        <f>1+O22</f>
        <v>1.0203</v>
      </c>
      <c r="Z22" s="2755">
        <f t="shared" si="53"/>
        <v>1.0203</v>
      </c>
      <c r="AA22" s="2755">
        <f>1+P22</f>
        <v>1.0259</v>
      </c>
      <c r="AB22" s="2755">
        <f>1+Q22</f>
        <v>1.0152000000000001</v>
      </c>
      <c r="AD22" s="2675">
        <f>ROUND(AVERAGE(I22:I$23)/100,4)</f>
        <v>2.69E-2</v>
      </c>
      <c r="AE22" s="2675">
        <f>ROUND(AVERAGE(J22:J$23)/100,4)</f>
        <v>2.1899999999999999E-2</v>
      </c>
      <c r="AF22" s="2675">
        <f t="shared" ref="AF22" si="54">AE22</f>
        <v>2.1899999999999999E-2</v>
      </c>
      <c r="AG22" s="2675">
        <f>ROUND(AVERAGE(K22:K$23)/100,4)</f>
        <v>2.9399999999999999E-2</v>
      </c>
      <c r="AH22" s="2675">
        <f>ROUND(AVERAGE(L22:L$23)/100,4)</f>
        <v>1.44E-2</v>
      </c>
      <c r="AI22" s="3210">
        <f t="shared" si="22"/>
        <v>1.0259</v>
      </c>
    </row>
    <row r="23" spans="1:36" s="2692" customFormat="1" ht="13.5" thickBot="1">
      <c r="A23" s="2688" t="s">
        <v>961</v>
      </c>
      <c r="B23" s="2689">
        <f t="shared" si="51"/>
        <v>307.34512863658733</v>
      </c>
      <c r="C23" s="2689">
        <f t="shared" si="51"/>
        <v>257.80556031626975</v>
      </c>
      <c r="D23" s="2689">
        <f t="shared" si="46"/>
        <v>257.80556031626975</v>
      </c>
      <c r="E23" s="2689">
        <f t="shared" si="52"/>
        <v>422.70928459677179</v>
      </c>
      <c r="F23" s="2689">
        <f t="shared" si="52"/>
        <v>229.73803270336617</v>
      </c>
      <c r="G23" s="3481"/>
      <c r="H23" s="2690">
        <v>1</v>
      </c>
      <c r="I23" s="2690">
        <v>2.97</v>
      </c>
      <c r="J23" s="2690">
        <v>2.34</v>
      </c>
      <c r="K23" s="2690">
        <v>3.28</v>
      </c>
      <c r="L23" s="2691">
        <v>1.36</v>
      </c>
      <c r="N23" s="2693">
        <f t="shared" si="48"/>
        <v>2.9700000000000001E-2</v>
      </c>
      <c r="O23" s="2694">
        <f t="shared" si="44"/>
        <v>2.3399999999999997E-2</v>
      </c>
      <c r="P23" s="2694">
        <f t="shared" si="44"/>
        <v>3.2799999999999996E-2</v>
      </c>
      <c r="Q23" s="2694">
        <f t="shared" si="44"/>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1.0136000000000001</v>
      </c>
      <c r="AD23" s="3010">
        <f>I23/100</f>
        <v>2.9700000000000001E-2</v>
      </c>
      <c r="AE23" s="3010">
        <f>J23/100</f>
        <v>2.3399999999999997E-2</v>
      </c>
      <c r="AF23" s="3010">
        <f>AE23</f>
        <v>2.3399999999999997E-2</v>
      </c>
      <c r="AG23" s="3010">
        <f>K23/100</f>
        <v>3.2799999999999996E-2</v>
      </c>
      <c r="AH23" s="3010">
        <f>L23/100</f>
        <v>1.3600000000000001E-2</v>
      </c>
      <c r="AI23" s="3210">
        <f t="shared" si="22"/>
        <v>1.0327999999999999</v>
      </c>
      <c r="AJ23" s="3211">
        <f>AI23*AI22*AI21*AI19*AI20*AI18*AI17*AI16*AI15*AI14*AI13*AI12*AI11*AI10*AI9*AI8*AI7*AI6</f>
        <v>1.556351068585059</v>
      </c>
    </row>
    <row r="24" spans="1:36" ht="13.5" thickBot="1">
      <c r="A24" s="2656" t="s">
        <v>2586</v>
      </c>
      <c r="B24" s="2662">
        <v>299</v>
      </c>
      <c r="C24" s="2662">
        <v>252</v>
      </c>
      <c r="D24" s="2662">
        <f t="shared" si="46"/>
        <v>252</v>
      </c>
      <c r="E24" s="2662">
        <v>409</v>
      </c>
      <c r="F24" s="2663">
        <v>227</v>
      </c>
      <c r="G24" s="3482">
        <v>2013</v>
      </c>
      <c r="H24" s="2698">
        <v>4</v>
      </c>
      <c r="I24" s="2698">
        <v>1.83</v>
      </c>
      <c r="J24" s="2698">
        <v>1.68</v>
      </c>
      <c r="K24" s="2698">
        <v>1.97</v>
      </c>
      <c r="L24" s="2699">
        <v>0.87</v>
      </c>
      <c r="N24" s="2678">
        <f t="shared" si="48"/>
        <v>1.83E-2</v>
      </c>
      <c r="O24" s="2679">
        <f t="shared" si="44"/>
        <v>1.6799999999999999E-2</v>
      </c>
      <c r="P24" s="2679">
        <f t="shared" si="44"/>
        <v>1.9699999999999999E-2</v>
      </c>
      <c r="Q24" s="2679">
        <f t="shared" si="44"/>
        <v>8.6999999999999994E-3</v>
      </c>
      <c r="R24" s="2667"/>
      <c r="S24" s="2668"/>
      <c r="T24" s="2669"/>
      <c r="U24" s="2669"/>
      <c r="V24" s="2669"/>
      <c r="X24" s="2669"/>
      <c r="Y24" s="2669"/>
      <c r="Z24" s="2669"/>
    </row>
    <row r="25" spans="1:36">
      <c r="A25" s="2656" t="s">
        <v>2587</v>
      </c>
      <c r="B25" s="2670">
        <f t="shared" ref="B25:C27" si="55">B24/(1+N24)</f>
        <v>293.62663262299913</v>
      </c>
      <c r="C25" s="2670">
        <f t="shared" si="55"/>
        <v>247.83634933123525</v>
      </c>
      <c r="D25" s="2670">
        <f t="shared" si="46"/>
        <v>247.83634933123525</v>
      </c>
      <c r="E25" s="2670">
        <f t="shared" ref="E25:F27" si="56">E24/(1+P24)</f>
        <v>401.09836226341076</v>
      </c>
      <c r="F25" s="2670">
        <f t="shared" si="56"/>
        <v>225.04213343908003</v>
      </c>
      <c r="G25" s="3483"/>
      <c r="H25" s="2681">
        <v>3</v>
      </c>
      <c r="I25" s="2681">
        <v>1.86</v>
      </c>
      <c r="J25" s="2681">
        <v>1.72</v>
      </c>
      <c r="K25" s="2681">
        <v>1.98</v>
      </c>
      <c r="L25" s="2682">
        <v>0.88</v>
      </c>
      <c r="N25" s="2665">
        <f t="shared" si="48"/>
        <v>1.8600000000000002E-2</v>
      </c>
      <c r="O25" s="2683">
        <f t="shared" si="44"/>
        <v>1.72E-2</v>
      </c>
      <c r="P25" s="2683">
        <f t="shared" si="44"/>
        <v>1.9799999999999998E-2</v>
      </c>
      <c r="Q25" s="2683">
        <f t="shared" si="44"/>
        <v>8.8000000000000005E-3</v>
      </c>
      <c r="R25" s="2667"/>
      <c r="S25" s="2665"/>
      <c r="T25" s="2666"/>
      <c r="U25" s="2666"/>
      <c r="V25" s="2666"/>
    </row>
    <row r="26" spans="1:36">
      <c r="A26" s="2656" t="s">
        <v>2588</v>
      </c>
      <c r="B26" s="2670">
        <f t="shared" si="55"/>
        <v>288.2649053828776</v>
      </c>
      <c r="C26" s="2670">
        <f t="shared" si="55"/>
        <v>243.64564425013293</v>
      </c>
      <c r="D26" s="2670">
        <f t="shared" si="46"/>
        <v>243.64564425013293</v>
      </c>
      <c r="E26" s="2670">
        <f t="shared" si="56"/>
        <v>393.31080825986544</v>
      </c>
      <c r="F26" s="2670">
        <f t="shared" si="56"/>
        <v>223.07903790551154</v>
      </c>
      <c r="G26" s="3483"/>
      <c r="H26" s="2661">
        <v>2</v>
      </c>
      <c r="I26" s="2661">
        <v>2.04</v>
      </c>
      <c r="J26" s="2661">
        <v>2.33</v>
      </c>
      <c r="K26" s="2661">
        <v>2.0699999999999998</v>
      </c>
      <c r="L26" s="2672">
        <v>0.69</v>
      </c>
      <c r="N26" s="2665">
        <f t="shared" si="48"/>
        <v>2.0400000000000001E-2</v>
      </c>
      <c r="O26" s="2683">
        <f t="shared" si="44"/>
        <v>2.3300000000000001E-2</v>
      </c>
      <c r="P26" s="2683">
        <f t="shared" si="44"/>
        <v>2.07E-2</v>
      </c>
      <c r="Q26" s="2683">
        <f t="shared" si="44"/>
        <v>6.8999999999999999E-3</v>
      </c>
      <c r="R26" s="2667"/>
      <c r="S26" s="2665"/>
      <c r="T26" s="2666"/>
      <c r="U26" s="2666"/>
      <c r="V26" s="2666"/>
      <c r="X26" s="2767"/>
      <c r="Y26" s="2769"/>
    </row>
    <row r="27" spans="1:36">
      <c r="A27" s="2656" t="s">
        <v>2589</v>
      </c>
      <c r="B27" s="2670">
        <f t="shared" si="55"/>
        <v>282.50186729015837</v>
      </c>
      <c r="C27" s="2670">
        <f t="shared" si="55"/>
        <v>238.09796174155468</v>
      </c>
      <c r="D27" s="2670">
        <f t="shared" si="46"/>
        <v>238.09796174155468</v>
      </c>
      <c r="E27" s="2670">
        <f t="shared" si="56"/>
        <v>385.33438646014054</v>
      </c>
      <c r="F27" s="2670">
        <f t="shared" si="56"/>
        <v>221.55034055567739</v>
      </c>
      <c r="G27" s="3484"/>
      <c r="H27" s="2660">
        <v>1</v>
      </c>
      <c r="I27" s="2660">
        <v>1.67</v>
      </c>
      <c r="J27" s="2660">
        <v>1.31</v>
      </c>
      <c r="K27" s="2660">
        <v>1.85</v>
      </c>
      <c r="L27" s="2671">
        <v>0.96</v>
      </c>
      <c r="N27" s="2673">
        <f t="shared" si="48"/>
        <v>1.67E-2</v>
      </c>
      <c r="O27" s="2674">
        <f t="shared" si="44"/>
        <v>1.3100000000000001E-2</v>
      </c>
      <c r="P27" s="2674">
        <f t="shared" si="44"/>
        <v>1.8500000000000003E-2</v>
      </c>
      <c r="Q27" s="2674">
        <f t="shared" si="44"/>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6" ht="13.5" thickBot="1">
      <c r="A28" s="2656" t="s">
        <v>2590</v>
      </c>
      <c r="B28" s="2700">
        <v>278</v>
      </c>
      <c r="C28" s="2700">
        <v>234</v>
      </c>
      <c r="D28" s="2700">
        <f t="shared" si="46"/>
        <v>234</v>
      </c>
      <c r="E28" s="2700">
        <v>379</v>
      </c>
      <c r="F28" s="2701">
        <v>220</v>
      </c>
      <c r="G28" s="3479">
        <v>2012</v>
      </c>
      <c r="H28" s="2676">
        <v>4</v>
      </c>
      <c r="I28" s="2676">
        <v>0.91</v>
      </c>
      <c r="J28" s="2676">
        <v>0.68</v>
      </c>
      <c r="K28" s="2676">
        <v>0.98</v>
      </c>
      <c r="L28" s="2677">
        <v>0.9</v>
      </c>
      <c r="N28" s="2665">
        <f t="shared" si="48"/>
        <v>9.1000000000000004E-3</v>
      </c>
      <c r="O28" s="2666">
        <f t="shared" si="48"/>
        <v>6.8000000000000005E-3</v>
      </c>
      <c r="P28" s="2666">
        <f t="shared" si="48"/>
        <v>9.7999999999999997E-3</v>
      </c>
      <c r="Q28" s="2666">
        <f t="shared" si="48"/>
        <v>9.0000000000000011E-3</v>
      </c>
      <c r="R28" s="2667"/>
      <c r="S28" s="2668"/>
      <c r="T28" s="2669"/>
      <c r="U28" s="2669"/>
      <c r="V28" s="2669"/>
      <c r="X28" s="2669"/>
      <c r="Y28" s="2669"/>
      <c r="Z28" s="2669"/>
    </row>
    <row r="29" spans="1:36">
      <c r="A29" s="2656" t="s">
        <v>2591</v>
      </c>
      <c r="B29" s="2670">
        <f>B28/(1+N28)</f>
        <v>275.49301357645425</v>
      </c>
      <c r="C29" s="2670">
        <f>C28/(1+O28)</f>
        <v>232.41954707985698</v>
      </c>
      <c r="D29" s="2670">
        <f t="shared" si="46"/>
        <v>232.41954707985698</v>
      </c>
      <c r="E29" s="2670">
        <f t="shared" ref="E29:F31" si="57">E28/(1+P28)</f>
        <v>375.32184591008121</v>
      </c>
      <c r="F29" s="2670">
        <f t="shared" si="57"/>
        <v>218.03766105054513</v>
      </c>
      <c r="G29" s="3480"/>
      <c r="H29" s="2681">
        <v>3</v>
      </c>
      <c r="I29" s="2681">
        <v>0.09</v>
      </c>
      <c r="J29" s="2681">
        <v>0.28999999999999998</v>
      </c>
      <c r="K29" s="2681">
        <v>-0.01</v>
      </c>
      <c r="L29" s="2682">
        <v>0.57999999999999996</v>
      </c>
      <c r="N29" s="2665">
        <f t="shared" si="48"/>
        <v>8.9999999999999998E-4</v>
      </c>
      <c r="O29" s="2666">
        <f t="shared" si="48"/>
        <v>2.8999999999999998E-3</v>
      </c>
      <c r="P29" s="2666">
        <f t="shared" si="48"/>
        <v>-1E-4</v>
      </c>
      <c r="Q29" s="2666">
        <f t="shared" si="48"/>
        <v>5.7999999999999996E-3</v>
      </c>
      <c r="R29" s="2667"/>
      <c r="S29" s="2665"/>
      <c r="T29" s="2666"/>
      <c r="U29" s="2666"/>
      <c r="V29" s="2666"/>
    </row>
    <row r="30" spans="1:36">
      <c r="A30" s="2656" t="s">
        <v>2592</v>
      </c>
      <c r="B30" s="2670">
        <f>B29/(1+N29)</f>
        <v>275.24529281292263</v>
      </c>
      <c r="C30" s="2670">
        <f>C29/(1+O29)</f>
        <v>231.74747938962707</v>
      </c>
      <c r="D30" s="2670">
        <f t="shared" si="46"/>
        <v>231.74747938962707</v>
      </c>
      <c r="E30" s="2670">
        <f t="shared" si="57"/>
        <v>375.35938184826603</v>
      </c>
      <c r="F30" s="2670">
        <f t="shared" si="57"/>
        <v>216.78033510692495</v>
      </c>
      <c r="G30" s="3480"/>
      <c r="H30" s="2661">
        <v>2</v>
      </c>
      <c r="I30" s="2661">
        <v>0.02</v>
      </c>
      <c r="J30" s="2661">
        <v>0.12</v>
      </c>
      <c r="K30" s="2661">
        <v>-0.08</v>
      </c>
      <c r="L30" s="2672">
        <v>1.24</v>
      </c>
      <c r="N30" s="2665">
        <f t="shared" si="48"/>
        <v>2.0000000000000001E-4</v>
      </c>
      <c r="O30" s="2666">
        <f t="shared" si="48"/>
        <v>1.1999999999999999E-3</v>
      </c>
      <c r="P30" s="2666">
        <f t="shared" si="48"/>
        <v>-8.0000000000000004E-4</v>
      </c>
      <c r="Q30" s="2666">
        <f t="shared" si="48"/>
        <v>1.24E-2</v>
      </c>
      <c r="R30" s="2667"/>
      <c r="S30" s="2665"/>
      <c r="T30" s="2666"/>
      <c r="U30" s="2666"/>
      <c r="V30" s="2666"/>
    </row>
    <row r="31" spans="1:36" ht="13.5" thickBot="1">
      <c r="A31" s="2656" t="s">
        <v>2593</v>
      </c>
      <c r="B31" s="2670">
        <f>B30/(1+N30)</f>
        <v>275.19025476197027</v>
      </c>
      <c r="C31" s="2702">
        <v>232</v>
      </c>
      <c r="D31" s="2702">
        <f t="shared" si="46"/>
        <v>232</v>
      </c>
      <c r="E31" s="2670">
        <f t="shared" si="57"/>
        <v>375.65990977608692</v>
      </c>
      <c r="F31" s="2670">
        <f t="shared" si="57"/>
        <v>214.12518283971252</v>
      </c>
      <c r="G31" s="3481"/>
      <c r="H31" s="2660">
        <v>1</v>
      </c>
      <c r="I31" s="2660">
        <v>0.02</v>
      </c>
      <c r="J31" s="2660">
        <v>0.13</v>
      </c>
      <c r="K31" s="2660">
        <v>-0.04</v>
      </c>
      <c r="L31" s="2671">
        <v>0.46</v>
      </c>
      <c r="N31" s="2665">
        <f t="shared" si="48"/>
        <v>2.0000000000000001E-4</v>
      </c>
      <c r="O31" s="2666">
        <f t="shared" si="48"/>
        <v>1.2999999999999999E-3</v>
      </c>
      <c r="P31" s="2666">
        <f t="shared" si="48"/>
        <v>-4.0000000000000002E-4</v>
      </c>
      <c r="Q31" s="2666">
        <f t="shared" si="48"/>
        <v>4.5999999999999999E-3</v>
      </c>
      <c r="R31" s="2667"/>
      <c r="S31" s="2673">
        <f>B31/B32-1</f>
        <v>6.9183549807361189E-4</v>
      </c>
      <c r="T31" s="2674">
        <f>C31/C32-1</f>
        <v>0</v>
      </c>
      <c r="U31" s="2674">
        <f>E31/E32-1</f>
        <v>-9.0449527636460303E-4</v>
      </c>
      <c r="V31" s="2674">
        <f>F31/F32-1</f>
        <v>5.2825485432512753E-3</v>
      </c>
      <c r="X31" s="2675"/>
      <c r="Y31" s="2675"/>
      <c r="Z31" s="2675"/>
    </row>
    <row r="32" spans="1:36" ht="13.5" thickBot="1">
      <c r="A32" s="2656" t="s">
        <v>2594</v>
      </c>
      <c r="B32" s="2662">
        <v>275</v>
      </c>
      <c r="C32" s="2662">
        <v>232</v>
      </c>
      <c r="D32" s="2662">
        <f t="shared" si="46"/>
        <v>232</v>
      </c>
      <c r="E32" s="2662">
        <v>376</v>
      </c>
      <c r="F32" s="2663">
        <v>213</v>
      </c>
      <c r="G32" s="3479">
        <v>2011</v>
      </c>
      <c r="H32" s="2676">
        <v>4</v>
      </c>
      <c r="I32" s="2676">
        <v>-0.2</v>
      </c>
      <c r="J32" s="2676">
        <v>0.04</v>
      </c>
      <c r="K32" s="2676">
        <v>-0.34</v>
      </c>
      <c r="L32" s="2677">
        <v>0.46</v>
      </c>
      <c r="N32" s="2678">
        <f t="shared" si="48"/>
        <v>-2E-3</v>
      </c>
      <c r="O32" s="2679">
        <f t="shared" si="48"/>
        <v>4.0000000000000002E-4</v>
      </c>
      <c r="P32" s="2679">
        <f t="shared" si="48"/>
        <v>-3.4000000000000002E-3</v>
      </c>
      <c r="Q32" s="2679">
        <f t="shared" si="48"/>
        <v>4.5999999999999999E-3</v>
      </c>
      <c r="R32" s="2667"/>
      <c r="S32" s="2668"/>
      <c r="T32" s="2669"/>
      <c r="U32" s="2669"/>
      <c r="V32" s="2669"/>
      <c r="X32" s="2669"/>
      <c r="Y32" s="2669"/>
      <c r="Z32" s="2669"/>
    </row>
    <row r="33" spans="1:26">
      <c r="A33" s="2656" t="s">
        <v>2595</v>
      </c>
      <c r="B33" s="2670">
        <f t="shared" ref="B33:C35" si="58">B32/(1+N32)</f>
        <v>275.55110220440883</v>
      </c>
      <c r="C33" s="2670">
        <f t="shared" si="58"/>
        <v>231.90723710515795</v>
      </c>
      <c r="D33" s="2670">
        <f t="shared" si="46"/>
        <v>231.90723710515795</v>
      </c>
      <c r="E33" s="2670">
        <f t="shared" ref="E33:F35" si="59">E32/(1+P32)</f>
        <v>377.28276138872161</v>
      </c>
      <c r="F33" s="2670">
        <f t="shared" si="59"/>
        <v>212.02468644236512</v>
      </c>
      <c r="G33" s="3480">
        <v>2011</v>
      </c>
      <c r="H33" s="2681">
        <v>3</v>
      </c>
      <c r="I33" s="2681">
        <v>0.13</v>
      </c>
      <c r="J33" s="2681">
        <v>0.75</v>
      </c>
      <c r="K33" s="2681">
        <v>-0.08</v>
      </c>
      <c r="L33" s="2682">
        <v>0.53</v>
      </c>
      <c r="N33" s="2665">
        <f t="shared" si="48"/>
        <v>1.2999999999999999E-3</v>
      </c>
      <c r="O33" s="2683">
        <f t="shared" si="48"/>
        <v>7.4999999999999997E-3</v>
      </c>
      <c r="P33" s="2683">
        <f t="shared" si="48"/>
        <v>-8.0000000000000004E-4</v>
      </c>
      <c r="Q33" s="2683">
        <f t="shared" si="48"/>
        <v>5.3E-3</v>
      </c>
      <c r="R33" s="2667"/>
      <c r="S33" s="2665"/>
      <c r="T33" s="2666"/>
      <c r="U33" s="2666"/>
      <c r="V33" s="2666"/>
    </row>
    <row r="34" spans="1:26">
      <c r="A34" s="2656" t="s">
        <v>2596</v>
      </c>
      <c r="B34" s="2670">
        <f t="shared" si="58"/>
        <v>275.19335084830601</v>
      </c>
      <c r="C34" s="2670">
        <f t="shared" si="58"/>
        <v>230.18088050139744</v>
      </c>
      <c r="D34" s="2670">
        <f t="shared" si="46"/>
        <v>230.18088050139744</v>
      </c>
      <c r="E34" s="2670">
        <f t="shared" si="59"/>
        <v>377.58482925212331</v>
      </c>
      <c r="F34" s="2670">
        <f t="shared" si="59"/>
        <v>210.90687997847917</v>
      </c>
      <c r="G34" s="3480">
        <v>2011</v>
      </c>
      <c r="H34" s="2661">
        <v>2</v>
      </c>
      <c r="I34" s="2661">
        <v>-0.4</v>
      </c>
      <c r="J34" s="2661">
        <v>0.17</v>
      </c>
      <c r="K34" s="2661">
        <v>-0.57999999999999996</v>
      </c>
      <c r="L34" s="2672">
        <v>-0.2</v>
      </c>
      <c r="N34" s="2665">
        <f t="shared" si="48"/>
        <v>-4.0000000000000001E-3</v>
      </c>
      <c r="O34" s="2683">
        <f t="shared" si="48"/>
        <v>1.7000000000000001E-3</v>
      </c>
      <c r="P34" s="2683">
        <f t="shared" si="48"/>
        <v>-5.7999999999999996E-3</v>
      </c>
      <c r="Q34" s="2683">
        <f t="shared" si="48"/>
        <v>-2E-3</v>
      </c>
      <c r="R34" s="2667"/>
      <c r="S34" s="2665"/>
      <c r="T34" s="2666"/>
      <c r="U34" s="2666"/>
      <c r="V34" s="2666"/>
    </row>
    <row r="35" spans="1:26" ht="13.5" thickBot="1">
      <c r="A35" s="2656" t="s">
        <v>2597</v>
      </c>
      <c r="B35" s="2670">
        <f t="shared" si="58"/>
        <v>276.29854502841971</v>
      </c>
      <c r="C35" s="2670">
        <f t="shared" si="58"/>
        <v>229.79023709833027</v>
      </c>
      <c r="D35" s="2670">
        <f t="shared" si="46"/>
        <v>229.79023709833027</v>
      </c>
      <c r="E35" s="2670">
        <f t="shared" si="59"/>
        <v>379.78759731655936</v>
      </c>
      <c r="F35" s="2670">
        <f t="shared" si="59"/>
        <v>211.32953905659235</v>
      </c>
      <c r="G35" s="3481">
        <v>2011</v>
      </c>
      <c r="H35" s="2660">
        <v>1</v>
      </c>
      <c r="I35" s="2660">
        <v>2.65</v>
      </c>
      <c r="J35" s="2660">
        <v>3.76</v>
      </c>
      <c r="K35" s="2660">
        <v>1.89</v>
      </c>
      <c r="L35" s="2671">
        <v>7.95</v>
      </c>
      <c r="N35" s="2673">
        <f t="shared" si="48"/>
        <v>2.6499999999999999E-2</v>
      </c>
      <c r="O35" s="2674">
        <f t="shared" si="48"/>
        <v>3.7599999999999995E-2</v>
      </c>
      <c r="P35" s="2674">
        <f t="shared" si="48"/>
        <v>1.89E-2</v>
      </c>
      <c r="Q35" s="2674">
        <f t="shared" si="48"/>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6"/>
        <v>221</v>
      </c>
      <c r="E36" s="2662">
        <v>373</v>
      </c>
      <c r="F36" s="2663">
        <v>196</v>
      </c>
      <c r="G36" s="3479">
        <v>2010</v>
      </c>
      <c r="H36" s="2676">
        <v>4</v>
      </c>
      <c r="I36" s="2676">
        <v>5.72</v>
      </c>
      <c r="J36" s="2676">
        <v>6.57</v>
      </c>
      <c r="K36" s="2676">
        <v>5.72</v>
      </c>
      <c r="L36" s="2677">
        <v>2.72</v>
      </c>
      <c r="N36" s="2665">
        <f t="shared" si="48"/>
        <v>5.7200000000000001E-2</v>
      </c>
      <c r="O36" s="2666">
        <f t="shared" si="48"/>
        <v>6.5700000000000008E-2</v>
      </c>
      <c r="P36" s="2666">
        <f t="shared" si="48"/>
        <v>5.7200000000000001E-2</v>
      </c>
      <c r="Q36" s="2666">
        <f t="shared" si="48"/>
        <v>2.7200000000000002E-2</v>
      </c>
      <c r="R36" s="2667"/>
      <c r="S36" s="2668"/>
      <c r="T36" s="2669"/>
      <c r="U36" s="2669"/>
      <c r="V36" s="2669"/>
      <c r="X36" s="2669"/>
      <c r="Y36" s="2669"/>
      <c r="Z36" s="2669"/>
    </row>
    <row r="37" spans="1:26">
      <c r="A37" s="2656" t="s">
        <v>2599</v>
      </c>
      <c r="B37" s="2670">
        <f t="shared" ref="B37:C39" si="60">B36/(1+N36)</f>
        <v>254.44570563753314</v>
      </c>
      <c r="C37" s="2670">
        <f t="shared" si="60"/>
        <v>207.37543398705074</v>
      </c>
      <c r="D37" s="2670">
        <f t="shared" si="46"/>
        <v>207.37543398705074</v>
      </c>
      <c r="E37" s="2670">
        <f t="shared" ref="E37:F39" si="61">E36/(1+P36)</f>
        <v>352.81876655315932</v>
      </c>
      <c r="F37" s="2670">
        <f t="shared" si="61"/>
        <v>190.809968847352</v>
      </c>
      <c r="G37" s="3480">
        <v>2010</v>
      </c>
      <c r="H37" s="2681">
        <v>3</v>
      </c>
      <c r="I37" s="2681">
        <v>4.7300000000000004</v>
      </c>
      <c r="J37" s="2681">
        <v>3.9</v>
      </c>
      <c r="K37" s="2681">
        <v>5.03</v>
      </c>
      <c r="L37" s="2682">
        <v>4.21</v>
      </c>
      <c r="N37" s="2665">
        <f t="shared" si="48"/>
        <v>4.7300000000000002E-2</v>
      </c>
      <c r="O37" s="2666">
        <f t="shared" si="48"/>
        <v>3.9E-2</v>
      </c>
      <c r="P37" s="2666">
        <f t="shared" si="48"/>
        <v>5.0300000000000004E-2</v>
      </c>
      <c r="Q37" s="2666">
        <f t="shared" si="48"/>
        <v>4.2099999999999999E-2</v>
      </c>
      <c r="R37" s="2667"/>
      <c r="S37" s="2665"/>
      <c r="T37" s="2666"/>
      <c r="U37" s="2666"/>
      <c r="V37" s="2666"/>
    </row>
    <row r="38" spans="1:26">
      <c r="A38" s="2656" t="s">
        <v>2600</v>
      </c>
      <c r="B38" s="2670">
        <f t="shared" si="60"/>
        <v>242.95398227588385</v>
      </c>
      <c r="C38" s="2670">
        <f t="shared" si="60"/>
        <v>199.59137053614126</v>
      </c>
      <c r="D38" s="2670">
        <f t="shared" si="46"/>
        <v>199.59137053614126</v>
      </c>
      <c r="E38" s="2670">
        <f t="shared" si="61"/>
        <v>335.92189522342125</v>
      </c>
      <c r="F38" s="2670">
        <f t="shared" si="61"/>
        <v>183.10139991109489</v>
      </c>
      <c r="G38" s="3480">
        <v>2010</v>
      </c>
      <c r="H38" s="2661">
        <v>2</v>
      </c>
      <c r="I38" s="2661">
        <v>4.6900000000000004</v>
      </c>
      <c r="J38" s="2661">
        <v>3.55</v>
      </c>
      <c r="K38" s="2661">
        <v>5.07</v>
      </c>
      <c r="L38" s="2672">
        <v>4.2300000000000004</v>
      </c>
      <c r="N38" s="2665">
        <f t="shared" si="48"/>
        <v>4.6900000000000004E-2</v>
      </c>
      <c r="O38" s="2666">
        <f t="shared" si="48"/>
        <v>3.5499999999999997E-2</v>
      </c>
      <c r="P38" s="2666">
        <f t="shared" si="48"/>
        <v>5.0700000000000002E-2</v>
      </c>
      <c r="Q38" s="2666">
        <f t="shared" si="48"/>
        <v>4.2300000000000004E-2</v>
      </c>
      <c r="R38" s="2667"/>
      <c r="S38" s="2665"/>
      <c r="T38" s="2666"/>
      <c r="U38" s="2666"/>
      <c r="V38" s="2666"/>
    </row>
    <row r="39" spans="1:26" ht="13.5" thickBot="1">
      <c r="A39" s="2656" t="s">
        <v>2601</v>
      </c>
      <c r="B39" s="2670">
        <f t="shared" si="60"/>
        <v>232.06990378821649</v>
      </c>
      <c r="C39" s="2670">
        <f t="shared" si="60"/>
        <v>192.74878854286936</v>
      </c>
      <c r="D39" s="2670">
        <f t="shared" si="46"/>
        <v>192.74878854286936</v>
      </c>
      <c r="E39" s="2670">
        <f t="shared" si="61"/>
        <v>319.71247284992984</v>
      </c>
      <c r="F39" s="2670">
        <f t="shared" si="61"/>
        <v>175.67053622862409</v>
      </c>
      <c r="G39" s="3481">
        <v>2010</v>
      </c>
      <c r="H39" s="2660">
        <v>1</v>
      </c>
      <c r="I39" s="2660">
        <v>5.4</v>
      </c>
      <c r="J39" s="2660">
        <v>3.2</v>
      </c>
      <c r="K39" s="2660">
        <v>6.16</v>
      </c>
      <c r="L39" s="2671">
        <v>4.51</v>
      </c>
      <c r="N39" s="2665">
        <f t="shared" si="48"/>
        <v>5.4000000000000006E-2</v>
      </c>
      <c r="O39" s="2666">
        <f t="shared" si="48"/>
        <v>3.2000000000000001E-2</v>
      </c>
      <c r="P39" s="2666">
        <f t="shared" si="48"/>
        <v>6.1600000000000002E-2</v>
      </c>
      <c r="Q39" s="2666">
        <f t="shared" si="48"/>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6"/>
        <v>187</v>
      </c>
      <c r="E40" s="2662">
        <v>301</v>
      </c>
      <c r="F40" s="2663">
        <v>168</v>
      </c>
      <c r="G40" s="3479">
        <v>2009</v>
      </c>
      <c r="H40" s="2676">
        <v>4</v>
      </c>
      <c r="I40" s="2676">
        <v>2.2999999999999998</v>
      </c>
      <c r="J40" s="2676">
        <v>1.04</v>
      </c>
      <c r="K40" s="2676">
        <v>2.84</v>
      </c>
      <c r="L40" s="2677">
        <v>0.67</v>
      </c>
      <c r="N40" s="2678">
        <f t="shared" si="48"/>
        <v>2.3E-2</v>
      </c>
      <c r="O40" s="2679">
        <f t="shared" si="48"/>
        <v>1.04E-2</v>
      </c>
      <c r="P40" s="2679">
        <f t="shared" si="48"/>
        <v>2.8399999999999998E-2</v>
      </c>
      <c r="Q40" s="2679">
        <f t="shared" si="48"/>
        <v>6.7000000000000002E-3</v>
      </c>
      <c r="R40" s="2667"/>
      <c r="S40" s="2668"/>
      <c r="T40" s="2669"/>
      <c r="U40" s="2669"/>
      <c r="V40" s="2669"/>
      <c r="X40" s="2669"/>
      <c r="Y40" s="2669"/>
      <c r="Z40" s="2669"/>
    </row>
    <row r="41" spans="1:26">
      <c r="A41" s="2656" t="s">
        <v>2603</v>
      </c>
      <c r="B41" s="2670">
        <f t="shared" ref="B41:C43" si="62">B40/(1+N40)</f>
        <v>215.05376344086022</v>
      </c>
      <c r="C41" s="2670">
        <f t="shared" si="62"/>
        <v>185.0752177355503</v>
      </c>
      <c r="D41" s="2670">
        <f t="shared" si="46"/>
        <v>185.0752177355503</v>
      </c>
      <c r="E41" s="2670">
        <f t="shared" ref="E41:F43" si="63">E40/(1+P40)</f>
        <v>292.68767016725008</v>
      </c>
      <c r="F41" s="2670">
        <f t="shared" si="63"/>
        <v>166.88189132810174</v>
      </c>
      <c r="G41" s="3480">
        <v>2009</v>
      </c>
      <c r="H41" s="2681">
        <v>3</v>
      </c>
      <c r="I41" s="2681">
        <v>2.1</v>
      </c>
      <c r="J41" s="2681">
        <v>1.86</v>
      </c>
      <c r="K41" s="2681">
        <v>2.29</v>
      </c>
      <c r="L41" s="2682">
        <v>0.85</v>
      </c>
      <c r="N41" s="2665">
        <f t="shared" si="48"/>
        <v>2.1000000000000001E-2</v>
      </c>
      <c r="O41" s="2683">
        <f t="shared" si="48"/>
        <v>1.8600000000000002E-2</v>
      </c>
      <c r="P41" s="2683">
        <f t="shared" si="48"/>
        <v>2.29E-2</v>
      </c>
      <c r="Q41" s="2683">
        <f t="shared" si="48"/>
        <v>8.5000000000000006E-3</v>
      </c>
      <c r="R41" s="2667"/>
      <c r="S41" s="2665"/>
      <c r="T41" s="2666"/>
      <c r="U41" s="2666"/>
      <c r="V41" s="2666"/>
    </row>
    <row r="42" spans="1:26">
      <c r="A42" s="2656" t="s">
        <v>2604</v>
      </c>
      <c r="B42" s="2670">
        <f t="shared" si="62"/>
        <v>210.630522469011</v>
      </c>
      <c r="C42" s="2670">
        <f t="shared" si="62"/>
        <v>181.69567812247232</v>
      </c>
      <c r="D42" s="2670">
        <f t="shared" si="46"/>
        <v>181.69567812247232</v>
      </c>
      <c r="E42" s="2670">
        <f t="shared" si="63"/>
        <v>286.13517466736738</v>
      </c>
      <c r="F42" s="2670">
        <f t="shared" si="63"/>
        <v>165.47535084591149</v>
      </c>
      <c r="G42" s="3480">
        <v>2009</v>
      </c>
      <c r="H42" s="2661">
        <v>2</v>
      </c>
      <c r="I42" s="2661">
        <v>0.86</v>
      </c>
      <c r="J42" s="2661">
        <v>-1.1299999999999999</v>
      </c>
      <c r="K42" s="2661">
        <v>1.79</v>
      </c>
      <c r="L42" s="2672">
        <v>-2.0699999999999998</v>
      </c>
      <c r="N42" s="2665">
        <f t="shared" si="48"/>
        <v>8.6E-3</v>
      </c>
      <c r="O42" s="2683">
        <f t="shared" si="48"/>
        <v>-1.1299999999999999E-2</v>
      </c>
      <c r="P42" s="2683">
        <f t="shared" si="48"/>
        <v>1.7899999999999999E-2</v>
      </c>
      <c r="Q42" s="2683">
        <f t="shared" si="48"/>
        <v>-2.07E-2</v>
      </c>
      <c r="R42" s="2667"/>
      <c r="S42" s="2665"/>
      <c r="T42" s="2666"/>
      <c r="U42" s="2666"/>
      <c r="V42" s="2666"/>
    </row>
    <row r="43" spans="1:26">
      <c r="A43" s="2656" t="s">
        <v>2605</v>
      </c>
      <c r="B43" s="2670">
        <f t="shared" si="62"/>
        <v>208.83454537875372</v>
      </c>
      <c r="C43" s="2670">
        <f t="shared" si="62"/>
        <v>183.77230517090351</v>
      </c>
      <c r="D43" s="2670">
        <f t="shared" si="46"/>
        <v>183.77230517090351</v>
      </c>
      <c r="E43" s="2670">
        <f t="shared" si="63"/>
        <v>281.10342338870947</v>
      </c>
      <c r="F43" s="2670">
        <f t="shared" si="63"/>
        <v>168.97309388942256</v>
      </c>
      <c r="G43" s="3481">
        <v>2009</v>
      </c>
      <c r="H43" s="2660">
        <v>1</v>
      </c>
      <c r="I43" s="2660">
        <v>-2.64</v>
      </c>
      <c r="J43" s="2660">
        <v>-2.5299999999999998</v>
      </c>
      <c r="K43" s="2660">
        <v>-3.02</v>
      </c>
      <c r="L43" s="2671">
        <v>1.52</v>
      </c>
      <c r="N43" s="2673">
        <f t="shared" si="48"/>
        <v>-2.64E-2</v>
      </c>
      <c r="O43" s="2674">
        <f t="shared" si="48"/>
        <v>-2.53E-2</v>
      </c>
      <c r="P43" s="2674">
        <f t="shared" si="48"/>
        <v>-3.0200000000000001E-2</v>
      </c>
      <c r="Q43" s="2674">
        <f t="shared" si="48"/>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6"/>
        <v>188</v>
      </c>
      <c r="E44" s="2700">
        <v>289</v>
      </c>
      <c r="F44" s="2701">
        <v>166</v>
      </c>
      <c r="G44" s="3479">
        <v>2008</v>
      </c>
      <c r="H44" s="2676">
        <v>4</v>
      </c>
      <c r="I44" s="2676">
        <v>1.73</v>
      </c>
      <c r="J44" s="2676">
        <v>0.03</v>
      </c>
      <c r="K44" s="2676">
        <v>2.59</v>
      </c>
      <c r="L44" s="2677">
        <v>-1.66</v>
      </c>
      <c r="N44" s="2665">
        <f t="shared" si="48"/>
        <v>1.7299999999999999E-2</v>
      </c>
      <c r="O44" s="2666">
        <f t="shared" si="48"/>
        <v>2.9999999999999997E-4</v>
      </c>
      <c r="P44" s="2666">
        <f t="shared" si="48"/>
        <v>2.5899999999999999E-2</v>
      </c>
      <c r="Q44" s="2666">
        <f t="shared" si="48"/>
        <v>-1.66E-2</v>
      </c>
      <c r="R44" s="2667"/>
      <c r="S44" s="2668"/>
      <c r="T44" s="2669"/>
      <c r="U44" s="2669"/>
      <c r="V44" s="2669"/>
      <c r="X44" s="2669"/>
      <c r="Y44" s="2669"/>
      <c r="Z44" s="2669"/>
    </row>
    <row r="45" spans="1:26">
      <c r="A45" s="2656" t="s">
        <v>2607</v>
      </c>
      <c r="B45" s="2670">
        <f t="shared" ref="B45:C47" si="64">B44/(1+N44)</f>
        <v>210.36075887152265</v>
      </c>
      <c r="C45" s="2670">
        <f t="shared" si="64"/>
        <v>187.94361691492554</v>
      </c>
      <c r="D45" s="2670">
        <f t="shared" si="46"/>
        <v>187.94361691492554</v>
      </c>
      <c r="E45" s="2670">
        <f t="shared" ref="E45:F47" si="65">E44/(1+P44)</f>
        <v>281.70386977288234</v>
      </c>
      <c r="F45" s="2670">
        <f t="shared" si="65"/>
        <v>168.80211511083994</v>
      </c>
      <c r="G45" s="3480">
        <v>2008</v>
      </c>
      <c r="H45" s="2681">
        <v>3</v>
      </c>
      <c r="I45" s="2681">
        <v>1.96</v>
      </c>
      <c r="J45" s="2681">
        <v>2.36</v>
      </c>
      <c r="K45" s="2681">
        <v>1.82</v>
      </c>
      <c r="L45" s="2682">
        <v>2.2200000000000002</v>
      </c>
      <c r="N45" s="2665">
        <f t="shared" si="48"/>
        <v>1.9599999999999999E-2</v>
      </c>
      <c r="O45" s="2666">
        <f t="shared" si="48"/>
        <v>2.3599999999999999E-2</v>
      </c>
      <c r="P45" s="2666">
        <f t="shared" si="48"/>
        <v>1.8200000000000001E-2</v>
      </c>
      <c r="Q45" s="2666">
        <f t="shared" si="48"/>
        <v>2.2200000000000001E-2</v>
      </c>
      <c r="R45" s="2667"/>
      <c r="S45" s="2665"/>
      <c r="T45" s="2666"/>
      <c r="U45" s="2666"/>
      <c r="V45" s="2666"/>
    </row>
    <row r="46" spans="1:26">
      <c r="A46" s="2656" t="s">
        <v>2608</v>
      </c>
      <c r="B46" s="2670">
        <f t="shared" si="64"/>
        <v>206.31694671589116</v>
      </c>
      <c r="C46" s="2670">
        <f t="shared" si="64"/>
        <v>183.61041121036101</v>
      </c>
      <c r="D46" s="2670">
        <f t="shared" si="46"/>
        <v>183.61041121036101</v>
      </c>
      <c r="E46" s="2670">
        <f t="shared" si="65"/>
        <v>276.66850301795557</v>
      </c>
      <c r="F46" s="2670">
        <f t="shared" si="65"/>
        <v>165.1360938278614</v>
      </c>
      <c r="G46" s="3480">
        <v>2008</v>
      </c>
      <c r="H46" s="2661">
        <v>2</v>
      </c>
      <c r="I46" s="2661">
        <v>4.93</v>
      </c>
      <c r="J46" s="2661">
        <v>7.38</v>
      </c>
      <c r="K46" s="2661">
        <v>3.98</v>
      </c>
      <c r="L46" s="2672">
        <v>6.86</v>
      </c>
      <c r="N46" s="2665">
        <f t="shared" si="48"/>
        <v>4.9299999999999997E-2</v>
      </c>
      <c r="O46" s="2666">
        <f t="shared" si="48"/>
        <v>7.3800000000000004E-2</v>
      </c>
      <c r="P46" s="2666">
        <f t="shared" si="48"/>
        <v>3.9800000000000002E-2</v>
      </c>
      <c r="Q46" s="2666">
        <f t="shared" si="48"/>
        <v>6.8600000000000008E-2</v>
      </c>
      <c r="R46" s="2667"/>
      <c r="S46" s="2665"/>
      <c r="T46" s="2666"/>
      <c r="U46" s="2666"/>
      <c r="V46" s="2666"/>
    </row>
    <row r="47" spans="1:26" s="2706" customFormat="1" ht="13.5" thickBot="1">
      <c r="A47" s="2656" t="s">
        <v>2609</v>
      </c>
      <c r="B47" s="2703">
        <f t="shared" si="64"/>
        <v>196.62341248059772</v>
      </c>
      <c r="C47" s="2703">
        <f t="shared" si="64"/>
        <v>170.99125648199012</v>
      </c>
      <c r="D47" s="2703">
        <f t="shared" si="46"/>
        <v>170.99125648199012</v>
      </c>
      <c r="E47" s="2703">
        <f t="shared" si="65"/>
        <v>266.07857570490052</v>
      </c>
      <c r="F47" s="2703">
        <f t="shared" si="65"/>
        <v>154.53499328828505</v>
      </c>
      <c r="G47" s="3481">
        <v>2008</v>
      </c>
      <c r="H47" s="2704">
        <v>1</v>
      </c>
      <c r="I47" s="2704">
        <v>4.1399999999999997</v>
      </c>
      <c r="J47" s="2704">
        <v>3.45</v>
      </c>
      <c r="K47" s="2704">
        <v>4.95</v>
      </c>
      <c r="L47" s="2705">
        <v>4.82</v>
      </c>
      <c r="N47" s="2707">
        <f t="shared" si="48"/>
        <v>4.1399999999999999E-2</v>
      </c>
      <c r="O47" s="2708">
        <f t="shared" si="48"/>
        <v>3.4500000000000003E-2</v>
      </c>
      <c r="P47" s="2708">
        <f t="shared" si="48"/>
        <v>4.9500000000000002E-2</v>
      </c>
      <c r="Q47" s="2708">
        <f t="shared" si="48"/>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6"/>
        <v>165</v>
      </c>
      <c r="E48" s="2662">
        <v>254</v>
      </c>
      <c r="F48" s="2663">
        <v>148</v>
      </c>
      <c r="G48" s="3479">
        <v>2007</v>
      </c>
      <c r="H48" s="2711">
        <v>4</v>
      </c>
      <c r="I48" s="2711">
        <v>5.51</v>
      </c>
      <c r="J48" s="2711">
        <v>4.8899999999999997</v>
      </c>
      <c r="K48" s="2711">
        <v>6.43</v>
      </c>
      <c r="L48" s="2712">
        <v>5.36</v>
      </c>
      <c r="N48" s="2713">
        <f t="shared" ref="N48:O51" si="66">B48/B49-1</f>
        <v>4.1339718365245526E-2</v>
      </c>
      <c r="O48" s="2714">
        <f t="shared" si="66"/>
        <v>4.0324492593776018E-2</v>
      </c>
      <c r="P48" s="2714">
        <f t="shared" ref="P48:Q51" si="67">E48/E49-1</f>
        <v>6.1625555347990968E-2</v>
      </c>
      <c r="Q48" s="2714">
        <f t="shared" si="67"/>
        <v>4.6757569250590603E-2</v>
      </c>
      <c r="R48" s="2667"/>
      <c r="S48" s="2668"/>
      <c r="T48" s="2669"/>
      <c r="U48" s="2669"/>
      <c r="V48" s="2669"/>
      <c r="X48" s="2669"/>
      <c r="Y48" s="2669"/>
      <c r="Z48" s="2669"/>
    </row>
    <row r="49" spans="1:26">
      <c r="A49" s="2656" t="s">
        <v>2611</v>
      </c>
      <c r="B49" s="2670">
        <f t="shared" ref="B49:C51" si="68">B50+(B$48-B$52)*I49/SUM(I$48:I$51)</f>
        <v>180.5366651097618</v>
      </c>
      <c r="C49" s="2670">
        <f t="shared" si="68"/>
        <v>158.60435967302453</v>
      </c>
      <c r="D49" s="2670">
        <f t="shared" si="46"/>
        <v>158.60435967302453</v>
      </c>
      <c r="E49" s="2670">
        <f t="shared" ref="E49:F51" si="69">E50+(E$48-E$52)*K49/SUM(K$48:K$51)</f>
        <v>239.25573260785075</v>
      </c>
      <c r="F49" s="2670">
        <f t="shared" si="69"/>
        <v>141.38899430740037</v>
      </c>
      <c r="G49" s="3480">
        <v>2007</v>
      </c>
      <c r="H49" s="2681">
        <v>3</v>
      </c>
      <c r="I49" s="2681">
        <v>8.65</v>
      </c>
      <c r="J49" s="2681">
        <v>8.06</v>
      </c>
      <c r="K49" s="2681">
        <v>9.94</v>
      </c>
      <c r="L49" s="2682">
        <v>5.8</v>
      </c>
      <c r="N49" s="2713">
        <f t="shared" si="66"/>
        <v>6.940217571740015E-2</v>
      </c>
      <c r="O49" s="2714">
        <f t="shared" si="66"/>
        <v>7.1197482471153428E-2</v>
      </c>
      <c r="P49" s="2714">
        <f t="shared" si="67"/>
        <v>0.10529679922579582</v>
      </c>
      <c r="Q49" s="2714">
        <f t="shared" si="67"/>
        <v>5.3292245059512133E-2</v>
      </c>
      <c r="R49" s="2667"/>
      <c r="S49" s="2665"/>
      <c r="T49" s="2666"/>
      <c r="U49" s="2666"/>
      <c r="V49" s="2666"/>
      <c r="X49" s="2715"/>
      <c r="Y49" s="2715"/>
      <c r="Z49" s="2715"/>
    </row>
    <row r="50" spans="1:26">
      <c r="A50" s="2656" t="s">
        <v>2612</v>
      </c>
      <c r="B50" s="2670">
        <f t="shared" si="68"/>
        <v>168.82017748715555</v>
      </c>
      <c r="C50" s="2670">
        <f t="shared" si="68"/>
        <v>148.06267029972753</v>
      </c>
      <c r="D50" s="2670">
        <f t="shared" si="46"/>
        <v>148.06267029972753</v>
      </c>
      <c r="E50" s="2670">
        <f t="shared" si="69"/>
        <v>216.46288379323747</v>
      </c>
      <c r="F50" s="2670">
        <f t="shared" si="69"/>
        <v>134.23529411764704</v>
      </c>
      <c r="G50" s="3480">
        <v>2007</v>
      </c>
      <c r="H50" s="2661">
        <v>2</v>
      </c>
      <c r="I50" s="2661">
        <v>3.67</v>
      </c>
      <c r="J50" s="2661">
        <v>2.3199999999999998</v>
      </c>
      <c r="K50" s="2661">
        <v>5.0199999999999996</v>
      </c>
      <c r="L50" s="2672">
        <v>6.71</v>
      </c>
      <c r="N50" s="2713">
        <f t="shared" si="66"/>
        <v>3.0339138143848032E-2</v>
      </c>
      <c r="O50" s="2714">
        <f t="shared" si="66"/>
        <v>2.0922341588790472E-2</v>
      </c>
      <c r="P50" s="2714">
        <f t="shared" si="67"/>
        <v>5.6164796592717003E-2</v>
      </c>
      <c r="Q50" s="2714">
        <f t="shared" si="67"/>
        <v>6.5704536723887319E-2</v>
      </c>
      <c r="R50" s="2667"/>
      <c r="S50" s="2665"/>
      <c r="T50" s="2666"/>
      <c r="U50" s="2666"/>
      <c r="V50" s="2666"/>
      <c r="X50" s="2715"/>
      <c r="Y50" s="2715"/>
      <c r="Z50" s="2715"/>
    </row>
    <row r="51" spans="1:26">
      <c r="A51" s="2656" t="s">
        <v>2613</v>
      </c>
      <c r="B51" s="2670">
        <f t="shared" si="68"/>
        <v>163.84913591779542</v>
      </c>
      <c r="C51" s="2670">
        <f t="shared" si="68"/>
        <v>145.0283378746594</v>
      </c>
      <c r="D51" s="2670">
        <f t="shared" si="46"/>
        <v>145.0283378746594</v>
      </c>
      <c r="E51" s="2670">
        <f t="shared" si="69"/>
        <v>204.95180722891567</v>
      </c>
      <c r="F51" s="2670">
        <f t="shared" si="69"/>
        <v>125.95920303605313</v>
      </c>
      <c r="G51" s="3481">
        <v>2007</v>
      </c>
      <c r="H51" s="2660">
        <v>1</v>
      </c>
      <c r="I51" s="2660">
        <v>3.58</v>
      </c>
      <c r="J51" s="2660">
        <v>3.08</v>
      </c>
      <c r="K51" s="2660">
        <v>4.34</v>
      </c>
      <c r="L51" s="2671">
        <v>3.21</v>
      </c>
      <c r="N51" s="2716">
        <f t="shared" si="66"/>
        <v>3.0497710174814063E-2</v>
      </c>
      <c r="O51" s="2717">
        <f t="shared" si="66"/>
        <v>2.8569772160704998E-2</v>
      </c>
      <c r="P51" s="2717">
        <f t="shared" si="67"/>
        <v>5.1034908866234296E-2</v>
      </c>
      <c r="Q51" s="2717">
        <f t="shared" si="67"/>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6"/>
        <v>141</v>
      </c>
      <c r="E52" s="2684">
        <v>195</v>
      </c>
      <c r="F52" s="2685">
        <v>122</v>
      </c>
      <c r="G52" s="3479">
        <v>2006</v>
      </c>
      <c r="H52" s="2676">
        <v>4</v>
      </c>
      <c r="I52" s="2676">
        <v>3.79</v>
      </c>
      <c r="J52" s="2676">
        <v>2.21</v>
      </c>
      <c r="K52" s="2676">
        <v>5.65</v>
      </c>
      <c r="L52" s="2677">
        <v>5.41</v>
      </c>
      <c r="N52" s="2713">
        <f t="shared" ref="N52:O55" si="70">I52/SUM(I$52:I$55)*(B$52/B$56-1)</f>
        <v>7.245466462748526E-2</v>
      </c>
      <c r="O52" s="2714">
        <f t="shared" si="70"/>
        <v>2.3237230038062766E-2</v>
      </c>
      <c r="P52" s="2714">
        <f t="shared" ref="P52:Q55" si="71">K52/SUM(K$52:K$55)*(E$52/E$56-1)</f>
        <v>0.16146893866323722</v>
      </c>
      <c r="Q52" s="2714">
        <f t="shared" si="71"/>
        <v>5.0755230321793784E-2</v>
      </c>
      <c r="R52" s="2667"/>
      <c r="S52" s="2668"/>
      <c r="T52" s="2669"/>
      <c r="U52" s="2669"/>
      <c r="V52" s="2669"/>
      <c r="X52" s="2715"/>
      <c r="Y52" s="2715"/>
      <c r="Z52" s="2715"/>
    </row>
    <row r="53" spans="1:26">
      <c r="A53" s="2656" t="s">
        <v>2615</v>
      </c>
      <c r="B53" s="2670">
        <f t="shared" ref="B53:C55" si="72">B54+(B$52-B$56)*I53/SUM(I$52:I$55)</f>
        <v>149.00125628140702</v>
      </c>
      <c r="C53" s="2670">
        <f t="shared" si="72"/>
        <v>137.95592286501378</v>
      </c>
      <c r="D53" s="2670">
        <f t="shared" si="46"/>
        <v>137.95592286501378</v>
      </c>
      <c r="E53" s="2670">
        <f t="shared" ref="E53:F55" si="73">E54+(E$52-E$56)*K53/SUM(K$52:K$55)</f>
        <v>169.97231450719823</v>
      </c>
      <c r="F53" s="2670">
        <f t="shared" si="73"/>
        <v>116.21390374331551</v>
      </c>
      <c r="G53" s="3480">
        <v>2006</v>
      </c>
      <c r="H53" s="2681">
        <v>3</v>
      </c>
      <c r="I53" s="2681">
        <v>0.92</v>
      </c>
      <c r="J53" s="2681">
        <v>1.08</v>
      </c>
      <c r="K53" s="2681">
        <v>0.73</v>
      </c>
      <c r="L53" s="2682">
        <v>1.08</v>
      </c>
      <c r="N53" s="2713">
        <f t="shared" si="70"/>
        <v>1.7587939698492462E-2</v>
      </c>
      <c r="O53" s="2714">
        <f t="shared" si="70"/>
        <v>1.1355750425840628E-2</v>
      </c>
      <c r="P53" s="2714">
        <f t="shared" si="71"/>
        <v>2.0862358446754544E-2</v>
      </c>
      <c r="Q53" s="2714">
        <f t="shared" si="71"/>
        <v>1.0132282578103011E-2</v>
      </c>
      <c r="R53" s="2667"/>
      <c r="S53" s="2665"/>
      <c r="T53" s="2666"/>
      <c r="U53" s="2666"/>
      <c r="V53" s="2666"/>
      <c r="X53" s="2715"/>
      <c r="Y53" s="2715"/>
      <c r="Z53" s="2715"/>
    </row>
    <row r="54" spans="1:26">
      <c r="A54" s="2656" t="s">
        <v>2616</v>
      </c>
      <c r="B54" s="2670">
        <f t="shared" si="72"/>
        <v>146.57412060301507</v>
      </c>
      <c r="C54" s="2670">
        <f t="shared" si="72"/>
        <v>136.46831955922866</v>
      </c>
      <c r="D54" s="2670">
        <f t="shared" si="46"/>
        <v>136.46831955922866</v>
      </c>
      <c r="E54" s="2670">
        <f t="shared" si="73"/>
        <v>166.73864894795128</v>
      </c>
      <c r="F54" s="2670">
        <f t="shared" si="73"/>
        <v>115.05882352941177</v>
      </c>
      <c r="G54" s="3480">
        <v>2006</v>
      </c>
      <c r="H54" s="2661">
        <v>2</v>
      </c>
      <c r="I54" s="2661">
        <v>0.96</v>
      </c>
      <c r="J54" s="2661">
        <v>0.25</v>
      </c>
      <c r="K54" s="2661">
        <v>1.9</v>
      </c>
      <c r="L54" s="2672">
        <v>0.95</v>
      </c>
      <c r="N54" s="2713">
        <f t="shared" si="70"/>
        <v>1.8352632728861701E-2</v>
      </c>
      <c r="O54" s="2714">
        <f t="shared" si="70"/>
        <v>2.6286459319075526E-3</v>
      </c>
      <c r="P54" s="2714">
        <f t="shared" si="71"/>
        <v>5.4299289107991269E-2</v>
      </c>
      <c r="Q54" s="2714">
        <f t="shared" si="71"/>
        <v>8.9126559714794995E-3</v>
      </c>
      <c r="R54" s="2667"/>
      <c r="S54" s="2665"/>
      <c r="T54" s="2666"/>
      <c r="U54" s="2666"/>
      <c r="V54" s="2666"/>
      <c r="X54" s="2715"/>
      <c r="Y54" s="2715"/>
      <c r="Z54" s="2715"/>
    </row>
    <row r="55" spans="1:26">
      <c r="A55" s="2656" t="s">
        <v>2617</v>
      </c>
      <c r="B55" s="2670">
        <f t="shared" si="72"/>
        <v>144.04145728643215</v>
      </c>
      <c r="C55" s="2670">
        <f t="shared" si="72"/>
        <v>136.12396694214877</v>
      </c>
      <c r="D55" s="2670">
        <f t="shared" si="46"/>
        <v>136.12396694214877</v>
      </c>
      <c r="E55" s="2670">
        <f t="shared" si="73"/>
        <v>158.32225913621264</v>
      </c>
      <c r="F55" s="2670">
        <f t="shared" si="73"/>
        <v>114.04278074866311</v>
      </c>
      <c r="G55" s="3481">
        <v>2006</v>
      </c>
      <c r="H55" s="2660">
        <v>1</v>
      </c>
      <c r="I55" s="2660">
        <v>2.29</v>
      </c>
      <c r="J55" s="2660">
        <v>3.72</v>
      </c>
      <c r="K55" s="2660">
        <v>0.75</v>
      </c>
      <c r="L55" s="2671">
        <v>0.04</v>
      </c>
      <c r="N55" s="2716">
        <f t="shared" si="70"/>
        <v>4.3778675988638847E-2</v>
      </c>
      <c r="O55" s="2717">
        <f t="shared" si="70"/>
        <v>3.9114251466784385E-2</v>
      </c>
      <c r="P55" s="2717">
        <f t="shared" si="71"/>
        <v>2.1433929911049188E-2</v>
      </c>
      <c r="Q55" s="2717">
        <f t="shared" si="71"/>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6"/>
        <v>131</v>
      </c>
      <c r="E56" s="2684">
        <v>155</v>
      </c>
      <c r="F56" s="2685">
        <v>114</v>
      </c>
      <c r="G56" s="3479">
        <v>2005</v>
      </c>
      <c r="H56" s="2676">
        <v>4</v>
      </c>
      <c r="I56" s="2676">
        <v>3.29</v>
      </c>
      <c r="J56" s="2676">
        <v>1.44</v>
      </c>
      <c r="K56" s="2676">
        <v>0.66</v>
      </c>
      <c r="L56" s="2677">
        <v>7.78</v>
      </c>
      <c r="N56" s="2713">
        <f t="shared" ref="N56:O59" si="74">I56/SUM(I$56:I$59)*(B$56/B$60-1)</f>
        <v>9.9404603216919935E-2</v>
      </c>
      <c r="O56" s="2714">
        <f t="shared" si="74"/>
        <v>4.7636550760861554E-2</v>
      </c>
      <c r="P56" s="2714">
        <f t="shared" ref="P56:Q59" si="75">K56/SUM(K$56:K$59)*(E$56/E$60-1)</f>
        <v>8.3756345177664976E-2</v>
      </c>
      <c r="Q56" s="2714">
        <f t="shared" si="75"/>
        <v>5.2148766661559584E-2</v>
      </c>
      <c r="R56" s="2667"/>
      <c r="S56" s="2668"/>
      <c r="T56" s="2669"/>
      <c r="U56" s="2669"/>
      <c r="V56" s="2669"/>
      <c r="X56" s="2715"/>
      <c r="Y56" s="2715"/>
      <c r="Z56" s="2715"/>
    </row>
    <row r="57" spans="1:26">
      <c r="A57" s="2656" t="s">
        <v>2619</v>
      </c>
      <c r="B57" s="2670">
        <f t="shared" ref="B57:C59" si="76">B58+(B$56-B$60)*I57/SUM(I$56:I$59)</f>
        <v>125.9720430107527</v>
      </c>
      <c r="C57" s="2670">
        <f t="shared" si="76"/>
        <v>125.1883408071749</v>
      </c>
      <c r="D57" s="2670">
        <f t="shared" si="46"/>
        <v>125.1883408071749</v>
      </c>
      <c r="E57" s="2670">
        <f t="shared" ref="E57:F59" si="77">E58+(E$56-E$60)*K57/SUM(K$56:K$59)</f>
        <v>144.61421319796952</v>
      </c>
      <c r="F57" s="2670">
        <f t="shared" si="77"/>
        <v>108.42008196721311</v>
      </c>
      <c r="G57" s="3480">
        <v>2005</v>
      </c>
      <c r="H57" s="2681">
        <v>3</v>
      </c>
      <c r="I57" s="2681">
        <v>0.46</v>
      </c>
      <c r="J57" s="2681">
        <v>0.32</v>
      </c>
      <c r="K57" s="2681">
        <v>0.42</v>
      </c>
      <c r="L57" s="2682">
        <v>0.64</v>
      </c>
      <c r="N57" s="2713">
        <f t="shared" si="74"/>
        <v>1.3898515951301874E-2</v>
      </c>
      <c r="O57" s="2714">
        <f t="shared" si="74"/>
        <v>1.0585900169080346E-2</v>
      </c>
      <c r="P57" s="2714">
        <f t="shared" si="75"/>
        <v>5.3299492385786795E-2</v>
      </c>
      <c r="Q57" s="2714">
        <f t="shared" si="75"/>
        <v>4.2898728359123568E-3</v>
      </c>
      <c r="R57" s="2667"/>
      <c r="S57" s="2665"/>
      <c r="T57" s="2666"/>
      <c r="U57" s="2666"/>
      <c r="V57" s="2666"/>
      <c r="X57" s="2715"/>
      <c r="Y57" s="2715"/>
      <c r="Z57" s="2715"/>
    </row>
    <row r="58" spans="1:26">
      <c r="A58" s="2656" t="s">
        <v>2620</v>
      </c>
      <c r="B58" s="2670">
        <f t="shared" si="76"/>
        <v>124.29032258064517</v>
      </c>
      <c r="C58" s="2670">
        <f t="shared" si="76"/>
        <v>123.8968609865471</v>
      </c>
      <c r="D58" s="2670">
        <f t="shared" si="46"/>
        <v>123.8968609865471</v>
      </c>
      <c r="E58" s="2670">
        <f t="shared" si="77"/>
        <v>138.00507614213197</v>
      </c>
      <c r="F58" s="2670">
        <f t="shared" si="77"/>
        <v>107.96106557377048</v>
      </c>
      <c r="G58" s="3480">
        <v>2005</v>
      </c>
      <c r="H58" s="2661">
        <v>2</v>
      </c>
      <c r="I58" s="2661">
        <v>0.47</v>
      </c>
      <c r="J58" s="2661">
        <v>0.1</v>
      </c>
      <c r="K58" s="2661">
        <v>0.52</v>
      </c>
      <c r="L58" s="2672">
        <v>0.79</v>
      </c>
      <c r="N58" s="2713">
        <f t="shared" si="74"/>
        <v>1.420065760241713E-2</v>
      </c>
      <c r="O58" s="2714">
        <f t="shared" si="74"/>
        <v>3.3080938028376083E-3</v>
      </c>
      <c r="P58" s="2714">
        <f t="shared" si="75"/>
        <v>6.598984771573603E-2</v>
      </c>
      <c r="Q58" s="2714">
        <f t="shared" si="75"/>
        <v>5.2953117818293153E-3</v>
      </c>
      <c r="R58" s="2667"/>
      <c r="S58" s="2665"/>
      <c r="T58" s="2666"/>
      <c r="U58" s="2666"/>
      <c r="V58" s="2666"/>
      <c r="X58" s="2715"/>
      <c r="Y58" s="2715"/>
      <c r="Z58" s="2715"/>
    </row>
    <row r="59" spans="1:26">
      <c r="A59" s="2656" t="s">
        <v>2621</v>
      </c>
      <c r="B59" s="2670">
        <f t="shared" si="76"/>
        <v>122.57204301075269</v>
      </c>
      <c r="C59" s="2670">
        <f t="shared" si="76"/>
        <v>123.4932735426009</v>
      </c>
      <c r="D59" s="2670">
        <f t="shared" si="46"/>
        <v>123.4932735426009</v>
      </c>
      <c r="E59" s="2670">
        <f t="shared" si="77"/>
        <v>129.82233502538071</v>
      </c>
      <c r="F59" s="2670">
        <f t="shared" si="77"/>
        <v>107.39446721311475</v>
      </c>
      <c r="G59" s="3481">
        <v>2005</v>
      </c>
      <c r="H59" s="2660">
        <v>1</v>
      </c>
      <c r="I59" s="2660">
        <v>0.43</v>
      </c>
      <c r="J59" s="2660">
        <v>0.37</v>
      </c>
      <c r="K59" s="2660">
        <v>0.37</v>
      </c>
      <c r="L59" s="2671">
        <v>0.55000000000000004</v>
      </c>
      <c r="N59" s="2716">
        <f t="shared" si="74"/>
        <v>1.2992090997956099E-2</v>
      </c>
      <c r="O59" s="2717">
        <f t="shared" si="74"/>
        <v>1.2239947070499151E-2</v>
      </c>
      <c r="P59" s="2717">
        <f t="shared" si="75"/>
        <v>4.6954314720812178E-2</v>
      </c>
      <c r="Q59" s="2717">
        <f t="shared" si="75"/>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6"/>
        <v>122</v>
      </c>
      <c r="E60" s="2700">
        <v>124</v>
      </c>
      <c r="F60" s="2701">
        <v>107</v>
      </c>
      <c r="G60" s="3479">
        <v>2004</v>
      </c>
      <c r="H60" s="2676">
        <v>4</v>
      </c>
      <c r="I60" s="2676">
        <v>0.33</v>
      </c>
      <c r="J60" s="2676">
        <v>0.5</v>
      </c>
      <c r="K60" s="2676">
        <v>0.5</v>
      </c>
      <c r="L60" s="2677">
        <v>0</v>
      </c>
      <c r="N60" s="2713">
        <f t="shared" ref="N60:O63" si="78">I60/SUM(I$60:I$63)*(B$60/B$64-1)</f>
        <v>1.3391770148526898E-2</v>
      </c>
      <c r="O60" s="2714">
        <f t="shared" si="78"/>
        <v>1.063264221158958E-2</v>
      </c>
      <c r="P60" s="2714">
        <f t="shared" ref="P60:Q63" si="79">K60/SUM(K$60:K$63)*(E$60/E$64-1)</f>
        <v>2.2244466688911134E-2</v>
      </c>
      <c r="Q60" s="2714">
        <f t="shared" si="79"/>
        <v>0</v>
      </c>
      <c r="R60" s="2667"/>
      <c r="S60" s="2668"/>
      <c r="T60" s="2669"/>
      <c r="U60" s="2669"/>
      <c r="V60" s="2669"/>
      <c r="X60" s="2715"/>
      <c r="Y60" s="2715"/>
      <c r="Z60" s="2715"/>
    </row>
    <row r="61" spans="1:26">
      <c r="A61" s="2656" t="s">
        <v>2623</v>
      </c>
      <c r="B61" s="2670">
        <f t="shared" ref="B61:C63" si="80">B62+(B$60-B$64)*I61/SUM(I$60:I$63)</f>
        <v>119.51351351351352</v>
      </c>
      <c r="C61" s="2670">
        <f t="shared" si="80"/>
        <v>120.7878787878788</v>
      </c>
      <c r="D61" s="2670">
        <f t="shared" si="46"/>
        <v>120.7878787878788</v>
      </c>
      <c r="E61" s="2670">
        <f t="shared" ref="E61:F63" si="81">E62+(E$60-E$64)*K61/SUM(K$60:K$63)</f>
        <v>121.5975975975976</v>
      </c>
      <c r="F61" s="2670">
        <f t="shared" si="81"/>
        <v>107</v>
      </c>
      <c r="G61" s="3480">
        <v>2004</v>
      </c>
      <c r="H61" s="2681">
        <v>3</v>
      </c>
      <c r="I61" s="2681">
        <v>0.56000000000000005</v>
      </c>
      <c r="J61" s="2681">
        <v>0.8</v>
      </c>
      <c r="K61" s="2681">
        <v>0.83</v>
      </c>
      <c r="L61" s="2682">
        <v>0.06</v>
      </c>
      <c r="N61" s="2713">
        <f t="shared" si="78"/>
        <v>2.2725428130833527E-2</v>
      </c>
      <c r="O61" s="2714">
        <f t="shared" si="78"/>
        <v>1.7012227538543329E-2</v>
      </c>
      <c r="P61" s="2714">
        <f t="shared" si="79"/>
        <v>3.6925814703592477E-2</v>
      </c>
      <c r="Q61" s="2714">
        <f t="shared" si="79"/>
        <v>2.8846153846153744E-2</v>
      </c>
      <c r="R61" s="2667"/>
      <c r="S61" s="2665"/>
      <c r="T61" s="2666"/>
      <c r="U61" s="2666"/>
      <c r="V61" s="2666"/>
      <c r="X61" s="2715"/>
      <c r="Y61" s="2715"/>
      <c r="Z61" s="2715"/>
    </row>
    <row r="62" spans="1:26">
      <c r="A62" s="2656" t="s">
        <v>2624</v>
      </c>
      <c r="B62" s="2670">
        <f t="shared" si="80"/>
        <v>116.99099099099099</v>
      </c>
      <c r="C62" s="2670">
        <f t="shared" si="80"/>
        <v>118.84848484848486</v>
      </c>
      <c r="D62" s="2670">
        <f t="shared" si="46"/>
        <v>118.84848484848486</v>
      </c>
      <c r="E62" s="2670">
        <f t="shared" si="81"/>
        <v>117.60960960960961</v>
      </c>
      <c r="F62" s="2670">
        <f t="shared" si="81"/>
        <v>104</v>
      </c>
      <c r="G62" s="3480">
        <v>2004</v>
      </c>
      <c r="H62" s="2661">
        <v>2</v>
      </c>
      <c r="I62" s="2661">
        <v>1</v>
      </c>
      <c r="J62" s="2661">
        <v>1.5</v>
      </c>
      <c r="K62" s="2661">
        <v>1.5</v>
      </c>
      <c r="L62" s="2672">
        <v>0</v>
      </c>
      <c r="N62" s="2713">
        <f t="shared" si="78"/>
        <v>4.0581121662202721E-2</v>
      </c>
      <c r="O62" s="2714">
        <f t="shared" si="78"/>
        <v>3.1897926634768738E-2</v>
      </c>
      <c r="P62" s="2714">
        <f t="shared" si="79"/>
        <v>6.6733400066733395E-2</v>
      </c>
      <c r="Q62" s="2714">
        <f t="shared" si="79"/>
        <v>0</v>
      </c>
      <c r="R62" s="2667"/>
      <c r="S62" s="2665"/>
      <c r="T62" s="2666"/>
      <c r="U62" s="2666"/>
      <c r="V62" s="2666"/>
      <c r="X62" s="2715"/>
      <c r="Y62" s="2715"/>
      <c r="Z62" s="2715"/>
    </row>
    <row r="63" spans="1:26" s="2706" customFormat="1" ht="13.5" thickBot="1">
      <c r="A63" s="2656" t="s">
        <v>2625</v>
      </c>
      <c r="B63" s="2703">
        <f t="shared" si="80"/>
        <v>112.48648648648648</v>
      </c>
      <c r="C63" s="2703">
        <f t="shared" si="80"/>
        <v>115.21212121212122</v>
      </c>
      <c r="D63" s="2703">
        <f t="shared" si="46"/>
        <v>115.21212121212122</v>
      </c>
      <c r="E63" s="2703">
        <f t="shared" si="81"/>
        <v>110.4024024024024</v>
      </c>
      <c r="F63" s="2703">
        <f t="shared" si="81"/>
        <v>104</v>
      </c>
      <c r="G63" s="3481">
        <v>2004</v>
      </c>
      <c r="H63" s="2704">
        <v>1</v>
      </c>
      <c r="I63" s="2704">
        <v>0.33</v>
      </c>
      <c r="J63" s="2704">
        <v>0.5</v>
      </c>
      <c r="K63" s="2704">
        <v>0.5</v>
      </c>
      <c r="L63" s="2705">
        <v>0</v>
      </c>
      <c r="N63" s="2718">
        <f t="shared" si="78"/>
        <v>1.3391770148526898E-2</v>
      </c>
      <c r="O63" s="2719">
        <f t="shared" si="78"/>
        <v>1.063264221158958E-2</v>
      </c>
      <c r="P63" s="2719">
        <f t="shared" si="79"/>
        <v>2.2244466688911134E-2</v>
      </c>
      <c r="Q63" s="2719">
        <f t="shared" si="79"/>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6"/>
        <v>114</v>
      </c>
      <c r="E64" s="2721">
        <v>108</v>
      </c>
      <c r="F64" s="2722">
        <v>104</v>
      </c>
      <c r="G64" s="3479">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2">B66+(B$64-B$68)/4</f>
        <v>109.75</v>
      </c>
      <c r="C65" s="2725">
        <f t="shared" si="82"/>
        <v>112.25</v>
      </c>
      <c r="D65" s="2725">
        <f t="shared" si="46"/>
        <v>112.25</v>
      </c>
      <c r="E65" s="2725">
        <f t="shared" ref="E65:F67" si="83">E66+(E$64-E$68)/4</f>
        <v>107.25</v>
      </c>
      <c r="F65" s="2725">
        <f t="shared" si="83"/>
        <v>103.5</v>
      </c>
      <c r="G65" s="3480">
        <v>2003</v>
      </c>
      <c r="H65" s="2681">
        <v>3</v>
      </c>
      <c r="I65" s="2723"/>
      <c r="J65" s="2723"/>
      <c r="K65" s="2723"/>
      <c r="L65" s="2723"/>
      <c r="X65" s="2715"/>
      <c r="Y65" s="2715"/>
      <c r="Z65" s="2715"/>
    </row>
    <row r="66" spans="1:26">
      <c r="A66" s="2656" t="s">
        <v>2628</v>
      </c>
      <c r="B66" s="2725">
        <f t="shared" si="82"/>
        <v>108.5</v>
      </c>
      <c r="C66" s="2725">
        <f t="shared" si="82"/>
        <v>110.5</v>
      </c>
      <c r="D66" s="2725">
        <f t="shared" si="46"/>
        <v>110.5</v>
      </c>
      <c r="E66" s="2725">
        <f t="shared" si="83"/>
        <v>106.5</v>
      </c>
      <c r="F66" s="2725">
        <f t="shared" si="83"/>
        <v>103</v>
      </c>
      <c r="G66" s="3480">
        <v>2003</v>
      </c>
      <c r="H66" s="2661">
        <v>2</v>
      </c>
      <c r="I66" s="2723"/>
      <c r="J66" s="2723"/>
      <c r="K66" s="2723"/>
      <c r="L66" s="2723"/>
      <c r="X66" s="2715"/>
      <c r="Y66" s="2715"/>
      <c r="Z66" s="2715"/>
    </row>
    <row r="67" spans="1:26" ht="13.5" thickBot="1">
      <c r="A67" s="2656" t="s">
        <v>2629</v>
      </c>
      <c r="B67" s="2725">
        <f t="shared" si="82"/>
        <v>107.25</v>
      </c>
      <c r="C67" s="2725">
        <f t="shared" si="82"/>
        <v>108.75</v>
      </c>
      <c r="D67" s="2725">
        <f t="shared" si="46"/>
        <v>108.75</v>
      </c>
      <c r="E67" s="2725">
        <f t="shared" si="83"/>
        <v>105.75</v>
      </c>
      <c r="F67" s="2725">
        <f t="shared" si="83"/>
        <v>102.5</v>
      </c>
      <c r="G67" s="3481">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6"/>
        <v>107</v>
      </c>
      <c r="E68" s="2727">
        <v>105</v>
      </c>
      <c r="F68" s="2728">
        <v>102</v>
      </c>
      <c r="G68" s="3479">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4">B70+(B$68-B$72)/4</f>
        <v>105</v>
      </c>
      <c r="C69" s="2725">
        <f t="shared" si="84"/>
        <v>106</v>
      </c>
      <c r="D69" s="2725">
        <f t="shared" si="46"/>
        <v>106</v>
      </c>
      <c r="E69" s="2725">
        <f t="shared" ref="E69:F71" si="85">E70+(E$68-E$72)/4</f>
        <v>104.5</v>
      </c>
      <c r="F69" s="2725">
        <f t="shared" si="85"/>
        <v>101.5</v>
      </c>
      <c r="G69" s="3480">
        <v>2002</v>
      </c>
      <c r="H69" s="2681">
        <v>3</v>
      </c>
      <c r="I69" s="2723"/>
      <c r="J69" s="2723"/>
      <c r="K69" s="2723"/>
      <c r="L69" s="2723"/>
      <c r="X69" s="2715"/>
      <c r="Y69" s="2715"/>
      <c r="Z69" s="2715"/>
    </row>
    <row r="70" spans="1:26">
      <c r="A70" s="2656" t="s">
        <v>2632</v>
      </c>
      <c r="B70" s="2725">
        <f t="shared" si="84"/>
        <v>104</v>
      </c>
      <c r="C70" s="2725">
        <f t="shared" si="84"/>
        <v>105</v>
      </c>
      <c r="D70" s="2725">
        <f t="shared" si="46"/>
        <v>105</v>
      </c>
      <c r="E70" s="2725">
        <f t="shared" si="85"/>
        <v>104</v>
      </c>
      <c r="F70" s="2725">
        <f t="shared" si="85"/>
        <v>101</v>
      </c>
      <c r="G70" s="3480">
        <v>2002</v>
      </c>
      <c r="H70" s="2661">
        <v>2</v>
      </c>
      <c r="I70" s="2723"/>
      <c r="J70" s="2723"/>
      <c r="K70" s="2723"/>
      <c r="L70" s="2723"/>
      <c r="X70" s="2715"/>
      <c r="Y70" s="2715"/>
      <c r="Z70" s="2715"/>
    </row>
    <row r="71" spans="1:26" s="2692" customFormat="1" ht="13.5" thickBot="1">
      <c r="A71" s="2688" t="s">
        <v>2633</v>
      </c>
      <c r="B71" s="2729">
        <f t="shared" si="84"/>
        <v>103</v>
      </c>
      <c r="C71" s="2729">
        <f t="shared" si="84"/>
        <v>104</v>
      </c>
      <c r="D71" s="2729">
        <f t="shared" si="46"/>
        <v>104</v>
      </c>
      <c r="E71" s="2729">
        <f t="shared" si="85"/>
        <v>103.5</v>
      </c>
      <c r="F71" s="2729">
        <f t="shared" si="85"/>
        <v>100.5</v>
      </c>
      <c r="G71" s="3481">
        <v>2002</v>
      </c>
      <c r="H71" s="2730">
        <v>1</v>
      </c>
      <c r="I71" s="2731"/>
      <c r="J71" s="2731"/>
      <c r="K71" s="2731"/>
      <c r="L71" s="2731"/>
      <c r="N71" s="2732"/>
      <c r="S71" s="2732"/>
      <c r="X71" s="2733"/>
      <c r="Y71" s="2733"/>
      <c r="Z71" s="2733"/>
    </row>
    <row r="72" spans="1:26" ht="13.5" thickBot="1">
      <c r="B72" s="2734">
        <v>102</v>
      </c>
      <c r="C72" s="2735">
        <v>103</v>
      </c>
      <c r="D72" s="2735">
        <f t="shared" si="46"/>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7" t="s">
        <v>952</v>
      </c>
      <c r="E1" s="2388" t="s">
        <v>2377</v>
      </c>
      <c r="F1" s="2389">
        <f ca="1">J53</f>
        <v>0</v>
      </c>
      <c r="G1" s="774">
        <f>MATCH(C1,'数据-取费表'!A6:A16,0)+5</f>
        <v>10</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0</v>
      </c>
      <c r="D5" s="2497" t="s">
        <v>2464</v>
      </c>
      <c r="E5" s="2491"/>
      <c r="F5" s="2492"/>
      <c r="G5" s="1592"/>
      <c r="H5" s="781">
        <v>1</v>
      </c>
      <c r="I5" s="782" t="s">
        <v>2461</v>
      </c>
      <c r="J5" s="55">
        <f ca="1">J6+J10+J12</f>
        <v>0</v>
      </c>
      <c r="K5" s="2497" t="s">
        <v>2464</v>
      </c>
      <c r="L5" s="2491"/>
      <c r="M5" s="2492"/>
    </row>
    <row r="6" spans="1:33" ht="18" customHeight="1">
      <c r="A6" s="1831" t="s">
        <v>1825</v>
      </c>
      <c r="B6" s="3470" t="s">
        <v>2466</v>
      </c>
      <c r="C6" s="783">
        <f ca="1">ROUND(F6*F8*F7*(1-F9)/10000,0)</f>
        <v>0</v>
      </c>
      <c r="D6" s="2498" t="s">
        <v>2465</v>
      </c>
      <c r="E6" s="784" t="s">
        <v>1739</v>
      </c>
      <c r="F6" s="785">
        <f ca="1">INDIRECT("'数据-取费表'!u"&amp;$G$1)</f>
        <v>0</v>
      </c>
      <c r="G6" s="1592"/>
      <c r="H6" s="2505" t="s">
        <v>2471</v>
      </c>
      <c r="I6" s="3470" t="s">
        <v>2466</v>
      </c>
      <c r="J6" s="783">
        <f ca="1">ROUND(M6*M8*M7*(1-M9)/10000,0)</f>
        <v>0</v>
      </c>
      <c r="K6" s="341" t="s">
        <v>1738</v>
      </c>
      <c r="L6" s="784" t="s">
        <v>1739</v>
      </c>
      <c r="M6" s="785">
        <f ca="1">INDIRECT("'数据-取费表'!z"&amp;$G$1)</f>
        <v>0</v>
      </c>
    </row>
    <row r="7" spans="1:33" ht="18" customHeight="1">
      <c r="A7" s="2501"/>
      <c r="B7" s="3471"/>
      <c r="C7" s="788"/>
      <c r="D7" s="789"/>
      <c r="E7" s="784" t="s">
        <v>1740</v>
      </c>
      <c r="F7" s="785">
        <f ca="1">IF(INDIRECT("'数据-取费表'!ah"&amp;$G$1)="",INDIRECT("'数据-取费表'!k"&amp;$G$1),INDIRECT("'数据-取费表'!ah"&amp;$G$1))</f>
        <v>0</v>
      </c>
      <c r="G7" s="1592"/>
      <c r="H7" s="2490"/>
      <c r="I7" s="3471"/>
      <c r="J7" s="788"/>
      <c r="K7" s="789"/>
      <c r="L7" s="784" t="s">
        <v>1740</v>
      </c>
      <c r="M7" s="785">
        <f ca="1">F7</f>
        <v>0</v>
      </c>
    </row>
    <row r="8" spans="1:33" ht="18" customHeight="1">
      <c r="A8" s="2494"/>
      <c r="B8" s="3472"/>
      <c r="C8" s="788"/>
      <c r="D8" s="789"/>
      <c r="E8" s="784" t="s">
        <v>1741</v>
      </c>
      <c r="F8" s="785">
        <f ca="1">INDIRECT("'数据-取费表'!ai"&amp;$G$1)</f>
        <v>0</v>
      </c>
      <c r="G8" s="1592"/>
      <c r="H8" s="2490"/>
      <c r="I8" s="3472"/>
      <c r="J8" s="788"/>
      <c r="K8" s="789"/>
      <c r="L8" s="784" t="s">
        <v>1741</v>
      </c>
      <c r="M8" s="785">
        <f ca="1">INDIRECT("'数据-取费表'!ai"&amp;$G$1)</f>
        <v>0</v>
      </c>
    </row>
    <row r="9" spans="1:33" ht="18" customHeight="1">
      <c r="A9" s="786"/>
      <c r="B9" s="3473"/>
      <c r="C9" s="788"/>
      <c r="D9" s="789"/>
      <c r="E9" s="784" t="s">
        <v>1742</v>
      </c>
      <c r="F9" s="794">
        <f ca="1">INDIRECT("'数据-取费表'!w"&amp;$G$1)</f>
        <v>0</v>
      </c>
      <c r="G9" s="1592"/>
      <c r="H9" s="2506"/>
      <c r="I9" s="3472"/>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2978</v>
      </c>
      <c r="E10" s="2499" t="s">
        <v>2467</v>
      </c>
      <c r="F10" s="2622"/>
      <c r="G10" s="1592"/>
      <c r="H10" s="2562" t="s">
        <v>2472</v>
      </c>
      <c r="I10" s="2567" t="s">
        <v>2462</v>
      </c>
      <c r="J10" s="783">
        <f ca="1">ROUND(IF(M10="押一",J6/12*M11,IF(M10="押二",J6/12*2*M11,IF(M10="押三",J6/12*3*M11,J11*M11))),0)</f>
        <v>0</v>
      </c>
      <c r="K10" s="2502" t="s">
        <v>2978</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0</v>
      </c>
      <c r="D13" s="1835" t="s">
        <v>2300</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2828</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2538</v>
      </c>
      <c r="C23" s="53">
        <f ca="1">ROUND(IF('数据-取费表'!B22&lt;=1,(C19+C20)*F24*F23/2,(C19+C20)*(POWER((1+F24),F23/2)-1)),0)</f>
        <v>0</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2824</v>
      </c>
      <c r="J25" s="792">
        <f ca="1">J5-J16</f>
        <v>0</v>
      </c>
      <c r="K25" s="2549" t="s">
        <v>1778</v>
      </c>
      <c r="L25" s="2550"/>
      <c r="M25" s="2551"/>
    </row>
    <row r="26" spans="1:33" ht="18" customHeight="1">
      <c r="A26" s="1648" t="s">
        <v>1832</v>
      </c>
      <c r="B26" s="784" t="s">
        <v>2441</v>
      </c>
      <c r="C26" s="53">
        <f ca="1">ROUND((C19+C20)*F26,0)</f>
        <v>0</v>
      </c>
      <c r="D26" s="812" t="s">
        <v>1779</v>
      </c>
      <c r="E26" s="795" t="s">
        <v>1780</v>
      </c>
      <c r="F26" s="794">
        <f ca="1">INDIRECT("'数据-取费表'!q"&amp;$G$1)</f>
        <v>0</v>
      </c>
      <c r="G26" s="1592"/>
      <c r="H26" s="2503" t="s">
        <v>1781</v>
      </c>
      <c r="I26" s="2233" t="s">
        <v>2829</v>
      </c>
      <c r="J26" s="783">
        <f ca="1">IF(J5&lt;&gt;0,ROUND(J25*(1-((1+M28)/(1+M26))^M27)/(M26-M28),0),0)</f>
        <v>0</v>
      </c>
      <c r="K26" s="814" t="s">
        <v>1782</v>
      </c>
      <c r="L26" s="784" t="s">
        <v>2422</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f ca="1">IF(项目基本情况!B11="企业","",IF(INDIRECT("'数据-取费表'!c"&amp;$G$1)="住宅",5%,IF(F6*F7*F8/12/(1+'数据-取费表'!C42)&gt;20000,12%,7%)))</f>
        <v>7.0000000000000007E-2</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2824</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2304</v>
      </c>
      <c r="C40" s="783" t="e">
        <f ca="1">ROUND(C39*(1-((1+F42)/(1+F40))^F41)/(F40-F42),0)</f>
        <v>#DIV/0!</v>
      </c>
      <c r="D40" s="814" t="s">
        <v>1808</v>
      </c>
      <c r="E40" s="784" t="s">
        <v>2422</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#DIV/0!</v>
      </c>
      <c r="D46" s="2086"/>
      <c r="E46" s="2086"/>
      <c r="F46" s="2086"/>
      <c r="I46" s="2379" t="s">
        <v>2346</v>
      </c>
      <c r="J46" s="2380"/>
      <c r="K46" s="2381"/>
      <c r="L46" s="3162" t="e">
        <f ca="1">IF(OR(M47="住宅",D1="土地（套用方法）"),0,IF(L48&gt;J51,L60,J60))</f>
        <v>#DIV/0!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c r="K47" s="3159" t="s">
        <v>2352</v>
      </c>
      <c r="L47" s="3163">
        <f ca="1">INDIRECT("'数据-取费表'!d"&amp;$G$1)</f>
        <v>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c r="K48" s="3160" t="s">
        <v>2354</v>
      </c>
      <c r="L48" s="1909">
        <f ca="1">INDIRECT("'数据-取费表'!f"&amp;$G$1)</f>
        <v>0</v>
      </c>
      <c r="O48" s="2399" t="s">
        <v>2382</v>
      </c>
      <c r="P48" s="2400" t="s">
        <v>2408</v>
      </c>
      <c r="Q48" s="2401" t="e">
        <f ca="1">C40+J29</f>
        <v>#DIV/0!</v>
      </c>
      <c r="R48" s="2400" t="s">
        <v>2383</v>
      </c>
    </row>
    <row r="49" spans="1:18" s="2060" customFormat="1" ht="18" customHeight="1" thickBot="1">
      <c r="A49" s="786"/>
      <c r="B49" s="787"/>
      <c r="C49" s="788"/>
      <c r="D49" s="789"/>
      <c r="E49" s="784" t="s">
        <v>1740</v>
      </c>
      <c r="F49" s="785">
        <f ca="1">F7</f>
        <v>0</v>
      </c>
      <c r="G49" s="2091"/>
      <c r="H49" s="2094"/>
      <c r="I49" s="3128" t="s">
        <v>2349</v>
      </c>
      <c r="J49" s="2384"/>
      <c r="K49" s="3161" t="s">
        <v>2355</v>
      </c>
      <c r="L49" s="2385"/>
      <c r="O49" s="2399" t="s">
        <v>2384</v>
      </c>
      <c r="P49" s="2400" t="s">
        <v>2409</v>
      </c>
      <c r="Q49" s="2401" t="e">
        <f ca="1">J60</f>
        <v>#DIV/0!</v>
      </c>
      <c r="R49" s="2400" t="s">
        <v>2385</v>
      </c>
    </row>
    <row r="50" spans="1:18" s="2060" customFormat="1" ht="18" customHeight="1" thickBot="1">
      <c r="A50" s="786"/>
      <c r="B50" s="787"/>
      <c r="C50" s="788"/>
      <c r="D50" s="789"/>
      <c r="E50" s="784" t="s">
        <v>1741</v>
      </c>
      <c r="F50" s="785">
        <f ca="1">F8</f>
        <v>0</v>
      </c>
      <c r="G50" s="2096"/>
      <c r="H50" s="2094"/>
      <c r="I50" s="3128" t="s">
        <v>2350</v>
      </c>
      <c r="J50" s="3156">
        <f>SUMPRODUCT((I63:I65=J47)*(J62:L62=J48)*(J63:L65))</f>
        <v>0</v>
      </c>
      <c r="K50" s="3161" t="s">
        <v>2356</v>
      </c>
      <c r="L50" s="2385"/>
      <c r="O50" s="2402" t="s">
        <v>2386</v>
      </c>
      <c r="P50" s="2400" t="s">
        <v>2410</v>
      </c>
      <c r="Q50" s="2401">
        <f ca="1">C29</f>
        <v>0</v>
      </c>
      <c r="R50" s="2400" t="s">
        <v>2383</v>
      </c>
    </row>
    <row r="51" spans="1:18" s="2060" customFormat="1" ht="18" customHeight="1" thickBot="1">
      <c r="A51" s="786"/>
      <c r="B51" s="787"/>
      <c r="C51" s="788"/>
      <c r="D51" s="789"/>
      <c r="E51" s="784" t="s">
        <v>640</v>
      </c>
      <c r="F51" s="2372"/>
      <c r="H51" s="2094"/>
      <c r="I51" s="3153" t="s">
        <v>2351</v>
      </c>
      <c r="J51" s="3157">
        <f>IF(J49="",J50,J49+J50-YEAR('数据-取费表'!B2))</f>
        <v>0</v>
      </c>
      <c r="K51" s="3128" t="s">
        <v>2357</v>
      </c>
      <c r="L51" s="3164">
        <f ca="1">ROUND(-PV(INDIRECT("'数据-取费表'!h"&amp;$G$1),L48,(C39-C13*J36),0),0)</f>
        <v>0</v>
      </c>
      <c r="O51" s="2402" t="s">
        <v>2387</v>
      </c>
      <c r="P51" s="2400" t="s">
        <v>2388</v>
      </c>
      <c r="Q51" s="2403" t="e">
        <f ca="1">J58</f>
        <v>#DIV/0!</v>
      </c>
      <c r="R51" s="2404"/>
    </row>
    <row r="52" spans="1:18" s="2060" customFormat="1" ht="18" customHeight="1" thickBot="1">
      <c r="A52" s="781" t="s">
        <v>2539</v>
      </c>
      <c r="B52" s="2495" t="s">
        <v>2462</v>
      </c>
      <c r="C52" s="799">
        <f ca="1">ROUND(IF(F52="押一",C48/12*F11,IF(F52="押二",C48/12*2*F11,IF(F52="押三",C48/12*3*F11,C53*F11))),0)</f>
        <v>0</v>
      </c>
      <c r="D52" s="2502" t="s">
        <v>2979</v>
      </c>
      <c r="E52" s="2499" t="s">
        <v>2467</v>
      </c>
      <c r="F52" s="2622"/>
      <c r="I52" s="3154" t="s">
        <v>2424</v>
      </c>
      <c r="J52" s="2386"/>
      <c r="K52" s="3154"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5" t="s">
        <v>2983</v>
      </c>
      <c r="J53" s="3158">
        <f ca="1">IF(M47="住宅",IF(D1="——",MAX(J51,L48),MAX(J51,L48-'数据-取费表'!B20)),IF(D1="——",MIN(J51,L48),MIN(J51,L48-'数据-取费表'!B20)))</f>
        <v>0</v>
      </c>
      <c r="K53" s="3486" t="s">
        <v>2970</v>
      </c>
      <c r="L53" s="3487"/>
      <c r="O53" s="2402" t="s">
        <v>2391</v>
      </c>
      <c r="P53" s="2400" t="s">
        <v>2392</v>
      </c>
      <c r="Q53" s="2401">
        <f ca="1">J53</f>
        <v>0</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t="e">
        <f ca="1">Q48+Q49</f>
        <v>#DIV/0!</v>
      </c>
      <c r="R54" s="2404" t="s">
        <v>2395</v>
      </c>
    </row>
    <row r="55" spans="1:18" s="2060" customFormat="1" ht="18" customHeight="1" thickTop="1" thickBot="1">
      <c r="A55" s="797">
        <v>2</v>
      </c>
      <c r="B55" s="798" t="s">
        <v>644</v>
      </c>
      <c r="C55" s="799">
        <f ca="1">C13</f>
        <v>0</v>
      </c>
      <c r="D55" s="795"/>
      <c r="E55" s="795"/>
      <c r="F55" s="800"/>
      <c r="I55" s="3167" t="s">
        <v>2358</v>
      </c>
      <c r="J55" s="3103" t="e">
        <f ca="1">ROUND(IF(J47="钢混",J57/J50,1-(1-2%)*(J50-J57)/J50),3)</f>
        <v>#DIV/0!</v>
      </c>
      <c r="K55" s="3168" t="s">
        <v>2359</v>
      </c>
      <c r="L55" s="2387"/>
      <c r="O55" s="2405" t="s">
        <v>2414</v>
      </c>
      <c r="P55" s="1592"/>
      <c r="Q55" s="1604"/>
      <c r="R55" s="1592"/>
    </row>
    <row r="56" spans="1:18" s="2060" customFormat="1" ht="42.75" customHeight="1" thickBot="1">
      <c r="A56" s="1650"/>
      <c r="B56" s="2232" t="s">
        <v>2305</v>
      </c>
      <c r="C56" s="53">
        <f ca="1">C29</f>
        <v>0</v>
      </c>
      <c r="D56" s="2640"/>
      <c r="E56" s="784"/>
      <c r="F56" s="809"/>
      <c r="I56" s="3169" t="s">
        <v>2360</v>
      </c>
      <c r="J56" s="3179"/>
      <c r="K56" s="3128" t="s">
        <v>2365</v>
      </c>
      <c r="L56" s="1909">
        <f ca="1">IF(L48&lt;J51,"——",L48-J51)</f>
        <v>0</v>
      </c>
      <c r="O56" s="2396" t="s">
        <v>2378</v>
      </c>
      <c r="P56" s="2397" t="s">
        <v>2379</v>
      </c>
      <c r="Q56" s="2398" t="s">
        <v>2380</v>
      </c>
      <c r="R56" s="2397" t="s">
        <v>2381</v>
      </c>
    </row>
    <row r="57" spans="1:18" s="2060" customFormat="1" ht="28.5" customHeight="1" thickBot="1">
      <c r="A57" s="797" t="s">
        <v>1749</v>
      </c>
      <c r="B57" s="798" t="s">
        <v>651</v>
      </c>
      <c r="C57" s="799">
        <f ca="1">ROUND(C58+C63+C64+C65,0)</f>
        <v>0</v>
      </c>
      <c r="D57" s="26" t="s">
        <v>1751</v>
      </c>
      <c r="E57" s="2641"/>
      <c r="F57" s="56"/>
      <c r="I57" s="3170" t="s">
        <v>2361</v>
      </c>
      <c r="J57" s="3171">
        <f ca="1">IF(OR(M47="住宅",J51&lt;L48,J56="是"),"——",J51-L48)</f>
        <v>0</v>
      </c>
      <c r="K57" s="3128" t="s">
        <v>2366</v>
      </c>
      <c r="L57" s="1909">
        <f ca="1">IF(L48&lt;J51,"——",IF(L55="比较法",L49,IF(L55="基准地价",L50,L51)))</f>
        <v>0</v>
      </c>
      <c r="O57" s="2399" t="s">
        <v>2382</v>
      </c>
      <c r="P57" s="2400" t="s">
        <v>2412</v>
      </c>
      <c r="Q57" s="2401" t="e">
        <f ca="1">C40+J29</f>
        <v>#DIV/0!</v>
      </c>
      <c r="R57" s="2400" t="s">
        <v>2383</v>
      </c>
    </row>
    <row r="58" spans="1:18" s="2060" customFormat="1" ht="28.5" customHeight="1" thickBot="1">
      <c r="A58" s="1649" t="s">
        <v>1825</v>
      </c>
      <c r="B58" s="784" t="s">
        <v>656</v>
      </c>
      <c r="C58" s="53">
        <f ca="1">ROUND(IF(项目基本情况!B11="自然人",C47*F58,C59+C60+C61),1)</f>
        <v>0</v>
      </c>
      <c r="D58" s="2639" t="s">
        <v>657</v>
      </c>
      <c r="E58" s="2640" t="s">
        <v>690</v>
      </c>
      <c r="F58" s="810">
        <f ca="1">IF(项目基本情况!B11="企业","",IF(INDIRECT("'数据-取费表'!c"&amp;$G$1)="住宅",5%,IF(F48*F49*F50/12/(1+'数据-取费表'!C42)&gt;20000,12%,7%)))</f>
        <v>7.0000000000000007E-2</v>
      </c>
      <c r="I58" s="3170" t="s">
        <v>2362</v>
      </c>
      <c r="J58" s="3104" t="e">
        <f ca="1">IF(J55&lt;0.4,0.4,J55)</f>
        <v>#DIV/0!</v>
      </c>
      <c r="K58" s="3128"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2" t="s">
        <v>2364</v>
      </c>
      <c r="J60" s="3173" t="e">
        <f ca="1">IF(OR(M47="住宅",J51&lt;L48,J56="是"),"0",ROUND(J59/(1+J52)^J53,0))</f>
        <v>#DIV/0!</v>
      </c>
      <c r="K60" s="3174" t="s">
        <v>2369</v>
      </c>
      <c r="L60" s="3173"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0</v>
      </c>
      <c r="D61" s="814" t="s">
        <v>669</v>
      </c>
      <c r="E61" s="784" t="s">
        <v>670</v>
      </c>
      <c r="F61" s="640">
        <f t="shared" si="0"/>
        <v>1.5</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0</v>
      </c>
      <c r="I62" s="3175" t="s">
        <v>2370</v>
      </c>
      <c r="J62" s="3176" t="s">
        <v>2371</v>
      </c>
      <c r="K62" s="3176" t="s">
        <v>2372</v>
      </c>
      <c r="L62" s="3176" t="s">
        <v>2353</v>
      </c>
      <c r="M62" s="3177" t="s">
        <v>2946</v>
      </c>
      <c r="O62" s="2402" t="s">
        <v>2391</v>
      </c>
      <c r="P62" s="2400" t="str">
        <f>K59</f>
        <v>建筑物剩余耐用年限下的土地年期修正系数Kn</v>
      </c>
      <c r="Q62" s="2401" t="e">
        <f ca="1">L59</f>
        <v>#DIV/0!</v>
      </c>
      <c r="R62" s="2404" t="s">
        <v>2400</v>
      </c>
    </row>
    <row r="63" spans="1:18" s="2060" customFormat="1" ht="15.75" thickBot="1">
      <c r="A63" s="1649" t="s">
        <v>1890</v>
      </c>
      <c r="B63" s="784" t="s">
        <v>676</v>
      </c>
      <c r="C63" s="53">
        <f ca="1">ROUND(C56*F63,1)</f>
        <v>0</v>
      </c>
      <c r="D63" s="2640" t="s">
        <v>1804</v>
      </c>
      <c r="E63" s="784" t="s">
        <v>1748</v>
      </c>
      <c r="F63" s="817">
        <f t="shared" ca="1" si="0"/>
        <v>0</v>
      </c>
      <c r="I63" s="3175" t="s">
        <v>2373</v>
      </c>
      <c r="J63" s="3176">
        <v>70</v>
      </c>
      <c r="K63" s="3176">
        <v>50</v>
      </c>
      <c r="L63" s="3176">
        <v>80</v>
      </c>
      <c r="M63" s="3178">
        <v>0.02</v>
      </c>
      <c r="O63" s="2399" t="s">
        <v>2394</v>
      </c>
      <c r="P63" s="2400" t="s">
        <v>2411</v>
      </c>
      <c r="Q63" s="2401" t="e">
        <f ca="1">Q57+Q58</f>
        <v>#DIV/0!</v>
      </c>
      <c r="R63" s="2404" t="s">
        <v>2395</v>
      </c>
    </row>
    <row r="64" spans="1:18" s="2060" customFormat="1" ht="16.5" thickBot="1">
      <c r="A64" s="1649" t="s">
        <v>1891</v>
      </c>
      <c r="B64" s="784" t="s">
        <v>679</v>
      </c>
      <c r="C64" s="53">
        <f ca="1">ROUND(C55*F64,1)</f>
        <v>0</v>
      </c>
      <c r="D64" s="2640" t="s">
        <v>680</v>
      </c>
      <c r="E64" s="784" t="s">
        <v>1748</v>
      </c>
      <c r="F64" s="818">
        <f t="shared" ca="1" si="0"/>
        <v>0</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2824</v>
      </c>
      <c r="C66" s="799">
        <f ca="1">C47-C57</f>
        <v>0</v>
      </c>
      <c r="D66" s="2639" t="s">
        <v>700</v>
      </c>
      <c r="E66" s="2638"/>
      <c r="F66" s="820"/>
      <c r="K66" s="2087"/>
      <c r="O66" s="2399" t="s">
        <v>2382</v>
      </c>
      <c r="P66" s="2400" t="s">
        <v>2412</v>
      </c>
      <c r="Q66" s="2401" t="e">
        <f ca="1">C40+J29</f>
        <v>#DIV/0!</v>
      </c>
      <c r="R66" s="2400" t="s">
        <v>2383</v>
      </c>
    </row>
    <row r="67" spans="1:18" s="2060" customFormat="1" ht="20.25" thickBot="1">
      <c r="A67" s="781" t="s">
        <v>1781</v>
      </c>
      <c r="B67" s="2233" t="s">
        <v>2304</v>
      </c>
      <c r="C67" s="783" t="e">
        <f ca="1">ROUND(C66*(1-((1+F69)/(1+F67))^F68)/(F67-F69),0)</f>
        <v>#DIV/0!</v>
      </c>
      <c r="D67" s="814" t="s">
        <v>704</v>
      </c>
      <c r="E67" s="784" t="s">
        <v>705</v>
      </c>
      <c r="F67" s="794">
        <f ca="1">F40</f>
        <v>0</v>
      </c>
      <c r="K67" s="2087"/>
      <c r="O67" s="2399" t="s">
        <v>2384</v>
      </c>
      <c r="P67" s="2400" t="s">
        <v>2415</v>
      </c>
      <c r="Q67" s="2401" t="e">
        <f ca="1">L60</f>
        <v>#DIV/0!</v>
      </c>
      <c r="R67" s="2404" t="s">
        <v>2417</v>
      </c>
    </row>
    <row r="68" spans="1:18" ht="21.75" thickBot="1">
      <c r="A68" s="786"/>
      <c r="B68" s="787"/>
      <c r="C68" s="788"/>
      <c r="D68" s="821" t="s">
        <v>1809</v>
      </c>
      <c r="E68" s="784" t="s">
        <v>1785</v>
      </c>
      <c r="F68" s="822">
        <f ca="1">F41</f>
        <v>0</v>
      </c>
      <c r="O68" s="2402" t="s">
        <v>2386</v>
      </c>
      <c r="P68" s="2400" t="s">
        <v>2416</v>
      </c>
      <c r="Q68" s="2406">
        <f ca="1">L51</f>
        <v>0</v>
      </c>
      <c r="R68" s="2407" t="s">
        <v>2419</v>
      </c>
    </row>
    <row r="69" spans="1:18" ht="20.25" thickBot="1">
      <c r="A69" s="790"/>
      <c r="B69" s="791"/>
      <c r="C69" s="792"/>
      <c r="D69" s="816"/>
      <c r="E69" s="784" t="s">
        <v>710</v>
      </c>
      <c r="F69" s="2372"/>
      <c r="O69" s="2402" t="s">
        <v>2387</v>
      </c>
      <c r="P69" s="2408" t="s">
        <v>2401</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2402</v>
      </c>
      <c r="P70" s="2408" t="s">
        <v>2403</v>
      </c>
      <c r="Q70" s="2401">
        <f ca="1">C39</f>
        <v>0</v>
      </c>
      <c r="R70" s="2400" t="s">
        <v>2383</v>
      </c>
    </row>
    <row r="71" spans="1:18" ht="15.75" thickBot="1">
      <c r="O71" s="2402" t="s">
        <v>2404</v>
      </c>
      <c r="P71" s="2408" t="s">
        <v>2405</v>
      </c>
      <c r="Q71" s="2401">
        <f ca="1">C13</f>
        <v>0</v>
      </c>
      <c r="R71" s="2400" t="s">
        <v>2383</v>
      </c>
    </row>
    <row r="72" spans="1:18" ht="15.75" thickBot="1">
      <c r="O72" s="2402" t="s">
        <v>2406</v>
      </c>
      <c r="P72" s="2408" t="s">
        <v>2407</v>
      </c>
      <c r="Q72" s="2403">
        <f ca="1">J36</f>
        <v>0</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建筑物剩余耐用年限下的土地年期修正系数Kn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04" t="s">
        <v>2474</v>
      </c>
      <c r="B1" s="3505"/>
      <c r="C1" s="3506"/>
      <c r="D1" s="3507">
        <f>SUM(I10,I15,I20,I21,I23)</f>
        <v>0</v>
      </c>
      <c r="E1" s="3507"/>
      <c r="F1" s="3507"/>
      <c r="G1" s="3507"/>
      <c r="H1" s="3507"/>
      <c r="I1" s="3508"/>
    </row>
    <row r="2" spans="1:9">
      <c r="A2" s="3494" t="s">
        <v>2475</v>
      </c>
      <c r="B2" s="3495" t="s">
        <v>2476</v>
      </c>
      <c r="C2" s="3495"/>
      <c r="D2" s="2508" t="s">
        <v>2477</v>
      </c>
      <c r="E2" s="2508" t="s">
        <v>2478</v>
      </c>
      <c r="F2" s="2508" t="s">
        <v>2479</v>
      </c>
      <c r="G2" s="2508" t="s">
        <v>2480</v>
      </c>
      <c r="H2" s="2508" t="s">
        <v>2481</v>
      </c>
      <c r="I2" s="2509" t="s">
        <v>2482</v>
      </c>
    </row>
    <row r="3" spans="1:9">
      <c r="A3" s="3494"/>
      <c r="B3" s="3495" t="s">
        <v>2483</v>
      </c>
      <c r="C3" s="3495"/>
      <c r="D3" s="2510"/>
      <c r="E3" s="2508"/>
      <c r="F3" s="2511"/>
      <c r="G3" s="2511"/>
      <c r="H3" s="2512"/>
      <c r="I3" s="2513">
        <f>ROUND(D3*E3*F3*G3*H3/10000,0)</f>
        <v>0</v>
      </c>
    </row>
    <row r="4" spans="1:9">
      <c r="A4" s="3494"/>
      <c r="B4" s="3495" t="s">
        <v>2484</v>
      </c>
      <c r="C4" s="3495"/>
      <c r="D4" s="2510"/>
      <c r="E4" s="2508"/>
      <c r="F4" s="2511"/>
      <c r="G4" s="2511"/>
      <c r="H4" s="2512"/>
      <c r="I4" s="2513">
        <f t="shared" ref="I4:I9" si="0">ROUND(D4*E4*F4*G4*H4/10000,0)</f>
        <v>0</v>
      </c>
    </row>
    <row r="5" spans="1:9">
      <c r="A5" s="3494"/>
      <c r="B5" s="3495" t="s">
        <v>2485</v>
      </c>
      <c r="C5" s="3495"/>
      <c r="D5" s="2510"/>
      <c r="E5" s="2508"/>
      <c r="F5" s="2511"/>
      <c r="G5" s="2511"/>
      <c r="H5" s="2512"/>
      <c r="I5" s="2513">
        <f t="shared" si="0"/>
        <v>0</v>
      </c>
    </row>
    <row r="6" spans="1:9">
      <c r="A6" s="3494"/>
      <c r="B6" s="3495" t="s">
        <v>2486</v>
      </c>
      <c r="C6" s="3495"/>
      <c r="D6" s="2510"/>
      <c r="E6" s="2508"/>
      <c r="F6" s="2511"/>
      <c r="G6" s="2511"/>
      <c r="H6" s="2512"/>
      <c r="I6" s="2513">
        <f t="shared" si="0"/>
        <v>0</v>
      </c>
    </row>
    <row r="7" spans="1:9">
      <c r="A7" s="3494"/>
      <c r="B7" s="3495" t="s">
        <v>2487</v>
      </c>
      <c r="C7" s="3495"/>
      <c r="D7" s="2510"/>
      <c r="E7" s="2508"/>
      <c r="F7" s="2511"/>
      <c r="G7" s="2511"/>
      <c r="H7" s="2512"/>
      <c r="I7" s="2513">
        <f t="shared" si="0"/>
        <v>0</v>
      </c>
    </row>
    <row r="8" spans="1:9">
      <c r="A8" s="3494"/>
      <c r="B8" s="3495" t="s">
        <v>2488</v>
      </c>
      <c r="C8" s="3495"/>
      <c r="D8" s="2510"/>
      <c r="E8" s="2508"/>
      <c r="F8" s="2511"/>
      <c r="G8" s="2511"/>
      <c r="H8" s="2512"/>
      <c r="I8" s="2513">
        <f t="shared" si="0"/>
        <v>0</v>
      </c>
    </row>
    <row r="9" spans="1:9">
      <c r="A9" s="3494"/>
      <c r="B9" s="3495" t="s">
        <v>2489</v>
      </c>
      <c r="C9" s="3495"/>
      <c r="D9" s="2510"/>
      <c r="E9" s="2508"/>
      <c r="F9" s="2511"/>
      <c r="G9" s="2511"/>
      <c r="H9" s="2512"/>
      <c r="I9" s="2513">
        <f t="shared" si="0"/>
        <v>0</v>
      </c>
    </row>
    <row r="10" spans="1:9">
      <c r="A10" s="3494"/>
      <c r="B10" s="3496" t="s">
        <v>2490</v>
      </c>
      <c r="C10" s="3496"/>
      <c r="D10" s="2514">
        <v>527</v>
      </c>
      <c r="E10" s="2514" t="e">
        <f>ROUND(D1*10000/D10/H9,0)</f>
        <v>#DIV/0!</v>
      </c>
      <c r="F10" s="2515"/>
      <c r="G10" s="2515"/>
      <c r="H10" s="2516"/>
      <c r="I10" s="2517">
        <f>SUM(I3:I9)</f>
        <v>0</v>
      </c>
    </row>
    <row r="11" spans="1:9" ht="14.25">
      <c r="A11" s="3494" t="s">
        <v>2491</v>
      </c>
      <c r="B11" s="3495" t="s">
        <v>2492</v>
      </c>
      <c r="C11" s="3495"/>
      <c r="D11" s="2510" t="s">
        <v>2493</v>
      </c>
      <c r="E11" s="2510" t="s">
        <v>2494</v>
      </c>
      <c r="F11" s="2511" t="s">
        <v>2495</v>
      </c>
      <c r="G11" s="2511" t="s">
        <v>2496</v>
      </c>
      <c r="H11" s="2518" t="s">
        <v>2497</v>
      </c>
      <c r="I11" s="2509" t="s">
        <v>2498</v>
      </c>
    </row>
    <row r="12" spans="1:9">
      <c r="A12" s="3494"/>
      <c r="B12" s="3495" t="s">
        <v>2499</v>
      </c>
      <c r="C12" s="3495"/>
      <c r="D12" s="2510"/>
      <c r="E12" s="2510"/>
      <c r="F12" s="2511"/>
      <c r="G12" s="2512"/>
      <c r="H12" s="2519"/>
      <c r="I12" s="2509">
        <f>ROUND(D12*E12*F12*G12/10000,0)</f>
        <v>0</v>
      </c>
    </row>
    <row r="13" spans="1:9">
      <c r="A13" s="3494"/>
      <c r="B13" s="3495" t="s">
        <v>2500</v>
      </c>
      <c r="C13" s="3495"/>
      <c r="D13" s="2510"/>
      <c r="E13" s="2510"/>
      <c r="F13" s="2511"/>
      <c r="G13" s="2512"/>
      <c r="H13" s="2519"/>
      <c r="I13" s="2509">
        <f>ROUND(D13*E13*F13*G13/10000,0)</f>
        <v>0</v>
      </c>
    </row>
    <row r="14" spans="1:9">
      <c r="A14" s="3494"/>
      <c r="B14" s="3495" t="s">
        <v>2501</v>
      </c>
      <c r="C14" s="3495"/>
      <c r="D14" s="2510"/>
      <c r="E14" s="2510"/>
      <c r="F14" s="2511"/>
      <c r="G14" s="2512"/>
      <c r="H14" s="2519"/>
      <c r="I14" s="2509">
        <f>ROUND(D14*E14*F14*G14/10000,0)</f>
        <v>0</v>
      </c>
    </row>
    <row r="15" spans="1:9">
      <c r="A15" s="3494"/>
      <c r="B15" s="3496" t="s">
        <v>2490</v>
      </c>
      <c r="C15" s="3496"/>
      <c r="D15" s="2514"/>
      <c r="E15" s="2514">
        <f>SUM(E12:E14)</f>
        <v>0</v>
      </c>
      <c r="F15" s="2515"/>
      <c r="G15" s="2512"/>
      <c r="H15" s="2519"/>
      <c r="I15" s="2520">
        <f>SUM(I12:I14)</f>
        <v>0</v>
      </c>
    </row>
    <row r="16" spans="1:9" ht="24">
      <c r="A16" s="3494" t="s">
        <v>2502</v>
      </c>
      <c r="B16" s="3495" t="s">
        <v>2503</v>
      </c>
      <c r="C16" s="3495"/>
      <c r="D16" s="2510" t="s">
        <v>2504</v>
      </c>
      <c r="E16" s="2521" t="s">
        <v>2505</v>
      </c>
      <c r="F16" s="2511" t="s">
        <v>2506</v>
      </c>
      <c r="G16" s="2512" t="s">
        <v>2496</v>
      </c>
      <c r="H16" s="2518" t="s">
        <v>2497</v>
      </c>
      <c r="I16" s="2509" t="s">
        <v>2498</v>
      </c>
    </row>
    <row r="17" spans="1:9" ht="14.25">
      <c r="A17" s="3494"/>
      <c r="B17" s="3495" t="s">
        <v>2507</v>
      </c>
      <c r="C17" s="3495"/>
      <c r="D17" s="2510"/>
      <c r="E17" s="2510"/>
      <c r="F17" s="2511"/>
      <c r="G17" s="2512"/>
      <c r="H17" s="2522"/>
      <c r="I17" s="2523">
        <f>ROUND(D17*E17*F17*G17/10000,0)</f>
        <v>0</v>
      </c>
    </row>
    <row r="18" spans="1:9" ht="14.25">
      <c r="A18" s="3494"/>
      <c r="B18" s="3495" t="s">
        <v>2508</v>
      </c>
      <c r="C18" s="3495"/>
      <c r="D18" s="2510"/>
      <c r="E18" s="2510"/>
      <c r="F18" s="2511"/>
      <c r="G18" s="2512"/>
      <c r="H18" s="2522"/>
      <c r="I18" s="2523">
        <f>ROUND(D18*E18*F18*G18/10000,0)</f>
        <v>0</v>
      </c>
    </row>
    <row r="19" spans="1:9" ht="14.25">
      <c r="A19" s="3494"/>
      <c r="B19" s="3495" t="s">
        <v>2509</v>
      </c>
      <c r="C19" s="3495"/>
      <c r="D19" s="2510"/>
      <c r="E19" s="2510"/>
      <c r="F19" s="2511"/>
      <c r="G19" s="2512"/>
      <c r="H19" s="2522"/>
      <c r="I19" s="2523">
        <f>ROUND(D19*E19*F19*G19/10000,0)</f>
        <v>0</v>
      </c>
    </row>
    <row r="20" spans="1:9">
      <c r="A20" s="3494"/>
      <c r="B20" s="3496" t="s">
        <v>2490</v>
      </c>
      <c r="C20" s="3496"/>
      <c r="D20" s="2514">
        <f>SUM(D17:D19)</f>
        <v>0</v>
      </c>
      <c r="E20" s="2514"/>
      <c r="F20" s="2515"/>
      <c r="G20" s="2512"/>
      <c r="H20" s="2519"/>
      <c r="I20" s="2520">
        <f>SUM(I17:I19)</f>
        <v>0</v>
      </c>
    </row>
    <row r="21" spans="1:9">
      <c r="A21" s="3494" t="s">
        <v>2510</v>
      </c>
      <c r="B21" s="3497"/>
      <c r="C21" s="3497"/>
      <c r="D21" s="3497"/>
      <c r="E21" s="3497"/>
      <c r="F21" s="3497"/>
      <c r="G21" s="3497"/>
      <c r="H21" s="2524">
        <v>0.1</v>
      </c>
      <c r="I21" s="2517">
        <f>ROUND(I10*H21,0)</f>
        <v>0</v>
      </c>
    </row>
    <row r="22" spans="1:9" ht="14.25">
      <c r="A22" s="3498" t="s">
        <v>2511</v>
      </c>
      <c r="B22" s="3499"/>
      <c r="C22" s="3500"/>
      <c r="D22" s="2525" t="s">
        <v>2512</v>
      </c>
      <c r="E22" s="2525" t="s">
        <v>2513</v>
      </c>
      <c r="F22" s="2526" t="s">
        <v>2514</v>
      </c>
      <c r="G22" s="2526" t="s">
        <v>2515</v>
      </c>
      <c r="H22" s="2518" t="s">
        <v>2516</v>
      </c>
      <c r="I22" s="2509" t="s">
        <v>2517</v>
      </c>
    </row>
    <row r="23" spans="1:9" ht="14.25" thickBot="1">
      <c r="A23" s="3501"/>
      <c r="B23" s="3502"/>
      <c r="C23" s="3503"/>
      <c r="D23" s="2527"/>
      <c r="E23" s="2527"/>
      <c r="F23" s="2527"/>
      <c r="G23" s="2528"/>
      <c r="H23" s="2529"/>
      <c r="I23" s="2530">
        <f>ROUND(E23*D23*F23*(1-G23)/10000,0)</f>
        <v>0</v>
      </c>
    </row>
    <row r="26" spans="1:9">
      <c r="A26" s="2531" t="s">
        <v>2518</v>
      </c>
      <c r="B26" s="2531"/>
      <c r="C26" s="2531"/>
      <c r="D26" s="2531"/>
      <c r="E26" s="3491">
        <f>C27-C30-C31-C32</f>
        <v>0</v>
      </c>
      <c r="F26" s="3491"/>
      <c r="G26" s="3491"/>
      <c r="H26" s="3045" t="s">
        <v>2845</v>
      </c>
    </row>
    <row r="27" spans="1:9">
      <c r="A27" s="2532">
        <v>1</v>
      </c>
      <c r="B27" s="2533" t="s">
        <v>2519</v>
      </c>
      <c r="C27" s="2533"/>
      <c r="D27" s="2533"/>
      <c r="E27" s="3492"/>
      <c r="F27" s="3492"/>
      <c r="G27" s="3492"/>
    </row>
    <row r="28" spans="1:9">
      <c r="A28" s="2534" t="s">
        <v>2520</v>
      </c>
      <c r="B28" s="2533" t="s">
        <v>2521</v>
      </c>
      <c r="C28" s="2533"/>
      <c r="D28" s="2533"/>
      <c r="E28" s="3492"/>
      <c r="F28" s="3492"/>
      <c r="G28" s="3492"/>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93"/>
      <c r="F32" s="3493"/>
      <c r="G32" s="3493"/>
    </row>
    <row r="33" spans="1:7" hidden="1">
      <c r="A33" s="3488" t="s">
        <v>2529</v>
      </c>
      <c r="B33" s="3489"/>
      <c r="C33" s="3489"/>
      <c r="D33" s="3490"/>
      <c r="E33" s="3491"/>
      <c r="F33" s="3491"/>
      <c r="G33" s="3491"/>
    </row>
    <row r="34" spans="1:7" hidden="1">
      <c r="A34" s="2536">
        <v>1</v>
      </c>
      <c r="B34" s="2533" t="s">
        <v>2530</v>
      </c>
      <c r="C34" s="2533"/>
      <c r="D34" s="2533"/>
      <c r="E34" s="3492"/>
      <c r="F34" s="3492"/>
      <c r="G34" s="3492"/>
    </row>
    <row r="35" spans="1:7" hidden="1">
      <c r="A35" s="2536">
        <v>2</v>
      </c>
      <c r="B35" s="2533" t="s">
        <v>2531</v>
      </c>
      <c r="C35" s="2533"/>
      <c r="D35" s="2533"/>
      <c r="E35" s="3492"/>
      <c r="F35" s="3492"/>
      <c r="G35" s="3492"/>
    </row>
    <row r="36" spans="1:7" hidden="1">
      <c r="A36" s="2536">
        <v>3</v>
      </c>
      <c r="B36" s="2533" t="s">
        <v>2532</v>
      </c>
      <c r="C36" s="2533"/>
      <c r="D36" s="2533"/>
      <c r="E36" s="3492"/>
      <c r="F36" s="3492"/>
      <c r="G36" s="3492"/>
    </row>
    <row r="37" spans="1:7" hidden="1">
      <c r="A37" s="2536">
        <v>4</v>
      </c>
      <c r="B37" s="2533" t="s">
        <v>2533</v>
      </c>
      <c r="C37" s="2533"/>
      <c r="D37" s="2533"/>
      <c r="E37" s="3492"/>
      <c r="F37" s="3492"/>
      <c r="G37" s="3492"/>
    </row>
    <row r="38" spans="1:7" hidden="1">
      <c r="A38" s="3488" t="s">
        <v>2534</v>
      </c>
      <c r="B38" s="3489"/>
      <c r="C38" s="3489"/>
      <c r="D38" s="3490"/>
      <c r="E38" s="3491"/>
      <c r="F38" s="3491"/>
      <c r="G38" s="34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I39" sqref="I39"/>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27719.55</v>
      </c>
      <c r="E10" s="749">
        <f>'数据-取费表'!B31</f>
        <v>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160</v>
      </c>
      <c r="D12" s="758">
        <f>'数据-汇总表'!E5</f>
        <v>10000</v>
      </c>
      <c r="E12" s="757">
        <f>'数据-取费表'!B27</f>
        <v>160</v>
      </c>
      <c r="F12" s="755"/>
      <c r="G12" s="759"/>
    </row>
    <row r="13" spans="1:25" s="2184" customFormat="1" ht="13.5" customHeight="1">
      <c r="A13" s="2477" t="s">
        <v>2450</v>
      </c>
      <c r="B13" s="756" t="s">
        <v>612</v>
      </c>
      <c r="C13" s="757">
        <f>ROUND(D13*E13/10000,0)</f>
        <v>354</v>
      </c>
      <c r="D13" s="758">
        <f>'数据-汇总表'!E6</f>
        <v>17719.55</v>
      </c>
      <c r="E13" s="757">
        <f>'数据-取费表'!B28</f>
        <v>200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0.14000000000000001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0.88</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0" zoomScale="80" zoomScaleNormal="80" workbookViewId="0">
      <selection activeCell="I38" sqref="I3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63377.7</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34" t="s">
        <v>522</v>
      </c>
      <c r="D4" s="3435"/>
      <c r="E4" s="3458" t="s">
        <v>523</v>
      </c>
      <c r="F4" s="3459"/>
      <c r="G4" s="3434" t="s">
        <v>524</v>
      </c>
      <c r="H4" s="3435"/>
      <c r="I4" s="3434" t="s">
        <v>525</v>
      </c>
      <c r="J4" s="3435"/>
      <c r="K4" s="853" t="s">
        <v>526</v>
      </c>
      <c r="L4" s="2134"/>
      <c r="M4" s="2135"/>
      <c r="N4" s="2135"/>
      <c r="O4" s="2135"/>
      <c r="P4" s="3436" t="s">
        <v>527</v>
      </c>
      <c r="Q4" s="3437"/>
      <c r="R4" s="3422" t="s">
        <v>523</v>
      </c>
      <c r="S4" s="3423"/>
      <c r="T4" s="3422" t="s">
        <v>524</v>
      </c>
      <c r="U4" s="3423"/>
      <c r="V4" s="3442" t="s">
        <v>525</v>
      </c>
      <c r="W4" s="3442"/>
      <c r="X4" s="1567"/>
      <c r="Y4" s="3422" t="s">
        <v>527</v>
      </c>
      <c r="Z4" s="3423"/>
      <c r="AA4" s="3417" t="s">
        <v>523</v>
      </c>
      <c r="AB4" s="3417" t="s">
        <v>524</v>
      </c>
      <c r="AC4" s="3417" t="s">
        <v>525</v>
      </c>
    </row>
    <row r="5" spans="1:29" ht="15">
      <c r="A5" s="515"/>
      <c r="B5" s="516"/>
      <c r="C5" s="3510" t="s">
        <v>3078</v>
      </c>
      <c r="D5" s="3446"/>
      <c r="E5" s="3509" t="s">
        <v>3076</v>
      </c>
      <c r="F5" s="3461"/>
      <c r="G5" s="3510" t="s">
        <v>3119</v>
      </c>
      <c r="H5" s="3446"/>
      <c r="I5" s="3510" t="s">
        <v>3122</v>
      </c>
      <c r="J5" s="3446"/>
      <c r="K5" s="854"/>
      <c r="L5" s="2134"/>
      <c r="M5" s="2135"/>
      <c r="N5" s="2135"/>
      <c r="O5" s="2135"/>
      <c r="P5" s="3438"/>
      <c r="Q5" s="3439"/>
      <c r="R5" s="3424"/>
      <c r="S5" s="3425"/>
      <c r="T5" s="3424"/>
      <c r="U5" s="3425"/>
      <c r="V5" s="3442"/>
      <c r="W5" s="3442"/>
      <c r="X5" s="1567"/>
      <c r="Y5" s="3424"/>
      <c r="Z5" s="3425"/>
      <c r="AA5" s="3418"/>
      <c r="AB5" s="3418"/>
      <c r="AC5" s="3418"/>
    </row>
    <row r="6" spans="1:29" ht="15.75" thickBot="1">
      <c r="A6" s="517"/>
      <c r="B6" s="518"/>
      <c r="C6" s="3511" t="s">
        <v>3050</v>
      </c>
      <c r="D6" s="3444"/>
      <c r="E6" s="3512" t="s">
        <v>3077</v>
      </c>
      <c r="F6" s="3463"/>
      <c r="G6" s="3511" t="s">
        <v>3120</v>
      </c>
      <c r="H6" s="3444"/>
      <c r="I6" s="3511" t="s">
        <v>3123</v>
      </c>
      <c r="J6" s="3444"/>
      <c r="K6" s="854" t="s">
        <v>528</v>
      </c>
      <c r="L6" s="2134"/>
      <c r="M6" s="2135"/>
      <c r="N6" s="2135"/>
      <c r="O6" s="2135"/>
      <c r="P6" s="3440"/>
      <c r="Q6" s="3441"/>
      <c r="R6" s="3424"/>
      <c r="S6" s="3425"/>
      <c r="T6" s="3426"/>
      <c r="U6" s="3427"/>
      <c r="V6" s="3442"/>
      <c r="W6" s="3442"/>
      <c r="X6" s="1567"/>
      <c r="Y6" s="3426"/>
      <c r="Z6" s="3427"/>
      <c r="AA6" s="3419"/>
      <c r="AB6" s="3419"/>
      <c r="AC6" s="3419"/>
    </row>
    <row r="7" spans="1:29" s="1220" customFormat="1" ht="15.75" thickBot="1">
      <c r="A7" s="2913"/>
      <c r="B7" s="2920" t="s">
        <v>529</v>
      </c>
      <c r="C7" s="519">
        <f>'数据-取费表'!B2</f>
        <v>43273</v>
      </c>
      <c r="D7" s="520">
        <v>100</v>
      </c>
      <c r="E7" s="521">
        <v>43223</v>
      </c>
      <c r="F7" s="522">
        <f>SUMIF(58:58,YEAR(E7)&amp;"-"&amp;MONTH(E7),59:59)</f>
        <v>100</v>
      </c>
      <c r="G7" s="523">
        <v>43249</v>
      </c>
      <c r="H7" s="520">
        <f>SUMIF(58:58,YEAR(G7)&amp;"-"&amp;MONTH(G7),59:59)</f>
        <v>100</v>
      </c>
      <c r="I7" s="523">
        <v>43250</v>
      </c>
      <c r="J7" s="520">
        <f>SUMIF(58:58,YEAR(I7)&amp;"-"&amp;MONTH(I7),59:59)</f>
        <v>100</v>
      </c>
      <c r="K7" s="855"/>
      <c r="L7" s="2136"/>
      <c r="M7" s="2137"/>
      <c r="N7" s="2137"/>
      <c r="O7" s="2137"/>
      <c r="P7" s="3420" t="s">
        <v>530</v>
      </c>
      <c r="Q7" s="3429"/>
      <c r="R7" s="1568" t="s">
        <v>13</v>
      </c>
      <c r="S7" s="1569">
        <f t="shared" ref="S7:S15" si="0">F7</f>
        <v>100</v>
      </c>
      <c r="T7" s="1568" t="s">
        <v>13</v>
      </c>
      <c r="U7" s="1569">
        <f t="shared" ref="U7:U15" si="1">H7</f>
        <v>100</v>
      </c>
      <c r="V7" s="1568" t="s">
        <v>13</v>
      </c>
      <c r="W7" s="1569">
        <f t="shared" ref="W7:W15" si="2">J7</f>
        <v>100</v>
      </c>
      <c r="X7" s="1570"/>
      <c r="Y7" s="3420" t="s">
        <v>530</v>
      </c>
      <c r="Z7" s="3421"/>
      <c r="AA7" s="1571">
        <f>D7/F7</f>
        <v>1</v>
      </c>
      <c r="AB7" s="1571">
        <f>D7/H7</f>
        <v>1</v>
      </c>
      <c r="AC7" s="1571">
        <f>D7/J7</f>
        <v>1</v>
      </c>
    </row>
    <row r="8" spans="1:29" s="1220" customFormat="1" ht="15.75" thickBot="1">
      <c r="A8" s="2914"/>
      <c r="B8" s="2921" t="s">
        <v>531</v>
      </c>
      <c r="C8" s="525" t="s">
        <v>576</v>
      </c>
      <c r="D8" s="520">
        <v>100</v>
      </c>
      <c r="E8" s="856" t="s">
        <v>3068</v>
      </c>
      <c r="F8" s="522">
        <f>SUMIF(61:61,E8,62:62)-SUMIF(61:61,C8,62:62)+100</f>
        <v>100</v>
      </c>
      <c r="G8" s="525" t="s">
        <v>3068</v>
      </c>
      <c r="H8" s="520">
        <f>SUMIF(61:61,G8,62:62)-SUMIF(61:61,C8,62:62)+100</f>
        <v>100</v>
      </c>
      <c r="I8" s="856" t="s">
        <v>3068</v>
      </c>
      <c r="J8" s="520">
        <f>SUMIF(61:61,I8,62:62)-SUMIF(61:61,C8,62:62)+100</f>
        <v>100</v>
      </c>
      <c r="K8" s="855"/>
      <c r="L8" s="2136"/>
      <c r="M8" s="2137"/>
      <c r="N8" s="2137"/>
      <c r="O8" s="2137"/>
      <c r="P8" s="3420" t="s">
        <v>533</v>
      </c>
      <c r="Q8" s="3421"/>
      <c r="R8" s="1568" t="s">
        <v>13</v>
      </c>
      <c r="S8" s="1569">
        <f t="shared" si="0"/>
        <v>100</v>
      </c>
      <c r="T8" s="1568" t="s">
        <v>13</v>
      </c>
      <c r="U8" s="1569">
        <f t="shared" si="1"/>
        <v>100</v>
      </c>
      <c r="V8" s="1568" t="s">
        <v>13</v>
      </c>
      <c r="W8" s="1569">
        <f t="shared" si="2"/>
        <v>100</v>
      </c>
      <c r="X8" s="1570"/>
      <c r="Y8" s="3420" t="s">
        <v>533</v>
      </c>
      <c r="Z8" s="3421"/>
      <c r="AA8" s="1571">
        <f t="shared" ref="AA8:AA46" si="3">D8/F8</f>
        <v>1</v>
      </c>
      <c r="AB8" s="1571">
        <f t="shared" ref="AB8:AB46" si="4">D8/H8</f>
        <v>1</v>
      </c>
      <c r="AC8" s="1571">
        <f t="shared" ref="AC8:AC46" si="5">D8/J8</f>
        <v>1</v>
      </c>
    </row>
    <row r="9" spans="1:29" s="1220" customFormat="1" ht="15">
      <c r="A9" s="2915"/>
      <c r="B9" s="2922" t="s">
        <v>2759</v>
      </c>
      <c r="C9" s="3199" t="s">
        <v>3079</v>
      </c>
      <c r="D9" s="254">
        <v>100</v>
      </c>
      <c r="E9" s="858" t="s">
        <v>3081</v>
      </c>
      <c r="F9" s="859">
        <f>SUMIF(63:63,E9,64:64)-SUMIF(63:63,C9,64:64)+100</f>
        <v>100</v>
      </c>
      <c r="G9" s="860" t="s">
        <v>3081</v>
      </c>
      <c r="H9" s="254">
        <f>SUMIF(63:63,G9,64:64)-SUMIF(63:63,C9,64:64)+100</f>
        <v>100</v>
      </c>
      <c r="I9" s="860" t="s">
        <v>3081</v>
      </c>
      <c r="J9" s="254">
        <f>SUMIF(63:63,I9,64:64)-SUMIF(63:63,C9,64:64)+100</f>
        <v>100</v>
      </c>
      <c r="K9" s="855"/>
      <c r="L9" s="2136"/>
      <c r="M9" s="2137"/>
      <c r="N9" s="2137"/>
      <c r="O9" s="2138"/>
      <c r="P9" s="3428" t="s">
        <v>535</v>
      </c>
      <c r="Q9" s="1151" t="str">
        <f t="shared" ref="Q9:Q15" si="6">B9</f>
        <v>用途</v>
      </c>
      <c r="R9" s="1568" t="s">
        <v>8</v>
      </c>
      <c r="S9" s="1569">
        <f t="shared" si="0"/>
        <v>100</v>
      </c>
      <c r="T9" s="1568" t="s">
        <v>8</v>
      </c>
      <c r="U9" s="1569">
        <f t="shared" si="1"/>
        <v>100</v>
      </c>
      <c r="V9" s="1568" t="s">
        <v>8</v>
      </c>
      <c r="W9" s="1569">
        <f t="shared" si="2"/>
        <v>100</v>
      </c>
      <c r="X9" s="1570"/>
      <c r="Y9" s="3367" t="s">
        <v>536</v>
      </c>
      <c r="Z9" s="1150" t="str">
        <f t="shared" ref="Z9:Z15" si="7">Q9</f>
        <v>用途</v>
      </c>
      <c r="AA9" s="1571">
        <f t="shared" si="3"/>
        <v>1</v>
      </c>
      <c r="AB9" s="1571">
        <f t="shared" si="4"/>
        <v>1</v>
      </c>
      <c r="AC9" s="1571">
        <f t="shared" si="5"/>
        <v>1</v>
      </c>
    </row>
    <row r="10" spans="1:29" s="1338" customFormat="1" ht="27">
      <c r="A10" s="2916"/>
      <c r="B10" s="2921" t="s">
        <v>2760</v>
      </c>
      <c r="C10" s="861" t="s">
        <v>3080</v>
      </c>
      <c r="D10" s="255">
        <v>100</v>
      </c>
      <c r="E10" s="862" t="s">
        <v>3080</v>
      </c>
      <c r="F10" s="863">
        <f>SUMIF(65:65,E10,66:66)-SUMIF(65:65,C10,66:66)+100</f>
        <v>100</v>
      </c>
      <c r="G10" s="861" t="s">
        <v>3080</v>
      </c>
      <c r="H10" s="255">
        <f>SUMIF(65:65,G10,66:66)-SUMIF(65:65,C10,66:66)+100</f>
        <v>100</v>
      </c>
      <c r="I10" s="861" t="s">
        <v>3080</v>
      </c>
      <c r="J10" s="255">
        <f>SUMIF(65:65,I10,66:66)-SUMIF(65:65,C10,66:66)+100</f>
        <v>100</v>
      </c>
      <c r="K10" s="864"/>
      <c r="L10" s="2139"/>
      <c r="M10" s="2179"/>
      <c r="N10" s="2179"/>
      <c r="O10" s="2140"/>
      <c r="P10" s="3428"/>
      <c r="Q10" s="1151" t="str">
        <f t="shared" si="6"/>
        <v>土地使用年限（年）</v>
      </c>
      <c r="R10" s="1568" t="s">
        <v>8</v>
      </c>
      <c r="S10" s="1569">
        <f t="shared" si="0"/>
        <v>100</v>
      </c>
      <c r="T10" s="1568" t="s">
        <v>8</v>
      </c>
      <c r="U10" s="1569">
        <f t="shared" si="1"/>
        <v>100</v>
      </c>
      <c r="V10" s="1568" t="s">
        <v>8</v>
      </c>
      <c r="W10" s="1569">
        <f t="shared" si="2"/>
        <v>100</v>
      </c>
      <c r="X10" s="1570"/>
      <c r="Y10" s="3367"/>
      <c r="Z10" s="1150" t="str">
        <f t="shared" si="7"/>
        <v>土地使用年限（年）</v>
      </c>
      <c r="AA10" s="1571">
        <f t="shared" si="3"/>
        <v>1</v>
      </c>
      <c r="AB10" s="1571">
        <f t="shared" si="4"/>
        <v>1</v>
      </c>
      <c r="AC10" s="1571">
        <f t="shared" si="5"/>
        <v>1</v>
      </c>
    </row>
    <row r="11" spans="1:29" ht="15">
      <c r="A11" s="2917"/>
      <c r="B11" s="2921" t="s">
        <v>2761</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41"/>
      <c r="M11" s="2135"/>
      <c r="N11" s="2135"/>
      <c r="O11" s="2142"/>
      <c r="P11" s="3428"/>
      <c r="Q11" s="1151" t="str">
        <f t="shared" si="6"/>
        <v>容积率</v>
      </c>
      <c r="R11" s="1568" t="s">
        <v>11</v>
      </c>
      <c r="S11" s="1569">
        <f t="shared" si="0"/>
        <v>100</v>
      </c>
      <c r="T11" s="1568" t="s">
        <v>11</v>
      </c>
      <c r="U11" s="1569">
        <f t="shared" si="1"/>
        <v>100</v>
      </c>
      <c r="V11" s="1568" t="s">
        <v>11</v>
      </c>
      <c r="W11" s="1569">
        <f t="shared" si="2"/>
        <v>100</v>
      </c>
      <c r="X11" s="1570"/>
      <c r="Y11" s="3367"/>
      <c r="Z11" s="1150" t="str">
        <f t="shared" si="7"/>
        <v>容积率</v>
      </c>
      <c r="AA11" s="1571">
        <f t="shared" si="3"/>
        <v>1</v>
      </c>
      <c r="AB11" s="1571">
        <f t="shared" si="4"/>
        <v>1</v>
      </c>
      <c r="AC11" s="1571">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28"/>
      <c r="Q12" s="1151">
        <f t="shared" si="6"/>
        <v>111</v>
      </c>
      <c r="R12" s="1568" t="s">
        <v>11</v>
      </c>
      <c r="S12" s="1569">
        <f t="shared" si="0"/>
        <v>100</v>
      </c>
      <c r="T12" s="1568" t="s">
        <v>11</v>
      </c>
      <c r="U12" s="1569">
        <f t="shared" si="1"/>
        <v>100</v>
      </c>
      <c r="V12" s="1568" t="s">
        <v>11</v>
      </c>
      <c r="W12" s="1569">
        <f t="shared" si="2"/>
        <v>100</v>
      </c>
      <c r="X12" s="1570"/>
      <c r="Y12" s="3367"/>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28"/>
      <c r="Q13" s="1151">
        <f t="shared" si="6"/>
        <v>111</v>
      </c>
      <c r="R13" s="1568" t="s">
        <v>11</v>
      </c>
      <c r="S13" s="1569">
        <f t="shared" si="0"/>
        <v>100</v>
      </c>
      <c r="T13" s="1568" t="s">
        <v>11</v>
      </c>
      <c r="U13" s="1569">
        <f t="shared" si="1"/>
        <v>100</v>
      </c>
      <c r="V13" s="1568" t="s">
        <v>11</v>
      </c>
      <c r="W13" s="1569">
        <f t="shared" si="2"/>
        <v>100</v>
      </c>
      <c r="X13" s="1570"/>
      <c r="Y13" s="3367"/>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28"/>
      <c r="Q14" s="1151">
        <f t="shared" si="6"/>
        <v>111</v>
      </c>
      <c r="R14" s="1568" t="s">
        <v>11</v>
      </c>
      <c r="S14" s="1569">
        <f t="shared" si="0"/>
        <v>100</v>
      </c>
      <c r="T14" s="1568" t="s">
        <v>11</v>
      </c>
      <c r="U14" s="1569">
        <f t="shared" si="1"/>
        <v>100</v>
      </c>
      <c r="V14" s="1568" t="s">
        <v>11</v>
      </c>
      <c r="W14" s="1569">
        <f t="shared" si="2"/>
        <v>100</v>
      </c>
      <c r="X14" s="1570"/>
      <c r="Y14" s="3367"/>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30" t="s">
        <v>540</v>
      </c>
      <c r="Q15" s="1572" t="str">
        <f t="shared" si="6"/>
        <v>居住社区成熟度</v>
      </c>
      <c r="R15" s="1573" t="s">
        <v>11</v>
      </c>
      <c r="S15" s="1574">
        <f t="shared" si="0"/>
        <v>100</v>
      </c>
      <c r="T15" s="1573" t="s">
        <v>11</v>
      </c>
      <c r="U15" s="1574">
        <f t="shared" si="1"/>
        <v>100</v>
      </c>
      <c r="V15" s="1573" t="s">
        <v>11</v>
      </c>
      <c r="W15" s="1574">
        <f t="shared" si="2"/>
        <v>100</v>
      </c>
      <c r="X15" s="1567"/>
      <c r="Y15" s="3430" t="s">
        <v>540</v>
      </c>
      <c r="Z15" s="1575" t="str">
        <f t="shared" si="7"/>
        <v>居住社区成熟度</v>
      </c>
      <c r="AA15" s="1576">
        <f t="shared" si="3"/>
        <v>1</v>
      </c>
      <c r="AB15" s="1576">
        <f t="shared" si="4"/>
        <v>1</v>
      </c>
      <c r="AC15" s="1576">
        <f t="shared" si="5"/>
        <v>1</v>
      </c>
    </row>
    <row r="16" spans="1:29" ht="15">
      <c r="A16" s="532"/>
      <c r="B16" s="869"/>
      <c r="C16" s="576" t="s">
        <v>3053</v>
      </c>
      <c r="D16" s="555"/>
      <c r="E16" s="556" t="s">
        <v>3053</v>
      </c>
      <c r="F16" s="557"/>
      <c r="G16" s="558" t="s">
        <v>3053</v>
      </c>
      <c r="H16" s="559"/>
      <c r="I16" s="556" t="s">
        <v>3053</v>
      </c>
      <c r="J16" s="555"/>
      <c r="K16" s="870"/>
      <c r="L16" s="2143"/>
      <c r="M16" s="2135"/>
      <c r="N16" s="2135"/>
      <c r="O16" s="2142"/>
      <c r="P16" s="3431"/>
      <c r="Q16" s="1572"/>
      <c r="R16" s="1573"/>
      <c r="S16" s="1574"/>
      <c r="T16" s="1573"/>
      <c r="U16" s="1574"/>
      <c r="V16" s="1573"/>
      <c r="W16" s="1574"/>
      <c r="X16" s="1567"/>
      <c r="Y16" s="343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31"/>
      <c r="Q17" s="1572" t="str">
        <f>B17</f>
        <v>交通便捷度</v>
      </c>
      <c r="R17" s="1573" t="s">
        <v>11</v>
      </c>
      <c r="S17" s="1574">
        <f>F17</f>
        <v>100</v>
      </c>
      <c r="T17" s="1573" t="s">
        <v>11</v>
      </c>
      <c r="U17" s="1574">
        <f>H17</f>
        <v>100</v>
      </c>
      <c r="V17" s="1573" t="s">
        <v>11</v>
      </c>
      <c r="W17" s="1574">
        <f>J17</f>
        <v>100</v>
      </c>
      <c r="X17" s="1567"/>
      <c r="Y17" s="3431"/>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70"/>
      <c r="L18" s="2143"/>
      <c r="M18" s="2135"/>
      <c r="N18" s="2135"/>
      <c r="O18" s="2142"/>
      <c r="P18" s="3431"/>
      <c r="Q18" s="1572"/>
      <c r="R18" s="1573"/>
      <c r="S18" s="1574"/>
      <c r="T18" s="1573"/>
      <c r="U18" s="1574"/>
      <c r="V18" s="1573"/>
      <c r="W18" s="1574"/>
      <c r="X18" s="1567"/>
      <c r="Y18" s="3431"/>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31"/>
      <c r="Q19" s="1572" t="str">
        <f>B19</f>
        <v>公共配套设施</v>
      </c>
      <c r="R19" s="1573" t="s">
        <v>11</v>
      </c>
      <c r="S19" s="1574">
        <f>F19</f>
        <v>100</v>
      </c>
      <c r="T19" s="1573" t="s">
        <v>11</v>
      </c>
      <c r="U19" s="1574">
        <f>H19</f>
        <v>100</v>
      </c>
      <c r="V19" s="1573" t="s">
        <v>11</v>
      </c>
      <c r="W19" s="1574">
        <f>J19</f>
        <v>100</v>
      </c>
      <c r="X19" s="1567"/>
      <c r="Y19" s="3431"/>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70"/>
      <c r="L20" s="2143"/>
      <c r="M20" s="2135"/>
      <c r="N20" s="2135"/>
      <c r="O20" s="2142"/>
      <c r="P20" s="3431"/>
      <c r="Q20" s="1572"/>
      <c r="R20" s="1573"/>
      <c r="S20" s="1574"/>
      <c r="T20" s="1573"/>
      <c r="U20" s="1574"/>
      <c r="V20" s="1573"/>
      <c r="W20" s="1574"/>
      <c r="X20" s="1567"/>
      <c r="Y20" s="3431"/>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31"/>
      <c r="Q21" s="2580" t="str">
        <f>B21</f>
        <v>基础设施水平</v>
      </c>
      <c r="R21" s="1573" t="s">
        <v>11</v>
      </c>
      <c r="S21" s="1574">
        <f>F21</f>
        <v>100</v>
      </c>
      <c r="T21" s="1573" t="s">
        <v>11</v>
      </c>
      <c r="U21" s="1574">
        <f>H21</f>
        <v>100</v>
      </c>
      <c r="V21" s="1573" t="s">
        <v>11</v>
      </c>
      <c r="W21" s="1574">
        <f>J21</f>
        <v>100</v>
      </c>
      <c r="X21" s="2582"/>
      <c r="Y21" s="3431"/>
      <c r="Z21" s="2581" t="str">
        <f>Q21</f>
        <v>基础设施水平</v>
      </c>
      <c r="AA21" s="1576">
        <f t="shared" ref="AA21" si="8">D21/F21</f>
        <v>1</v>
      </c>
      <c r="AB21" s="1576">
        <f t="shared" ref="AB21" si="9">D21/H21</f>
        <v>1</v>
      </c>
      <c r="AC21" s="1576">
        <f t="shared" ref="AC21" si="10">D21/J21</f>
        <v>1</v>
      </c>
    </row>
    <row r="22" spans="1:29" ht="15">
      <c r="A22" s="532"/>
      <c r="B22" s="922"/>
      <c r="C22" s="873" t="s">
        <v>3055</v>
      </c>
      <c r="D22" s="555"/>
      <c r="E22" s="576" t="s">
        <v>3055</v>
      </c>
      <c r="F22" s="557"/>
      <c r="G22" s="576" t="s">
        <v>3055</v>
      </c>
      <c r="H22" s="555"/>
      <c r="I22" s="576" t="s">
        <v>3055</v>
      </c>
      <c r="J22" s="555"/>
      <c r="K22" s="2600"/>
      <c r="L22" s="2143"/>
      <c r="M22" s="2135"/>
      <c r="N22" s="2135"/>
      <c r="O22" s="2142"/>
      <c r="P22" s="3431"/>
      <c r="Q22" s="2580"/>
      <c r="R22" s="1573"/>
      <c r="S22" s="1574"/>
      <c r="T22" s="1573"/>
      <c r="U22" s="1574"/>
      <c r="V22" s="1573"/>
      <c r="W22" s="1574"/>
      <c r="X22" s="2582"/>
      <c r="Y22" s="3431"/>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31"/>
      <c r="Q23" s="1572" t="str">
        <f>B23</f>
        <v>自然及人文环境</v>
      </c>
      <c r="R23" s="1573" t="s">
        <v>11</v>
      </c>
      <c r="S23" s="1574">
        <f>F23</f>
        <v>100</v>
      </c>
      <c r="T23" s="1573" t="s">
        <v>11</v>
      </c>
      <c r="U23" s="1574">
        <f>H23</f>
        <v>100</v>
      </c>
      <c r="V23" s="1573" t="s">
        <v>11</v>
      </c>
      <c r="W23" s="1574">
        <f>J23</f>
        <v>100</v>
      </c>
      <c r="X23" s="1567"/>
      <c r="Y23" s="3431"/>
      <c r="Z23" s="1575" t="str">
        <f>Q23</f>
        <v>自然及人文环境</v>
      </c>
      <c r="AA23" s="1576">
        <f t="shared" si="3"/>
        <v>1</v>
      </c>
      <c r="AB23" s="1576">
        <f t="shared" si="4"/>
        <v>1</v>
      </c>
      <c r="AC23" s="1576">
        <f t="shared" si="5"/>
        <v>1</v>
      </c>
    </row>
    <row r="24" spans="1:29" ht="15">
      <c r="A24" s="532"/>
      <c r="B24" s="595"/>
      <c r="C24" s="576" t="s">
        <v>3053</v>
      </c>
      <c r="D24" s="555"/>
      <c r="E24" s="556" t="s">
        <v>3053</v>
      </c>
      <c r="F24" s="557"/>
      <c r="G24" s="558" t="s">
        <v>3053</v>
      </c>
      <c r="H24" s="555"/>
      <c r="I24" s="556" t="s">
        <v>3053</v>
      </c>
      <c r="J24" s="555"/>
      <c r="K24" s="870"/>
      <c r="L24" s="2143"/>
      <c r="M24" s="2135"/>
      <c r="N24" s="2135"/>
      <c r="O24" s="2142"/>
      <c r="P24" s="3431"/>
      <c r="Q24" s="1572"/>
      <c r="R24" s="1573"/>
      <c r="S24" s="1574"/>
      <c r="T24" s="1573"/>
      <c r="U24" s="1574"/>
      <c r="V24" s="1573"/>
      <c r="W24" s="1574"/>
      <c r="X24" s="1567"/>
      <c r="Y24" s="3431"/>
      <c r="Z24" s="1575"/>
      <c r="AA24" s="1576">
        <v>1</v>
      </c>
      <c r="AB24" s="1576">
        <v>1</v>
      </c>
      <c r="AC24" s="1576">
        <v>1</v>
      </c>
    </row>
    <row r="25" spans="1:29" ht="15">
      <c r="A25" s="532"/>
      <c r="B25" s="1896" t="s">
        <v>2259</v>
      </c>
      <c r="C25" s="574" t="s">
        <v>3113</v>
      </c>
      <c r="D25" s="540">
        <v>100</v>
      </c>
      <c r="E25" s="874" t="s">
        <v>3112</v>
      </c>
      <c r="F25" s="575">
        <f>SUMIF(86:86,E25,87:87)-SUMIF(86:86,C25,87:87)+100</f>
        <v>100</v>
      </c>
      <c r="G25" s="599"/>
      <c r="H25" s="540">
        <f>SUMIF(86:86,G25,87:87)-SUMIF(86:86,C25,87:87)+100</f>
        <v>100</v>
      </c>
      <c r="I25" s="874"/>
      <c r="J25" s="540">
        <f>SUMIF(86:86,I25,87:87)-SUMIF(86:86,C25,87:87)+100</f>
        <v>100</v>
      </c>
      <c r="K25" s="864">
        <v>0</v>
      </c>
      <c r="L25" s="2143"/>
      <c r="M25" s="2135"/>
      <c r="N25" s="2135"/>
      <c r="O25" s="2142"/>
      <c r="P25" s="3431"/>
      <c r="Q25" s="1572" t="str">
        <f t="shared" ref="Q25:Q46" si="11">B25</f>
        <v>楼层-1</v>
      </c>
      <c r="R25" s="1573" t="s">
        <v>11</v>
      </c>
      <c r="S25" s="1574">
        <f>F25</f>
        <v>100</v>
      </c>
      <c r="T25" s="1573" t="s">
        <v>11</v>
      </c>
      <c r="U25" s="1574">
        <f>H25</f>
        <v>100</v>
      </c>
      <c r="V25" s="1573" t="s">
        <v>11</v>
      </c>
      <c r="W25" s="1574">
        <f>J25</f>
        <v>100</v>
      </c>
      <c r="X25" s="1567"/>
      <c r="Y25" s="3431"/>
      <c r="Z25" s="1575" t="str">
        <f>Q25</f>
        <v>楼层-1</v>
      </c>
      <c r="AA25" s="1576">
        <f t="shared" si="3"/>
        <v>1</v>
      </c>
      <c r="AB25" s="1576">
        <f t="shared" si="4"/>
        <v>1</v>
      </c>
      <c r="AC25" s="1576">
        <f t="shared" si="5"/>
        <v>1</v>
      </c>
    </row>
    <row r="26" spans="1:29" ht="15">
      <c r="A26" s="532"/>
      <c r="B26" s="527" t="s">
        <v>723</v>
      </c>
      <c r="C26" s="574" t="s">
        <v>3083</v>
      </c>
      <c r="D26" s="540">
        <v>100</v>
      </c>
      <c r="E26" s="874" t="s">
        <v>3083</v>
      </c>
      <c r="F26" s="575">
        <f>SUMIF(88:88,E26,89:89)-SUMIF(88:88,C26,89:89)+100</f>
        <v>100</v>
      </c>
      <c r="G26" s="599" t="s">
        <v>3083</v>
      </c>
      <c r="H26" s="540">
        <f>SUMIF(88:88,G26,89:89)-SUMIF(88:88,C26,89:89)+100</f>
        <v>100</v>
      </c>
      <c r="I26" s="874" t="s">
        <v>3083</v>
      </c>
      <c r="J26" s="540">
        <f>SUMIF(88:88,I26,89:89)-SUMIF(88:88,C26,89:89)+100</f>
        <v>100</v>
      </c>
      <c r="K26" s="864"/>
      <c r="L26" s="2143"/>
      <c r="M26" s="2135"/>
      <c r="N26" s="2135"/>
      <c r="O26" s="2142"/>
      <c r="P26" s="3431"/>
      <c r="Q26" s="1572" t="str">
        <f t="shared" si="11"/>
        <v>朝向</v>
      </c>
      <c r="R26" s="1573" t="s">
        <v>11</v>
      </c>
      <c r="S26" s="1574">
        <f>F26</f>
        <v>100</v>
      </c>
      <c r="T26" s="1573" t="s">
        <v>11</v>
      </c>
      <c r="U26" s="1574">
        <f>H26</f>
        <v>100</v>
      </c>
      <c r="V26" s="1573" t="s">
        <v>11</v>
      </c>
      <c r="W26" s="1574">
        <f>J26</f>
        <v>100</v>
      </c>
      <c r="X26" s="1567"/>
      <c r="Y26" s="3431"/>
      <c r="Z26" s="1575" t="str">
        <f>Q26</f>
        <v>朝向</v>
      </c>
      <c r="AA26" s="1576">
        <f t="shared" si="3"/>
        <v>1</v>
      </c>
      <c r="AB26" s="1576">
        <f t="shared" si="4"/>
        <v>1</v>
      </c>
      <c r="AC26" s="1576">
        <f t="shared" si="5"/>
        <v>1</v>
      </c>
    </row>
    <row r="27" spans="1:29" s="1220" customFormat="1" ht="15">
      <c r="A27" s="536"/>
      <c r="B27" s="537" t="s">
        <v>724</v>
      </c>
      <c r="C27" s="3207" t="s">
        <v>3134</v>
      </c>
      <c r="D27" s="875">
        <v>100</v>
      </c>
      <c r="E27" s="3208" t="s">
        <v>3135</v>
      </c>
      <c r="F27" s="876">
        <f>SUMIF(90:90,E27,91:91)-SUMIF(90:90,C27,91:91)+100</f>
        <v>102</v>
      </c>
      <c r="G27" s="3209" t="s">
        <v>3135</v>
      </c>
      <c r="H27" s="875">
        <f>SUMIF(90:90,G27,91:91)-SUMIF(90:90,C27,91:91)+100</f>
        <v>102</v>
      </c>
      <c r="I27" s="3208" t="s">
        <v>3135</v>
      </c>
      <c r="J27" s="875">
        <f>SUMIF(90:90,I27,91:91)-SUMIF(90:90,C27,91:91)+100</f>
        <v>102</v>
      </c>
      <c r="K27" s="865"/>
      <c r="L27" s="2136"/>
      <c r="M27" s="2137"/>
      <c r="N27" s="2137"/>
      <c r="O27" s="2138"/>
      <c r="P27" s="3431"/>
      <c r="Q27" s="1151" t="str">
        <f t="shared" si="11"/>
        <v>道路级别</v>
      </c>
      <c r="R27" s="1568" t="s">
        <v>11</v>
      </c>
      <c r="S27" s="1569">
        <f>F27</f>
        <v>102</v>
      </c>
      <c r="T27" s="1568" t="s">
        <v>11</v>
      </c>
      <c r="U27" s="1569">
        <f>H27</f>
        <v>102</v>
      </c>
      <c r="V27" s="1568" t="s">
        <v>11</v>
      </c>
      <c r="W27" s="1569">
        <f>J27</f>
        <v>102</v>
      </c>
      <c r="X27" s="1570"/>
      <c r="Y27" s="3431"/>
      <c r="Z27" s="1150" t="str">
        <f>Q27</f>
        <v>道路级别</v>
      </c>
      <c r="AA27" s="1576">
        <f>D27/F27</f>
        <v>0.98039215686274506</v>
      </c>
      <c r="AB27" s="1576">
        <f>D27/H27</f>
        <v>0.98039215686274506</v>
      </c>
      <c r="AC27" s="1576">
        <f>D27/J27</f>
        <v>0.98039215686274506</v>
      </c>
    </row>
    <row r="28" spans="1:29" ht="15">
      <c r="A28" s="532"/>
      <c r="B28" s="3203" t="s">
        <v>3116</v>
      </c>
      <c r="C28" s="539" t="s">
        <v>3114</v>
      </c>
      <c r="D28" s="540">
        <v>100</v>
      </c>
      <c r="E28" s="539" t="s">
        <v>3115</v>
      </c>
      <c r="F28" s="575">
        <f>SUMIF(92:92,E28,93:93)-SUMIF(92:92,C28,93:93)+100</f>
        <v>102</v>
      </c>
      <c r="G28" s="3205" t="s">
        <v>3121</v>
      </c>
      <c r="H28" s="540">
        <f>SUMIF(92:92,G28,93:93)-SUMIF(92:92,C28,93:93)+100</f>
        <v>98</v>
      </c>
      <c r="I28" s="3205" t="s">
        <v>3124</v>
      </c>
      <c r="J28" s="540">
        <f>SUMIF(92:92,I28,93:93)-SUMIF(92:92,C28,93:93)+100</f>
        <v>98</v>
      </c>
      <c r="K28" s="865"/>
      <c r="L28" s="2143"/>
      <c r="M28" s="2135"/>
      <c r="N28" s="2135"/>
      <c r="O28" s="2142"/>
      <c r="P28" s="3431"/>
      <c r="Q28" s="1572" t="str">
        <f t="shared" si="11"/>
        <v>楼层</v>
      </c>
      <c r="R28" s="1573" t="s">
        <v>11</v>
      </c>
      <c r="S28" s="1574">
        <f t="shared" ref="S28:S46" si="12">F28</f>
        <v>102</v>
      </c>
      <c r="T28" s="1573" t="s">
        <v>11</v>
      </c>
      <c r="U28" s="1574">
        <f t="shared" ref="U28:U46" si="13">H28</f>
        <v>98</v>
      </c>
      <c r="V28" s="1573" t="s">
        <v>11</v>
      </c>
      <c r="W28" s="1574">
        <f t="shared" ref="W28:W46" si="14">J28</f>
        <v>98</v>
      </c>
      <c r="X28" s="1567"/>
      <c r="Y28" s="3431"/>
      <c r="Z28" s="1575" t="str">
        <f t="shared" ref="Z28:Z46" si="15">Q28</f>
        <v>楼层</v>
      </c>
      <c r="AA28" s="1576">
        <f t="shared" si="3"/>
        <v>0.98039215686274506</v>
      </c>
      <c r="AB28" s="1576">
        <f t="shared" si="4"/>
        <v>1.0204081632653061</v>
      </c>
      <c r="AC28" s="1576">
        <f t="shared" si="5"/>
        <v>1.0204081632653061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1"/>
      <c r="Q29" s="1572">
        <f t="shared" si="11"/>
        <v>111</v>
      </c>
      <c r="R29" s="1573" t="s">
        <v>11</v>
      </c>
      <c r="S29" s="1574">
        <f t="shared" si="12"/>
        <v>100</v>
      </c>
      <c r="T29" s="1573" t="s">
        <v>11</v>
      </c>
      <c r="U29" s="1574">
        <f t="shared" si="13"/>
        <v>100</v>
      </c>
      <c r="V29" s="1573" t="s">
        <v>11</v>
      </c>
      <c r="W29" s="1574">
        <f t="shared" si="14"/>
        <v>100</v>
      </c>
      <c r="X29" s="1567"/>
      <c r="Y29" s="343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1"/>
      <c r="Q30" s="1572">
        <f t="shared" si="11"/>
        <v>111</v>
      </c>
      <c r="R30" s="1573" t="s">
        <v>11</v>
      </c>
      <c r="S30" s="1574">
        <f t="shared" si="12"/>
        <v>100</v>
      </c>
      <c r="T30" s="1573" t="s">
        <v>11</v>
      </c>
      <c r="U30" s="1574">
        <f t="shared" si="13"/>
        <v>100</v>
      </c>
      <c r="V30" s="1573" t="s">
        <v>11</v>
      </c>
      <c r="W30" s="1574">
        <f t="shared" si="14"/>
        <v>100</v>
      </c>
      <c r="X30" s="1567"/>
      <c r="Y30" s="3431"/>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1"/>
      <c r="Q31" s="1572">
        <f t="shared" si="11"/>
        <v>111</v>
      </c>
      <c r="R31" s="1573" t="s">
        <v>11</v>
      </c>
      <c r="S31" s="1574">
        <f t="shared" si="12"/>
        <v>100</v>
      </c>
      <c r="T31" s="1573" t="s">
        <v>11</v>
      </c>
      <c r="U31" s="1574">
        <f t="shared" si="13"/>
        <v>100</v>
      </c>
      <c r="V31" s="1573" t="s">
        <v>11</v>
      </c>
      <c r="W31" s="1574">
        <f t="shared" si="14"/>
        <v>100</v>
      </c>
      <c r="X31" s="1567"/>
      <c r="Y31" s="3431"/>
      <c r="Z31" s="1575">
        <f t="shared" si="15"/>
        <v>111</v>
      </c>
      <c r="AA31" s="1576">
        <f t="shared" si="3"/>
        <v>1</v>
      </c>
      <c r="AB31" s="1576">
        <f t="shared" si="4"/>
        <v>1</v>
      </c>
      <c r="AC31" s="1576">
        <f t="shared" si="5"/>
        <v>1</v>
      </c>
    </row>
    <row r="32" spans="1:29" ht="15">
      <c r="A32" s="2908" t="s">
        <v>2758</v>
      </c>
      <c r="B32" s="172" t="s">
        <v>725</v>
      </c>
      <c r="C32" s="878" t="s">
        <v>3088</v>
      </c>
      <c r="D32" s="597">
        <v>100</v>
      </c>
      <c r="E32" s="879" t="s">
        <v>3088</v>
      </c>
      <c r="F32" s="575">
        <f>SUMIF(100:100,E32,101:101)-SUMIF(100:100,C32,101:101)+100</f>
        <v>100</v>
      </c>
      <c r="G32" s="878" t="s">
        <v>3088</v>
      </c>
      <c r="H32" s="597">
        <f>SUMIF(100:100,G32,101:101)-SUMIF(100:100,C32,101:101)+100</f>
        <v>100</v>
      </c>
      <c r="I32" s="879" t="s">
        <v>3088</v>
      </c>
      <c r="J32" s="540">
        <f>SUMIF(100:100,I32,101:101)-SUMIF(100:100,C32,101:101)+100</f>
        <v>100</v>
      </c>
      <c r="K32" s="864"/>
      <c r="L32" s="2143"/>
      <c r="M32" s="2135"/>
      <c r="N32" s="2135"/>
      <c r="O32" s="2142"/>
      <c r="P32" s="3432" t="s">
        <v>550</v>
      </c>
      <c r="Q32" s="1572" t="str">
        <f t="shared" si="11"/>
        <v>建筑类型</v>
      </c>
      <c r="R32" s="1573" t="s">
        <v>11</v>
      </c>
      <c r="S32" s="1574">
        <f t="shared" si="12"/>
        <v>100</v>
      </c>
      <c r="T32" s="1573" t="s">
        <v>11</v>
      </c>
      <c r="U32" s="1574">
        <f t="shared" si="13"/>
        <v>100</v>
      </c>
      <c r="V32" s="1573" t="s">
        <v>11</v>
      </c>
      <c r="W32" s="1574">
        <f t="shared" si="14"/>
        <v>100</v>
      </c>
      <c r="X32" s="1567"/>
      <c r="Y32" s="3433" t="s">
        <v>550</v>
      </c>
      <c r="Z32" s="1575" t="str">
        <f t="shared" si="15"/>
        <v>建筑类型</v>
      </c>
      <c r="AA32" s="1576">
        <f t="shared" si="3"/>
        <v>1</v>
      </c>
      <c r="AB32" s="1576">
        <f t="shared" si="4"/>
        <v>1</v>
      </c>
      <c r="AC32" s="1576">
        <f t="shared" si="5"/>
        <v>1</v>
      </c>
    </row>
    <row r="33" spans="1:29" s="1339" customFormat="1" ht="15">
      <c r="A33" s="603"/>
      <c r="B33" s="527" t="s">
        <v>726</v>
      </c>
      <c r="C33" s="880">
        <v>1</v>
      </c>
      <c r="D33" s="255">
        <v>100</v>
      </c>
      <c r="E33" s="534">
        <v>1</v>
      </c>
      <c r="F33" s="863">
        <f>LOOKUP(E33,103:103,104:104)-LOOKUP(C33,103:103,104:104)+100</f>
        <v>100</v>
      </c>
      <c r="G33" s="533">
        <v>1</v>
      </c>
      <c r="H33" s="255">
        <f>LOOKUP(G33,103:103,104:104)-LOOKUP(C33,103:103,104:104)+100</f>
        <v>100</v>
      </c>
      <c r="I33" s="534">
        <v>1</v>
      </c>
      <c r="J33" s="255">
        <f>LOOKUP(I33,103:103,104:104)-LOOKUP(C33,103:103,104:104)+100</f>
        <v>100</v>
      </c>
      <c r="K33" s="865"/>
      <c r="L33" s="2141"/>
      <c r="M33" s="2172"/>
      <c r="N33" s="2172"/>
      <c r="O33" s="2144"/>
      <c r="P33" s="3433"/>
      <c r="Q33" s="1605" t="str">
        <f t="shared" si="11"/>
        <v>项目建筑规模</v>
      </c>
      <c r="R33" s="1577" t="s">
        <v>11</v>
      </c>
      <c r="S33" s="1578">
        <f t="shared" si="12"/>
        <v>100</v>
      </c>
      <c r="T33" s="1577" t="s">
        <v>11</v>
      </c>
      <c r="U33" s="1578">
        <f t="shared" si="13"/>
        <v>100</v>
      </c>
      <c r="V33" s="1577" t="s">
        <v>11</v>
      </c>
      <c r="W33" s="1578">
        <f t="shared" si="14"/>
        <v>100</v>
      </c>
      <c r="X33" s="1579"/>
      <c r="Y33" s="3433"/>
      <c r="Z33" s="1580" t="str">
        <f t="shared" si="15"/>
        <v>项目建筑规模</v>
      </c>
      <c r="AA33" s="1576">
        <f t="shared" si="3"/>
        <v>1</v>
      </c>
      <c r="AB33" s="1576">
        <f t="shared" si="4"/>
        <v>1</v>
      </c>
      <c r="AC33" s="1576">
        <f t="shared" si="5"/>
        <v>1</v>
      </c>
    </row>
    <row r="34" spans="1:29" ht="15">
      <c r="A34" s="594"/>
      <c r="B34" s="527" t="s">
        <v>727</v>
      </c>
      <c r="C34" s="881" t="s">
        <v>3090</v>
      </c>
      <c r="D34" s="540">
        <v>100</v>
      </c>
      <c r="E34" s="882" t="s">
        <v>3090</v>
      </c>
      <c r="F34" s="575">
        <f>SUMIF(105:105,E34,106:106)-SUMIF(105:105,C34,106:106)+100</f>
        <v>100</v>
      </c>
      <c r="G34" s="881" t="s">
        <v>3090</v>
      </c>
      <c r="H34" s="540">
        <f>SUMIF(105:105,G34,106:106)-SUMIF(105:105,C34,106:106)+100</f>
        <v>100</v>
      </c>
      <c r="I34" s="882" t="s">
        <v>3090</v>
      </c>
      <c r="J34" s="540">
        <f>SUMIF(105:105,I34,106:106)-SUMIF(105:105,C34,106:106)+100</f>
        <v>100</v>
      </c>
      <c r="K34" s="864"/>
      <c r="L34" s="2143"/>
      <c r="M34" s="2135"/>
      <c r="N34" s="2135"/>
      <c r="O34" s="2142"/>
      <c r="P34" s="3433"/>
      <c r="Q34" s="1572" t="str">
        <f t="shared" si="11"/>
        <v>建筑结构</v>
      </c>
      <c r="R34" s="1573" t="s">
        <v>11</v>
      </c>
      <c r="S34" s="1574">
        <f t="shared" si="12"/>
        <v>100</v>
      </c>
      <c r="T34" s="1573" t="s">
        <v>11</v>
      </c>
      <c r="U34" s="1574">
        <f t="shared" si="13"/>
        <v>100</v>
      </c>
      <c r="V34" s="1573" t="s">
        <v>11</v>
      </c>
      <c r="W34" s="1574">
        <f t="shared" si="14"/>
        <v>100</v>
      </c>
      <c r="X34" s="1567"/>
      <c r="Y34" s="3433"/>
      <c r="Z34" s="1575" t="str">
        <f t="shared" si="15"/>
        <v>建筑结构</v>
      </c>
      <c r="AA34" s="1576">
        <f t="shared" si="3"/>
        <v>1</v>
      </c>
      <c r="AB34" s="1576">
        <f t="shared" si="4"/>
        <v>1</v>
      </c>
      <c r="AC34" s="1576">
        <f t="shared" si="5"/>
        <v>1</v>
      </c>
    </row>
    <row r="35" spans="1:29" ht="15">
      <c r="A35" s="594"/>
      <c r="B35" s="527" t="s">
        <v>728</v>
      </c>
      <c r="C35" s="599" t="s">
        <v>3095</v>
      </c>
      <c r="D35" s="540">
        <v>100</v>
      </c>
      <c r="E35" s="874" t="s">
        <v>3093</v>
      </c>
      <c r="F35" s="575">
        <f>SUMIF(107:107,E35,108:108)-SUMIF(107:107,C35,108:108)+100</f>
        <v>100</v>
      </c>
      <c r="G35" s="599" t="s">
        <v>3093</v>
      </c>
      <c r="H35" s="540">
        <f>SUMIF(107:107,G35,108:108)-SUMIF(107:107,C35,108:108)+100</f>
        <v>100</v>
      </c>
      <c r="I35" s="874" t="s">
        <v>3093</v>
      </c>
      <c r="J35" s="540">
        <f>SUMIF(107:107,I35,108:108)-SUMIF(107:107,C35,108:108)+100</f>
        <v>100</v>
      </c>
      <c r="K35" s="864">
        <v>0</v>
      </c>
      <c r="L35" s="2143"/>
      <c r="M35" s="2135"/>
      <c r="N35" s="2135"/>
      <c r="O35" s="2142"/>
      <c r="P35" s="3433"/>
      <c r="Q35" s="1572" t="str">
        <f t="shared" si="11"/>
        <v>建筑品质</v>
      </c>
      <c r="R35" s="1573" t="s">
        <v>11</v>
      </c>
      <c r="S35" s="1574">
        <f t="shared" si="12"/>
        <v>100</v>
      </c>
      <c r="T35" s="1573" t="s">
        <v>11</v>
      </c>
      <c r="U35" s="1574">
        <f t="shared" si="13"/>
        <v>100</v>
      </c>
      <c r="V35" s="1573" t="s">
        <v>11</v>
      </c>
      <c r="W35" s="1574">
        <f t="shared" si="14"/>
        <v>100</v>
      </c>
      <c r="X35" s="1567"/>
      <c r="Y35" s="3433"/>
      <c r="Z35" s="1575" t="str">
        <f t="shared" si="15"/>
        <v>建筑品质</v>
      </c>
      <c r="AA35" s="1576">
        <f t="shared" si="3"/>
        <v>1</v>
      </c>
      <c r="AB35" s="1576">
        <f t="shared" si="4"/>
        <v>1</v>
      </c>
      <c r="AC35" s="1576">
        <f t="shared" si="5"/>
        <v>1</v>
      </c>
    </row>
    <row r="36" spans="1:29" ht="15">
      <c r="A36" s="594"/>
      <c r="B36" s="527" t="s">
        <v>729</v>
      </c>
      <c r="C36" s="599" t="s">
        <v>3061</v>
      </c>
      <c r="D36" s="540">
        <v>100</v>
      </c>
      <c r="E36" s="874" t="s">
        <v>3097</v>
      </c>
      <c r="F36" s="575">
        <f>SUMIF(109:109,E36,110:110)-SUMIF(109:109,C36,110:110)+100</f>
        <v>108</v>
      </c>
      <c r="G36" s="599" t="s">
        <v>3097</v>
      </c>
      <c r="H36" s="540">
        <f>SUMIF(109:109,G36,110:110)-SUMIF(109:109,C36,110:110)+100</f>
        <v>108</v>
      </c>
      <c r="I36" s="874" t="s">
        <v>3097</v>
      </c>
      <c r="J36" s="540">
        <f>SUMIF(109:109,I36,110:110)-SUMIF(109:109,C36,110:110)+100</f>
        <v>108</v>
      </c>
      <c r="K36" s="864">
        <v>8</v>
      </c>
      <c r="L36" s="2143"/>
      <c r="M36" s="2135"/>
      <c r="N36" s="2135"/>
      <c r="O36" s="2142"/>
      <c r="P36" s="3433"/>
      <c r="Q36" s="1572" t="str">
        <f t="shared" si="11"/>
        <v>公共部分装修</v>
      </c>
      <c r="R36" s="1573" t="s">
        <v>11</v>
      </c>
      <c r="S36" s="1574">
        <f t="shared" si="12"/>
        <v>108</v>
      </c>
      <c r="T36" s="1573" t="s">
        <v>11</v>
      </c>
      <c r="U36" s="1574">
        <f t="shared" si="13"/>
        <v>108</v>
      </c>
      <c r="V36" s="1573" t="s">
        <v>11</v>
      </c>
      <c r="W36" s="1574">
        <f t="shared" si="14"/>
        <v>108</v>
      </c>
      <c r="X36" s="1567"/>
      <c r="Y36" s="3433"/>
      <c r="Z36" s="1575" t="str">
        <f t="shared" si="15"/>
        <v>公共部分装修</v>
      </c>
      <c r="AA36" s="1576">
        <f t="shared" si="3"/>
        <v>0.92592592592592593</v>
      </c>
      <c r="AB36" s="1576">
        <f t="shared" si="4"/>
        <v>0.92592592592592593</v>
      </c>
      <c r="AC36" s="1576">
        <f t="shared" si="5"/>
        <v>0.92592592592592593</v>
      </c>
    </row>
    <row r="37" spans="1:29" s="1220" customFormat="1" ht="15">
      <c r="A37" s="600"/>
      <c r="B37" s="527" t="s">
        <v>730</v>
      </c>
      <c r="C37" s="883">
        <v>0.95</v>
      </c>
      <c r="D37" s="255">
        <v>100</v>
      </c>
      <c r="E37" s="884">
        <v>0.98</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33"/>
      <c r="Q37" s="1151" t="str">
        <f t="shared" si="11"/>
        <v>成新度</v>
      </c>
      <c r="R37" s="1568" t="s">
        <v>11</v>
      </c>
      <c r="S37" s="1569">
        <f t="shared" si="12"/>
        <v>100</v>
      </c>
      <c r="T37" s="1568" t="s">
        <v>11</v>
      </c>
      <c r="U37" s="1569">
        <f t="shared" si="13"/>
        <v>100</v>
      </c>
      <c r="V37" s="1568" t="s">
        <v>11</v>
      </c>
      <c r="W37" s="1569">
        <f t="shared" si="14"/>
        <v>100</v>
      </c>
      <c r="X37" s="1570"/>
      <c r="Y37" s="3433"/>
      <c r="Z37" s="1150" t="str">
        <f t="shared" si="15"/>
        <v>成新度</v>
      </c>
      <c r="AA37" s="1571">
        <f t="shared" si="3"/>
        <v>1</v>
      </c>
      <c r="AB37" s="1571">
        <f t="shared" si="4"/>
        <v>1</v>
      </c>
      <c r="AC37" s="1571">
        <f t="shared" si="5"/>
        <v>1</v>
      </c>
    </row>
    <row r="38" spans="1:29" ht="15">
      <c r="A38" s="594"/>
      <c r="B38" s="527" t="s">
        <v>731</v>
      </c>
      <c r="C38" s="599" t="s">
        <v>3102</v>
      </c>
      <c r="D38" s="540">
        <v>100</v>
      </c>
      <c r="E38" s="874" t="s">
        <v>3100</v>
      </c>
      <c r="F38" s="575">
        <f>SUMIF(114:114,E38,115:115)-SUMIF(114:114,C38,115:115)+100</f>
        <v>110</v>
      </c>
      <c r="G38" s="599" t="s">
        <v>3100</v>
      </c>
      <c r="H38" s="540">
        <f>SUMIF(114:114,G38,115:115)-SUMIF(114:114,C38,115:115)+100</f>
        <v>110</v>
      </c>
      <c r="I38" s="874" t="s">
        <v>3100</v>
      </c>
      <c r="J38" s="540">
        <f>SUMIF(114:114,I38,115:115)-SUMIF(114:114,C38,115:115)+100</f>
        <v>110</v>
      </c>
      <c r="K38" s="864">
        <v>10</v>
      </c>
      <c r="L38" s="2143"/>
      <c r="M38" s="2135"/>
      <c r="N38" s="2135"/>
      <c r="O38" s="2142"/>
      <c r="P38" s="3433" t="s">
        <v>550</v>
      </c>
      <c r="Q38" s="1572" t="str">
        <f t="shared" si="11"/>
        <v>物业管理</v>
      </c>
      <c r="R38" s="1573" t="s">
        <v>11</v>
      </c>
      <c r="S38" s="1574">
        <f t="shared" si="12"/>
        <v>110</v>
      </c>
      <c r="T38" s="1573" t="s">
        <v>11</v>
      </c>
      <c r="U38" s="1574">
        <f t="shared" si="13"/>
        <v>110</v>
      </c>
      <c r="V38" s="1573" t="s">
        <v>11</v>
      </c>
      <c r="W38" s="1574">
        <f t="shared" si="14"/>
        <v>110</v>
      </c>
      <c r="X38" s="1567"/>
      <c r="Y38" s="3433" t="s">
        <v>550</v>
      </c>
      <c r="Z38" s="1575" t="str">
        <f t="shared" si="15"/>
        <v>物业管理</v>
      </c>
      <c r="AA38" s="1576">
        <f t="shared" si="3"/>
        <v>0.90909090909090906</v>
      </c>
      <c r="AB38" s="1576">
        <f t="shared" si="4"/>
        <v>0.90909090909090906</v>
      </c>
      <c r="AC38" s="1576">
        <f t="shared" si="5"/>
        <v>0.90909090909090906</v>
      </c>
    </row>
    <row r="39" spans="1:29" ht="15">
      <c r="A39" s="594"/>
      <c r="B39" s="1896" t="s">
        <v>2567</v>
      </c>
      <c r="C39" s="599" t="s">
        <v>3054</v>
      </c>
      <c r="D39" s="540">
        <v>100</v>
      </c>
      <c r="E39" s="874" t="s">
        <v>3054</v>
      </c>
      <c r="F39" s="575">
        <f>SUMIF(116:116,E39,117:117)-SUMIF(116:116,C39,117:117)+100</f>
        <v>100</v>
      </c>
      <c r="G39" s="599" t="s">
        <v>3054</v>
      </c>
      <c r="H39" s="540">
        <f>SUMIF(116:116,G39,117:117)-SUMIF(116:116,C39,117:117)+100</f>
        <v>100</v>
      </c>
      <c r="I39" s="874" t="s">
        <v>3054</v>
      </c>
      <c r="J39" s="540">
        <f>SUMIF(116:116,I39,117:117)-SUMIF(116:116,C39,117:117)+100</f>
        <v>100</v>
      </c>
      <c r="K39" s="864"/>
      <c r="L39" s="2143"/>
      <c r="M39" s="2135"/>
      <c r="N39" s="2135"/>
      <c r="O39" s="2142"/>
      <c r="P39" s="3433"/>
      <c r="Q39" s="1572" t="str">
        <f t="shared" si="11"/>
        <v>市政基础设施</v>
      </c>
      <c r="R39" s="1573" t="s">
        <v>11</v>
      </c>
      <c r="S39" s="1574">
        <f t="shared" si="12"/>
        <v>100</v>
      </c>
      <c r="T39" s="1573" t="s">
        <v>11</v>
      </c>
      <c r="U39" s="1574">
        <f t="shared" si="13"/>
        <v>100</v>
      </c>
      <c r="V39" s="1573" t="s">
        <v>11</v>
      </c>
      <c r="W39" s="1574">
        <f t="shared" si="14"/>
        <v>100</v>
      </c>
      <c r="X39" s="1567"/>
      <c r="Y39" s="3433"/>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33"/>
      <c r="Q40" s="1572" t="str">
        <f t="shared" si="11"/>
        <v>房型</v>
      </c>
      <c r="R40" s="1573" t="s">
        <v>11</v>
      </c>
      <c r="S40" s="1574">
        <f t="shared" si="12"/>
        <v>100</v>
      </c>
      <c r="T40" s="1573" t="s">
        <v>11</v>
      </c>
      <c r="U40" s="1574">
        <f t="shared" si="13"/>
        <v>100</v>
      </c>
      <c r="V40" s="1573" t="s">
        <v>11</v>
      </c>
      <c r="W40" s="1574">
        <f t="shared" si="14"/>
        <v>100</v>
      </c>
      <c r="X40" s="1567"/>
      <c r="Y40" s="3433"/>
      <c r="Z40" s="1575" t="str">
        <f t="shared" si="15"/>
        <v>房型</v>
      </c>
      <c r="AA40" s="1576">
        <f t="shared" si="3"/>
        <v>1</v>
      </c>
      <c r="AB40" s="1576">
        <f t="shared" si="4"/>
        <v>1</v>
      </c>
      <c r="AC40" s="1576">
        <f t="shared" si="5"/>
        <v>1</v>
      </c>
    </row>
    <row r="41" spans="1:29" s="1339" customFormat="1" ht="28.5">
      <c r="A41" s="603"/>
      <c r="B41" s="527" t="s">
        <v>733</v>
      </c>
      <c r="C41" s="880">
        <v>90</v>
      </c>
      <c r="D41" s="255">
        <v>100</v>
      </c>
      <c r="E41" s="534">
        <v>93</v>
      </c>
      <c r="F41" s="863">
        <f>SUMIF(120:120,E41,121:121)-SUMIF(120:120,C41,121:121)+100</f>
        <v>100</v>
      </c>
      <c r="G41" s="533">
        <v>125</v>
      </c>
      <c r="H41" s="255">
        <f>SUMIF(120:120,G41,121:121)-SUMIF(120:120,C41,121:121)+100</f>
        <v>98</v>
      </c>
      <c r="I41" s="586">
        <v>114</v>
      </c>
      <c r="J41" s="540">
        <f>SUMIF(120:120,I41,121:121)-SUMIF(120:120,C41,121:121)+100</f>
        <v>99</v>
      </c>
      <c r="K41" s="865"/>
      <c r="L41" s="2141"/>
      <c r="M41" s="2172"/>
      <c r="N41" s="2172"/>
      <c r="O41" s="2144"/>
      <c r="P41" s="3433"/>
      <c r="Q41" s="1605" t="str">
        <f t="shared" si="11"/>
        <v>单套/主力户型建筑面积</v>
      </c>
      <c r="R41" s="1577" t="s">
        <v>11</v>
      </c>
      <c r="S41" s="1578">
        <f t="shared" si="12"/>
        <v>100</v>
      </c>
      <c r="T41" s="1577" t="s">
        <v>11</v>
      </c>
      <c r="U41" s="1578">
        <f t="shared" si="13"/>
        <v>98</v>
      </c>
      <c r="V41" s="1577" t="s">
        <v>11</v>
      </c>
      <c r="W41" s="1578">
        <f t="shared" si="14"/>
        <v>99</v>
      </c>
      <c r="X41" s="1579"/>
      <c r="Y41" s="3433"/>
      <c r="Z41" s="1580" t="str">
        <f t="shared" si="15"/>
        <v>单套/主力户型建筑面积</v>
      </c>
      <c r="AA41" s="1576">
        <f t="shared" si="3"/>
        <v>1</v>
      </c>
      <c r="AB41" s="1576">
        <f t="shared" si="4"/>
        <v>1.0204081632653061</v>
      </c>
      <c r="AC41" s="1576">
        <f t="shared" si="5"/>
        <v>1.0101010101010102</v>
      </c>
    </row>
    <row r="42" spans="1:29" ht="15">
      <c r="A42" s="594"/>
      <c r="B42" s="527" t="s">
        <v>734</v>
      </c>
      <c r="C42" s="599" t="s">
        <v>3110</v>
      </c>
      <c r="D42" s="540">
        <v>100</v>
      </c>
      <c r="E42" s="874" t="s">
        <v>3097</v>
      </c>
      <c r="F42" s="575">
        <f>SUMIF(122:122,E42,123:123)-SUMIF(122:122,C42,123:123)+100</f>
        <v>101.5</v>
      </c>
      <c r="G42" s="599" t="s">
        <v>3110</v>
      </c>
      <c r="H42" s="540">
        <f>SUMIF(122:122,G42,123:123)-SUMIF(122:122,C42,123:123)+100</f>
        <v>100</v>
      </c>
      <c r="I42" s="874" t="s">
        <v>3110</v>
      </c>
      <c r="J42" s="540">
        <f>SUMIF(122:122,I42,123:123)-SUMIF(122:122,C42,123:123)+100</f>
        <v>100</v>
      </c>
      <c r="K42" s="864">
        <v>0.5</v>
      </c>
      <c r="L42" s="2143"/>
      <c r="M42" s="2135"/>
      <c r="N42" s="2135"/>
      <c r="O42" s="2142"/>
      <c r="P42" s="3433"/>
      <c r="Q42" s="1572" t="str">
        <f t="shared" si="11"/>
        <v>内部装修</v>
      </c>
      <c r="R42" s="1573" t="s">
        <v>11</v>
      </c>
      <c r="S42" s="1574">
        <f t="shared" si="12"/>
        <v>101.5</v>
      </c>
      <c r="T42" s="1573" t="s">
        <v>11</v>
      </c>
      <c r="U42" s="1574">
        <f t="shared" si="13"/>
        <v>100</v>
      </c>
      <c r="V42" s="1573" t="s">
        <v>11</v>
      </c>
      <c r="W42" s="1574">
        <f t="shared" si="14"/>
        <v>100</v>
      </c>
      <c r="X42" s="1567"/>
      <c r="Y42" s="3433"/>
      <c r="Z42" s="1575" t="str">
        <f t="shared" si="15"/>
        <v>内部装修</v>
      </c>
      <c r="AA42" s="1576">
        <f t="shared" si="3"/>
        <v>0.98522167487684731</v>
      </c>
      <c r="AB42" s="1576">
        <f t="shared" si="4"/>
        <v>1</v>
      </c>
      <c r="AC42" s="1576">
        <f t="shared" si="5"/>
        <v>1</v>
      </c>
    </row>
    <row r="43" spans="1:29" ht="27">
      <c r="A43" s="594"/>
      <c r="B43" s="527" t="s">
        <v>735</v>
      </c>
      <c r="C43" s="599" t="s">
        <v>3072</v>
      </c>
      <c r="D43" s="540">
        <v>100</v>
      </c>
      <c r="E43" s="874" t="s">
        <v>3072</v>
      </c>
      <c r="F43" s="575">
        <f>SUMIF(124:124,E43,125:125)-SUMIF(124:124,C43,125:125)+100</f>
        <v>100</v>
      </c>
      <c r="G43" s="599" t="s">
        <v>3072</v>
      </c>
      <c r="H43" s="540">
        <f>SUMIF(124:124,G43,125:125)-SUMIF(124:124,C43,125:125)+100</f>
        <v>100</v>
      </c>
      <c r="I43" s="874" t="s">
        <v>3072</v>
      </c>
      <c r="J43" s="540">
        <f>SUMIF(124:124,I43,125:125)-SUMIF(124:124,C43,125:125)+100</f>
        <v>100</v>
      </c>
      <c r="K43" s="864">
        <v>0</v>
      </c>
      <c r="L43" s="2143"/>
      <c r="M43" s="2135"/>
      <c r="N43" s="2135"/>
      <c r="O43" s="2142"/>
      <c r="P43" s="3433"/>
      <c r="Q43" s="1572" t="str">
        <f t="shared" si="11"/>
        <v>内部装修维护情况</v>
      </c>
      <c r="R43" s="1573" t="s">
        <v>11</v>
      </c>
      <c r="S43" s="1574">
        <f t="shared" si="12"/>
        <v>100</v>
      </c>
      <c r="T43" s="1573" t="s">
        <v>11</v>
      </c>
      <c r="U43" s="1574">
        <f t="shared" si="13"/>
        <v>100</v>
      </c>
      <c r="V43" s="1573" t="s">
        <v>11</v>
      </c>
      <c r="W43" s="1574">
        <f t="shared" si="14"/>
        <v>100</v>
      </c>
      <c r="X43" s="1567"/>
      <c r="Y43" s="343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3"/>
      <c r="Q44" s="1151">
        <f t="shared" si="11"/>
        <v>111</v>
      </c>
      <c r="R44" s="1568" t="s">
        <v>11</v>
      </c>
      <c r="S44" s="1569">
        <f t="shared" si="12"/>
        <v>100</v>
      </c>
      <c r="T44" s="1568" t="s">
        <v>11</v>
      </c>
      <c r="U44" s="1569">
        <f t="shared" si="13"/>
        <v>100</v>
      </c>
      <c r="V44" s="1568" t="s">
        <v>11</v>
      </c>
      <c r="W44" s="1569">
        <f t="shared" si="14"/>
        <v>100</v>
      </c>
      <c r="X44" s="1570"/>
      <c r="Y44" s="343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3"/>
      <c r="Q45" s="1572">
        <f t="shared" si="11"/>
        <v>111</v>
      </c>
      <c r="R45" s="1573" t="s">
        <v>11</v>
      </c>
      <c r="S45" s="1574">
        <f t="shared" si="12"/>
        <v>100</v>
      </c>
      <c r="T45" s="1573" t="s">
        <v>11</v>
      </c>
      <c r="U45" s="1574">
        <f t="shared" si="13"/>
        <v>100</v>
      </c>
      <c r="V45" s="1573" t="s">
        <v>11</v>
      </c>
      <c r="W45" s="1574">
        <f t="shared" si="14"/>
        <v>100</v>
      </c>
      <c r="X45" s="1567"/>
      <c r="Y45" s="3433"/>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5"/>
      <c r="Q46" s="1572">
        <f t="shared" si="11"/>
        <v>111</v>
      </c>
      <c r="R46" s="1573" t="s">
        <v>10</v>
      </c>
      <c r="S46" s="1574">
        <f t="shared" si="12"/>
        <v>100</v>
      </c>
      <c r="T46" s="1573" t="s">
        <v>10</v>
      </c>
      <c r="U46" s="1574">
        <f t="shared" si="13"/>
        <v>100</v>
      </c>
      <c r="V46" s="1573" t="s">
        <v>10</v>
      </c>
      <c r="W46" s="1574">
        <f t="shared" si="14"/>
        <v>100</v>
      </c>
      <c r="X46" s="1567"/>
      <c r="Y46" s="3515"/>
      <c r="Z46" s="1575">
        <f t="shared" si="15"/>
        <v>111</v>
      </c>
      <c r="AA46" s="1576">
        <f t="shared" si="3"/>
        <v>1</v>
      </c>
      <c r="AB46" s="1576">
        <f t="shared" si="4"/>
        <v>1</v>
      </c>
      <c r="AC46" s="1576">
        <f t="shared" si="5"/>
        <v>1</v>
      </c>
    </row>
    <row r="47" spans="1:29" ht="15">
      <c r="A47" s="607" t="s">
        <v>736</v>
      </c>
      <c r="B47" s="887"/>
      <c r="C47" s="2628" t="s">
        <v>9</v>
      </c>
      <c r="D47" s="2629"/>
      <c r="E47" s="2630">
        <v>71197</v>
      </c>
      <c r="F47" s="2631"/>
      <c r="G47" s="2632">
        <v>78954</v>
      </c>
      <c r="H47" s="2633"/>
      <c r="I47" s="2630">
        <v>77050</v>
      </c>
      <c r="J47" s="2633"/>
      <c r="K47" s="1606"/>
      <c r="L47" s="2145"/>
      <c r="M47" s="2146"/>
      <c r="N47" s="2135"/>
      <c r="O47" s="2146"/>
      <c r="P47" s="3428" t="str">
        <f>A47</f>
        <v>成交单价（元/平方米）</v>
      </c>
      <c r="Q47" s="3428"/>
      <c r="R47" s="3514">
        <f>E47</f>
        <v>71197</v>
      </c>
      <c r="S47" s="3514"/>
      <c r="T47" s="3514">
        <f>G47</f>
        <v>78954</v>
      </c>
      <c r="U47" s="3514"/>
      <c r="V47" s="3514">
        <f>I47</f>
        <v>77050</v>
      </c>
      <c r="W47" s="3514"/>
      <c r="X47" s="1559"/>
      <c r="Y47" s="1581"/>
      <c r="Z47" s="1559"/>
      <c r="AA47" s="1559"/>
      <c r="AB47" s="1559"/>
      <c r="AC47" s="1559"/>
    </row>
    <row r="48" spans="1:29" ht="15.75" thickBot="1">
      <c r="A48" s="615" t="s">
        <v>2763</v>
      </c>
      <c r="B48" s="888"/>
      <c r="C48" s="2634">
        <f>R49</f>
        <v>63377.7</v>
      </c>
      <c r="D48" s="2635"/>
      <c r="E48" s="2636">
        <f>R48</f>
        <v>56751.7</v>
      </c>
      <c r="F48" s="2636"/>
      <c r="G48" s="2634">
        <f>T48</f>
        <v>67843.100000000006</v>
      </c>
      <c r="H48" s="2635"/>
      <c r="I48" s="2636">
        <f>V48</f>
        <v>65538.2</v>
      </c>
      <c r="J48" s="2635"/>
      <c r="K48" s="1607"/>
      <c r="L48" s="2145"/>
      <c r="M48" s="2146"/>
      <c r="N48" s="2146"/>
      <c r="O48" s="2146"/>
      <c r="P48" s="3428" t="str">
        <f>A48</f>
        <v>比较价格（元/平方米）</v>
      </c>
      <c r="Q48" s="3428"/>
      <c r="R48" s="3514">
        <f>IF(F1="售价",ROUND(PRODUCT(R47,AA7:AA46),0),ROUND(PRODUCT(R47,AA7:AA46),1))</f>
        <v>56751.7</v>
      </c>
      <c r="S48" s="3514"/>
      <c r="T48" s="3514">
        <f>IF(F1="售价",ROUND(PRODUCT(T47,AB7:AB46),0),ROUND(PRODUCT(T47,AB7:AB46),1))</f>
        <v>67843.100000000006</v>
      </c>
      <c r="U48" s="3514"/>
      <c r="V48" s="3514">
        <f>IF(F1="售价",ROUND(PRODUCT(V47,AC7:AC46),0),ROUND(PRODUCT(V47,AC7:AC46),1))</f>
        <v>65538.2</v>
      </c>
      <c r="W48" s="3514"/>
      <c r="X48" s="1559"/>
      <c r="Y48" s="1559"/>
      <c r="Z48" s="1559"/>
      <c r="AA48" s="1559"/>
      <c r="AB48" s="1559"/>
      <c r="AC48" s="1559"/>
    </row>
    <row r="49" spans="1:29" ht="15.75" thickBot="1">
      <c r="A49" s="621" t="s">
        <v>2939</v>
      </c>
      <c r="B49" s="622"/>
      <c r="C49" s="2637">
        <f>R49</f>
        <v>63377.7</v>
      </c>
      <c r="D49" s="2637"/>
      <c r="E49" s="2637"/>
      <c r="F49" s="2637"/>
      <c r="G49" s="2637"/>
      <c r="H49" s="2637"/>
      <c r="I49" s="2637"/>
      <c r="J49" s="2637"/>
      <c r="K49" s="1608"/>
      <c r="L49" s="2145"/>
      <c r="M49" s="2146"/>
      <c r="N49" s="2146"/>
      <c r="O49" s="2146"/>
      <c r="P49" s="3449" t="str">
        <f>A49</f>
        <v>估价对象XX用房的比较价格（楼面单价，元/平方米）</v>
      </c>
      <c r="Q49" s="3450"/>
      <c r="R49" s="3513">
        <f>IF(F1="售价",ROUND(AVERAGE(R48:V48),0),ROUND(AVERAGE(R48:V48),1))</f>
        <v>63377.7</v>
      </c>
      <c r="S49" s="3513"/>
      <c r="T49" s="3513"/>
      <c r="U49" s="3513"/>
      <c r="V49" s="3513"/>
      <c r="W49" s="351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0.25453510643734023</v>
      </c>
      <c r="F52" s="627" t="str">
        <f>IF(OR(E52&gt;=0.3,E52&lt;=-0.3),"超过30%","")</f>
        <v/>
      </c>
      <c r="G52" s="626">
        <f>IF(G47&lt;G48,G48/G47-1,G47/G48-1)</f>
        <v>0.16377347143629928</v>
      </c>
      <c r="H52" s="627" t="str">
        <f>IF(OR(G52&gt;=0.3,G52&lt;=-0.3),"超过30%","")</f>
        <v/>
      </c>
      <c r="I52" s="626">
        <f>IF(I47&lt;I48,I48/I47-1,I47/I48-1)</f>
        <v>0.17565023146805991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0.19543731729622205</v>
      </c>
      <c r="F53" s="627" t="str">
        <f>IF(OR(E53&gt;=0.2,E53&lt;=-0.2),"超过20%","")</f>
        <v/>
      </c>
      <c r="G53" s="626">
        <f>IF(G48&lt;I48,I48/G48-1,G48/I48-1)</f>
        <v>3.516880231681685E-2</v>
      </c>
      <c r="H53" s="627" t="str">
        <f>IF(OR(G53&gt;=0.2,G53&lt;=-0.2),"超过20%","")</f>
        <v/>
      </c>
      <c r="I53" s="626">
        <f>IF(I48&lt;E48,E48/I48-1,I48/E48-1)</f>
        <v>0.15482355594634178</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0.10895121985476908</v>
      </c>
      <c r="F54" s="627" t="str">
        <f>IF(OR(E54&gt;=0.3,E54&lt;=-0.3),"超过30%","")</f>
        <v/>
      </c>
      <c r="G54" s="626">
        <f>IF(G47&lt;I47,I47/G47-1,G47/I47-1)</f>
        <v>2.4711226476314074E-2</v>
      </c>
      <c r="H54" s="627" t="str">
        <f>IF(OR(G54&gt;=0.3,G54&lt;=-0.3),"超过30%","")</f>
        <v/>
      </c>
      <c r="I54" s="626">
        <f>IF(I47&lt;E47,E47/I47-1,I47/E47-1)</f>
        <v>8.2208520021910925E-2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100</v>
      </c>
      <c r="E59" s="650">
        <v>100</v>
      </c>
      <c r="F59" s="650">
        <v>99.5</v>
      </c>
      <c r="G59" s="650">
        <v>99.5</v>
      </c>
      <c r="H59" s="650">
        <v>99.5</v>
      </c>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设定为商品住宅</v>
      </c>
      <c r="D63" s="3201" t="s">
        <v>3082</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3200" t="s">
        <v>3084</v>
      </c>
      <c r="D88" s="3200"/>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00" t="s">
        <v>3085</v>
      </c>
      <c r="D90" s="3200" t="s">
        <v>3086</v>
      </c>
      <c r="E90" s="3200" t="s">
        <v>3087</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3117</v>
      </c>
      <c r="D92" s="688" t="s">
        <v>3118</v>
      </c>
      <c r="E92" s="3204" t="s">
        <v>3121</v>
      </c>
      <c r="F92" s="3204" t="s">
        <v>3125</v>
      </c>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v>100</v>
      </c>
      <c r="D93" s="671">
        <v>102</v>
      </c>
      <c r="E93" s="671">
        <v>98</v>
      </c>
      <c r="F93" s="671">
        <v>98</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201" t="s">
        <v>3089</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v>
      </c>
      <c r="D102" s="708" t="str">
        <f t="shared" ref="D102:L102" si="23">D103&amp;"(含)"&amp;"-"&amp;E103</f>
        <v>100(含)-200</v>
      </c>
      <c r="E102" s="708" t="str">
        <f t="shared" si="23"/>
        <v>200(含)-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v>
      </c>
      <c r="E103" s="730">
        <v>200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200" t="s">
        <v>3091</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202" t="s">
        <v>3092</v>
      </c>
      <c r="D107" s="3202" t="s">
        <v>3094</v>
      </c>
      <c r="E107" s="3202" t="s">
        <v>3096</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200" t="s">
        <v>3098</v>
      </c>
      <c r="D109" s="3200" t="s">
        <v>3099</v>
      </c>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92</v>
      </c>
      <c r="E110" s="679">
        <f t="shared" si="26"/>
        <v>84</v>
      </c>
      <c r="F110" s="679">
        <f t="shared" si="26"/>
        <v>76</v>
      </c>
      <c r="G110" s="679">
        <f t="shared" si="26"/>
        <v>68</v>
      </c>
      <c r="H110" s="679">
        <f t="shared" si="26"/>
        <v>60</v>
      </c>
      <c r="I110" s="679">
        <f t="shared" si="26"/>
        <v>52</v>
      </c>
      <c r="J110" s="679">
        <f t="shared" si="26"/>
        <v>44</v>
      </c>
      <c r="K110" s="679">
        <f t="shared" si="26"/>
        <v>36</v>
      </c>
      <c r="L110" s="679">
        <f t="shared" si="26"/>
        <v>28</v>
      </c>
      <c r="M110" s="679">
        <f t="shared" si="26"/>
        <v>20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200" t="s">
        <v>3101</v>
      </c>
      <c r="D114" s="3200" t="s">
        <v>3103</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90</v>
      </c>
      <c r="E115" s="679">
        <f t="shared" si="27"/>
        <v>80</v>
      </c>
      <c r="F115" s="679">
        <f t="shared" si="27"/>
        <v>70</v>
      </c>
      <c r="G115" s="679">
        <f t="shared" si="27"/>
        <v>60</v>
      </c>
      <c r="H115" s="679">
        <f t="shared" si="27"/>
        <v>50</v>
      </c>
      <c r="I115" s="679">
        <f t="shared" si="27"/>
        <v>40</v>
      </c>
      <c r="J115" s="679">
        <f t="shared" si="27"/>
        <v>30</v>
      </c>
      <c r="K115" s="679">
        <f t="shared" si="27"/>
        <v>20</v>
      </c>
      <c r="L115" s="679">
        <f t="shared" si="27"/>
        <v>10</v>
      </c>
      <c r="M115" s="679">
        <f t="shared" si="27"/>
        <v>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200" t="s">
        <v>3104</v>
      </c>
      <c r="D116" s="3200" t="s">
        <v>3105</v>
      </c>
      <c r="E116" s="3200" t="s">
        <v>3106</v>
      </c>
      <c r="F116" s="3200" t="s">
        <v>3107</v>
      </c>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v>90</v>
      </c>
      <c r="D120" s="688">
        <v>93</v>
      </c>
      <c r="E120" s="688">
        <v>125</v>
      </c>
      <c r="F120" s="688">
        <v>114</v>
      </c>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v>100</v>
      </c>
      <c r="E121" s="671">
        <v>98</v>
      </c>
      <c r="F121" s="671">
        <v>99</v>
      </c>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00" t="s">
        <v>3108</v>
      </c>
      <c r="D122" s="3200" t="s">
        <v>3099</v>
      </c>
      <c r="E122" s="3200" t="s">
        <v>3109</v>
      </c>
      <c r="F122" s="3202" t="s">
        <v>3111</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99.5</v>
      </c>
      <c r="E123" s="679">
        <f t="shared" si="29"/>
        <v>99</v>
      </c>
      <c r="F123" s="679">
        <f t="shared" si="29"/>
        <v>98.5</v>
      </c>
      <c r="G123" s="679">
        <f t="shared" si="29"/>
        <v>98</v>
      </c>
      <c r="H123" s="679">
        <f t="shared" si="29"/>
        <v>97.5</v>
      </c>
      <c r="I123" s="679">
        <f t="shared" si="29"/>
        <v>97</v>
      </c>
      <c r="J123" s="679">
        <f t="shared" si="29"/>
        <v>96.5</v>
      </c>
      <c r="K123" s="679">
        <f t="shared" si="29"/>
        <v>96</v>
      </c>
      <c r="L123" s="679">
        <f t="shared" si="29"/>
        <v>95.5</v>
      </c>
      <c r="M123" s="679">
        <f t="shared" si="29"/>
        <v>95</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34" t="s">
        <v>522</v>
      </c>
      <c r="D4" s="3435"/>
      <c r="E4" s="3458" t="s">
        <v>523</v>
      </c>
      <c r="F4" s="3459"/>
      <c r="G4" s="3434" t="s">
        <v>524</v>
      </c>
      <c r="H4" s="3435"/>
      <c r="I4" s="3434" t="s">
        <v>525</v>
      </c>
      <c r="J4" s="3435"/>
      <c r="K4" s="514" t="s">
        <v>526</v>
      </c>
      <c r="L4" s="2134"/>
      <c r="M4" s="2135"/>
      <c r="N4" s="2135"/>
      <c r="O4" s="2135"/>
      <c r="P4" s="3436" t="s">
        <v>527</v>
      </c>
      <c r="Q4" s="3437"/>
      <c r="R4" s="3422" t="s">
        <v>523</v>
      </c>
      <c r="S4" s="3423"/>
      <c r="T4" s="3422" t="s">
        <v>524</v>
      </c>
      <c r="U4" s="3423"/>
      <c r="V4" s="3442" t="s">
        <v>525</v>
      </c>
      <c r="W4" s="3442"/>
      <c r="X4" s="1567"/>
      <c r="Y4" s="3422" t="s">
        <v>527</v>
      </c>
      <c r="Z4" s="3423"/>
      <c r="AA4" s="3417" t="s">
        <v>523</v>
      </c>
      <c r="AB4" s="3442" t="s">
        <v>524</v>
      </c>
      <c r="AC4" s="3417" t="s">
        <v>525</v>
      </c>
    </row>
    <row r="5" spans="1:29" ht="15">
      <c r="A5" s="515"/>
      <c r="B5" s="516"/>
      <c r="C5" s="3445" t="s">
        <v>2933</v>
      </c>
      <c r="D5" s="3446"/>
      <c r="E5" s="3460" t="s">
        <v>2934</v>
      </c>
      <c r="F5" s="3461"/>
      <c r="G5" s="3445" t="s">
        <v>2935</v>
      </c>
      <c r="H5" s="3446"/>
      <c r="I5" s="3445" t="s">
        <v>2936</v>
      </c>
      <c r="J5" s="3446"/>
      <c r="K5" s="514"/>
      <c r="L5" s="2134"/>
      <c r="M5" s="2135"/>
      <c r="N5" s="2135"/>
      <c r="O5" s="2135"/>
      <c r="P5" s="3438"/>
      <c r="Q5" s="3439"/>
      <c r="R5" s="3424"/>
      <c r="S5" s="3425"/>
      <c r="T5" s="3424"/>
      <c r="U5" s="3425"/>
      <c r="V5" s="3442"/>
      <c r="W5" s="3442"/>
      <c r="X5" s="1567"/>
      <c r="Y5" s="3424"/>
      <c r="Z5" s="3425"/>
      <c r="AA5" s="3418"/>
      <c r="AB5" s="3442"/>
      <c r="AC5" s="3418"/>
    </row>
    <row r="6" spans="1:29" ht="15.75" thickBot="1">
      <c r="A6" s="517"/>
      <c r="B6" s="518"/>
      <c r="C6" s="3443" t="s">
        <v>2937</v>
      </c>
      <c r="D6" s="3444"/>
      <c r="E6" s="3462" t="s">
        <v>2937</v>
      </c>
      <c r="F6" s="3463"/>
      <c r="G6" s="3443" t="s">
        <v>2937</v>
      </c>
      <c r="H6" s="3444"/>
      <c r="I6" s="3443" t="s">
        <v>2937</v>
      </c>
      <c r="J6" s="3444"/>
      <c r="K6" s="514" t="s">
        <v>528</v>
      </c>
      <c r="L6" s="2134"/>
      <c r="M6" s="2135"/>
      <c r="N6" s="2135"/>
      <c r="O6" s="2135"/>
      <c r="P6" s="3440"/>
      <c r="Q6" s="3441"/>
      <c r="R6" s="3424"/>
      <c r="S6" s="3425"/>
      <c r="T6" s="3426"/>
      <c r="U6" s="3427"/>
      <c r="V6" s="3442"/>
      <c r="W6" s="3442"/>
      <c r="X6" s="1567"/>
      <c r="Y6" s="3426"/>
      <c r="Z6" s="3427"/>
      <c r="AA6" s="3419"/>
      <c r="AB6" s="3442"/>
      <c r="AC6" s="3419"/>
    </row>
    <row r="7" spans="1:29" s="1220" customFormat="1" ht="15.75" thickBot="1">
      <c r="A7" s="2913"/>
      <c r="B7" s="2920" t="s">
        <v>529</v>
      </c>
      <c r="C7" s="519">
        <f>'数据-取费表'!B2</f>
        <v>43273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20" t="s">
        <v>530</v>
      </c>
      <c r="Q7" s="3429"/>
      <c r="R7" s="1568" t="s">
        <v>8</v>
      </c>
      <c r="S7" s="1569">
        <f t="shared" ref="S7:S15" si="0">F7</f>
        <v>0</v>
      </c>
      <c r="T7" s="1568" t="s">
        <v>8</v>
      </c>
      <c r="U7" s="1569">
        <f t="shared" ref="U7:U15" si="1">H7</f>
        <v>0</v>
      </c>
      <c r="V7" s="1568" t="s">
        <v>8</v>
      </c>
      <c r="W7" s="1569">
        <f t="shared" ref="W7:W15" si="2">J7</f>
        <v>0</v>
      </c>
      <c r="X7" s="1570"/>
      <c r="Y7" s="3420" t="s">
        <v>530</v>
      </c>
      <c r="Z7" s="3421"/>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20" t="s">
        <v>533</v>
      </c>
      <c r="Q8" s="3421"/>
      <c r="R8" s="1568" t="s">
        <v>8</v>
      </c>
      <c r="S8" s="1569">
        <f t="shared" si="0"/>
        <v>0</v>
      </c>
      <c r="T8" s="1568" t="s">
        <v>8</v>
      </c>
      <c r="U8" s="1569">
        <f t="shared" si="1"/>
        <v>0</v>
      </c>
      <c r="V8" s="1568" t="s">
        <v>8</v>
      </c>
      <c r="W8" s="1569">
        <f t="shared" si="2"/>
        <v>0</v>
      </c>
      <c r="X8" s="1570"/>
      <c r="Y8" s="3420" t="s">
        <v>533</v>
      </c>
      <c r="Z8" s="3421"/>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28" t="s">
        <v>535</v>
      </c>
      <c r="Q9" s="1151" t="str">
        <f t="shared" ref="Q9:Q15" si="6">B9</f>
        <v>用途</v>
      </c>
      <c r="R9" s="1568" t="s">
        <v>8</v>
      </c>
      <c r="S9" s="1569">
        <f t="shared" si="0"/>
        <v>100</v>
      </c>
      <c r="T9" s="1568" t="s">
        <v>8</v>
      </c>
      <c r="U9" s="1569">
        <f t="shared" si="1"/>
        <v>100</v>
      </c>
      <c r="V9" s="1568" t="s">
        <v>8</v>
      </c>
      <c r="W9" s="1569">
        <f t="shared" si="2"/>
        <v>100</v>
      </c>
      <c r="X9" s="1570"/>
      <c r="Y9" s="3367"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28"/>
      <c r="Q10" s="1151" t="str">
        <f t="shared" si="6"/>
        <v>土地使用年限（年）</v>
      </c>
      <c r="R10" s="1568" t="s">
        <v>8</v>
      </c>
      <c r="S10" s="1569">
        <f t="shared" si="0"/>
        <v>100</v>
      </c>
      <c r="T10" s="1568" t="s">
        <v>8</v>
      </c>
      <c r="U10" s="1569">
        <f t="shared" si="1"/>
        <v>100</v>
      </c>
      <c r="V10" s="1568" t="s">
        <v>8</v>
      </c>
      <c r="W10" s="1569">
        <f t="shared" si="2"/>
        <v>100</v>
      </c>
      <c r="X10" s="1570"/>
      <c r="Y10" s="3367"/>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28"/>
      <c r="Q11" s="1151" t="str">
        <f t="shared" si="6"/>
        <v>容积率</v>
      </c>
      <c r="R11" s="1568" t="s">
        <v>8</v>
      </c>
      <c r="S11" s="1569" t="e">
        <f t="shared" si="0"/>
        <v>#N/A</v>
      </c>
      <c r="T11" s="1568" t="s">
        <v>8</v>
      </c>
      <c r="U11" s="1569" t="e">
        <f t="shared" si="1"/>
        <v>#N/A</v>
      </c>
      <c r="V11" s="1568" t="s">
        <v>8</v>
      </c>
      <c r="W11" s="1569" t="e">
        <f t="shared" si="2"/>
        <v>#N/A</v>
      </c>
      <c r="X11" s="1570"/>
      <c r="Y11" s="3367"/>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28"/>
      <c r="Q12" s="1151">
        <f t="shared" si="6"/>
        <v>111</v>
      </c>
      <c r="R12" s="1568" t="s">
        <v>8</v>
      </c>
      <c r="S12" s="1569">
        <f t="shared" si="0"/>
        <v>100</v>
      </c>
      <c r="T12" s="1568" t="s">
        <v>8</v>
      </c>
      <c r="U12" s="1569">
        <f t="shared" si="1"/>
        <v>100</v>
      </c>
      <c r="V12" s="1568" t="s">
        <v>8</v>
      </c>
      <c r="W12" s="1569">
        <f t="shared" si="2"/>
        <v>100</v>
      </c>
      <c r="X12" s="1570"/>
      <c r="Y12" s="3367"/>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28"/>
      <c r="Q13" s="1151">
        <f t="shared" si="6"/>
        <v>111</v>
      </c>
      <c r="R13" s="1568" t="s">
        <v>8</v>
      </c>
      <c r="S13" s="1569">
        <f t="shared" si="0"/>
        <v>100</v>
      </c>
      <c r="T13" s="1568" t="s">
        <v>8</v>
      </c>
      <c r="U13" s="1569">
        <f t="shared" si="1"/>
        <v>100</v>
      </c>
      <c r="V13" s="1568" t="s">
        <v>8</v>
      </c>
      <c r="W13" s="1569">
        <f t="shared" si="2"/>
        <v>100</v>
      </c>
      <c r="X13" s="1570"/>
      <c r="Y13" s="3367"/>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28"/>
      <c r="Q14" s="1151">
        <f t="shared" si="6"/>
        <v>111</v>
      </c>
      <c r="R14" s="1568" t="s">
        <v>8</v>
      </c>
      <c r="S14" s="1569">
        <f t="shared" si="0"/>
        <v>100</v>
      </c>
      <c r="T14" s="1568" t="s">
        <v>8</v>
      </c>
      <c r="U14" s="1569">
        <f t="shared" si="1"/>
        <v>100</v>
      </c>
      <c r="V14" s="1568" t="s">
        <v>8</v>
      </c>
      <c r="W14" s="1569">
        <f t="shared" si="2"/>
        <v>100</v>
      </c>
      <c r="X14" s="1570"/>
      <c r="Y14" s="3367"/>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30" t="s">
        <v>540</v>
      </c>
      <c r="Q15" s="1572" t="str">
        <f t="shared" si="6"/>
        <v>商业繁华度</v>
      </c>
      <c r="R15" s="1573" t="s">
        <v>8</v>
      </c>
      <c r="S15" s="1574">
        <f t="shared" si="0"/>
        <v>100</v>
      </c>
      <c r="T15" s="1573" t="s">
        <v>8</v>
      </c>
      <c r="U15" s="1574">
        <f t="shared" si="1"/>
        <v>100</v>
      </c>
      <c r="V15" s="1573" t="s">
        <v>8</v>
      </c>
      <c r="W15" s="1574">
        <f t="shared" si="2"/>
        <v>100</v>
      </c>
      <c r="X15" s="1567"/>
      <c r="Y15" s="3430"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1"/>
      <c r="Q16" s="1572"/>
      <c r="R16" s="1573"/>
      <c r="S16" s="1574"/>
      <c r="T16" s="1573"/>
      <c r="U16" s="1574"/>
      <c r="V16" s="1573"/>
      <c r="W16" s="1574"/>
      <c r="X16" s="1567"/>
      <c r="Y16" s="343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31"/>
      <c r="Q17" s="1572" t="str">
        <f>B17</f>
        <v>交通便捷度</v>
      </c>
      <c r="R17" s="1573" t="s">
        <v>8</v>
      </c>
      <c r="S17" s="1574">
        <f>F17</f>
        <v>100</v>
      </c>
      <c r="T17" s="1573" t="s">
        <v>8</v>
      </c>
      <c r="U17" s="1574">
        <f>H17</f>
        <v>100</v>
      </c>
      <c r="V17" s="1573" t="s">
        <v>8</v>
      </c>
      <c r="W17" s="1574">
        <f>J17</f>
        <v>100</v>
      </c>
      <c r="X17" s="1567"/>
      <c r="Y17" s="343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1"/>
      <c r="Q18" s="1572"/>
      <c r="R18" s="1573"/>
      <c r="S18" s="1574"/>
      <c r="T18" s="1573"/>
      <c r="U18" s="1574"/>
      <c r="V18" s="1573"/>
      <c r="W18" s="1574"/>
      <c r="X18" s="1567"/>
      <c r="Y18" s="3431"/>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31"/>
      <c r="Q19" s="1572" t="str">
        <f>B19</f>
        <v>公共配套设施</v>
      </c>
      <c r="R19" s="1573" t="s">
        <v>8</v>
      </c>
      <c r="S19" s="1574">
        <f>F19</f>
        <v>100</v>
      </c>
      <c r="T19" s="1573" t="s">
        <v>8</v>
      </c>
      <c r="U19" s="1574">
        <f>H19</f>
        <v>100</v>
      </c>
      <c r="V19" s="1573" t="s">
        <v>8</v>
      </c>
      <c r="W19" s="1574">
        <f>J19</f>
        <v>100</v>
      </c>
      <c r="X19" s="1567"/>
      <c r="Y19" s="343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31"/>
      <c r="Q20" s="1572"/>
      <c r="R20" s="1573"/>
      <c r="S20" s="1574"/>
      <c r="T20" s="1573"/>
      <c r="U20" s="1574"/>
      <c r="V20" s="1573"/>
      <c r="W20" s="1574"/>
      <c r="X20" s="1567"/>
      <c r="Y20" s="3431"/>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31"/>
      <c r="Q21" s="2580" t="str">
        <f>B21</f>
        <v>基础设施水平</v>
      </c>
      <c r="R21" s="1573" t="s">
        <v>8</v>
      </c>
      <c r="S21" s="1574">
        <f>F21</f>
        <v>100</v>
      </c>
      <c r="T21" s="1573" t="s">
        <v>8</v>
      </c>
      <c r="U21" s="1574">
        <f>H21</f>
        <v>100</v>
      </c>
      <c r="V21" s="1573" t="s">
        <v>8</v>
      </c>
      <c r="W21" s="1574">
        <f>J21</f>
        <v>100</v>
      </c>
      <c r="X21" s="2582"/>
      <c r="Y21" s="3431"/>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31"/>
      <c r="Q22" s="2580"/>
      <c r="R22" s="1573"/>
      <c r="S22" s="1574"/>
      <c r="T22" s="1573"/>
      <c r="U22" s="1574"/>
      <c r="V22" s="1573"/>
      <c r="W22" s="1574"/>
      <c r="X22" s="2582"/>
      <c r="Y22" s="3431"/>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31"/>
      <c r="Q23" s="1572" t="str">
        <f>B23</f>
        <v>自然及人文环境</v>
      </c>
      <c r="R23" s="1573" t="s">
        <v>8</v>
      </c>
      <c r="S23" s="1574">
        <f>F23</f>
        <v>100</v>
      </c>
      <c r="T23" s="1573" t="s">
        <v>8</v>
      </c>
      <c r="U23" s="1574">
        <f>H23</f>
        <v>100</v>
      </c>
      <c r="V23" s="1573" t="s">
        <v>8</v>
      </c>
      <c r="W23" s="1574">
        <f>J23</f>
        <v>100</v>
      </c>
      <c r="X23" s="1567"/>
      <c r="Y23" s="343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31"/>
      <c r="Q24" s="1572"/>
      <c r="R24" s="1573"/>
      <c r="S24" s="1574"/>
      <c r="T24" s="1573"/>
      <c r="U24" s="1574"/>
      <c r="V24" s="1573"/>
      <c r="W24" s="1574"/>
      <c r="X24" s="1567"/>
      <c r="Y24" s="3431"/>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31"/>
      <c r="Q25" s="1572" t="str">
        <f t="shared" ref="Q25:Q46" si="11">B25</f>
        <v>临街状况</v>
      </c>
      <c r="R25" s="1573" t="s">
        <v>8</v>
      </c>
      <c r="S25" s="1574">
        <f>F25</f>
        <v>100</v>
      </c>
      <c r="T25" s="1573" t="s">
        <v>8</v>
      </c>
      <c r="U25" s="1574">
        <f>H25</f>
        <v>100</v>
      </c>
      <c r="V25" s="1573" t="s">
        <v>8</v>
      </c>
      <c r="W25" s="1574">
        <f>J25</f>
        <v>100</v>
      </c>
      <c r="X25" s="1567"/>
      <c r="Y25" s="3431"/>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31"/>
      <c r="Q26" s="1572" t="str">
        <f t="shared" si="11"/>
        <v>平面位置/可视性</v>
      </c>
      <c r="R26" s="1573" t="s">
        <v>8</v>
      </c>
      <c r="S26" s="1574">
        <f>F26</f>
        <v>100</v>
      </c>
      <c r="T26" s="1573" t="s">
        <v>8</v>
      </c>
      <c r="U26" s="1574">
        <f>H26</f>
        <v>100</v>
      </c>
      <c r="V26" s="1573" t="s">
        <v>8</v>
      </c>
      <c r="W26" s="1574">
        <f>J26</f>
        <v>100</v>
      </c>
      <c r="X26" s="1567"/>
      <c r="Y26" s="3431"/>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31"/>
      <c r="Q27" s="1151" t="str">
        <f t="shared" si="11"/>
        <v>人流量</v>
      </c>
      <c r="R27" s="1568" t="s">
        <v>8</v>
      </c>
      <c r="S27" s="1569">
        <f>F27</f>
        <v>100</v>
      </c>
      <c r="T27" s="1568" t="s">
        <v>8</v>
      </c>
      <c r="U27" s="1569">
        <f>H27</f>
        <v>100</v>
      </c>
      <c r="V27" s="1568" t="s">
        <v>8</v>
      </c>
      <c r="W27" s="1569">
        <f>J27</f>
        <v>100</v>
      </c>
      <c r="X27" s="1570"/>
      <c r="Y27" s="3431"/>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3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1"/>
      <c r="Q29" s="1572">
        <f t="shared" si="11"/>
        <v>111</v>
      </c>
      <c r="R29" s="1573" t="s">
        <v>8</v>
      </c>
      <c r="S29" s="1574">
        <f t="shared" si="12"/>
        <v>100</v>
      </c>
      <c r="T29" s="1573" t="s">
        <v>8</v>
      </c>
      <c r="U29" s="1574">
        <f t="shared" si="13"/>
        <v>100</v>
      </c>
      <c r="V29" s="1573" t="s">
        <v>8</v>
      </c>
      <c r="W29" s="1574">
        <f t="shared" si="14"/>
        <v>100</v>
      </c>
      <c r="X29" s="1567"/>
      <c r="Y29" s="343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1"/>
      <c r="Q30" s="1572">
        <f t="shared" si="11"/>
        <v>111</v>
      </c>
      <c r="R30" s="1573" t="s">
        <v>8</v>
      </c>
      <c r="S30" s="1574">
        <f t="shared" si="12"/>
        <v>100</v>
      </c>
      <c r="T30" s="1573" t="s">
        <v>8</v>
      </c>
      <c r="U30" s="1574">
        <f t="shared" si="13"/>
        <v>100</v>
      </c>
      <c r="V30" s="1573" t="s">
        <v>8</v>
      </c>
      <c r="W30" s="1574">
        <f t="shared" si="14"/>
        <v>100</v>
      </c>
      <c r="X30" s="1567"/>
      <c r="Y30" s="343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1"/>
      <c r="Q31" s="1572">
        <f t="shared" si="11"/>
        <v>111</v>
      </c>
      <c r="R31" s="1573" t="s">
        <v>8</v>
      </c>
      <c r="S31" s="1574">
        <f t="shared" si="12"/>
        <v>100</v>
      </c>
      <c r="T31" s="1573" t="s">
        <v>8</v>
      </c>
      <c r="U31" s="1574">
        <f t="shared" si="13"/>
        <v>100</v>
      </c>
      <c r="V31" s="1573" t="s">
        <v>8</v>
      </c>
      <c r="W31" s="1574">
        <f t="shared" si="14"/>
        <v>100</v>
      </c>
      <c r="X31" s="1567"/>
      <c r="Y31" s="3431"/>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32" t="s">
        <v>550</v>
      </c>
      <c r="Q32" s="1572" t="str">
        <f t="shared" si="11"/>
        <v>商业类型</v>
      </c>
      <c r="R32" s="1573" t="s">
        <v>8</v>
      </c>
      <c r="S32" s="1574">
        <f t="shared" si="12"/>
        <v>100</v>
      </c>
      <c r="T32" s="1573" t="s">
        <v>8</v>
      </c>
      <c r="U32" s="1574">
        <f t="shared" si="13"/>
        <v>100</v>
      </c>
      <c r="V32" s="1573" t="s">
        <v>8</v>
      </c>
      <c r="W32" s="1574">
        <f t="shared" si="14"/>
        <v>100</v>
      </c>
      <c r="X32" s="1567"/>
      <c r="Y32" s="3433"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33"/>
      <c r="Q33" s="1605" t="str">
        <f t="shared" si="11"/>
        <v>项目建筑规模</v>
      </c>
      <c r="R33" s="1577" t="s">
        <v>8</v>
      </c>
      <c r="S33" s="1578" t="e">
        <f t="shared" si="12"/>
        <v>#N/A</v>
      </c>
      <c r="T33" s="1577" t="s">
        <v>8</v>
      </c>
      <c r="U33" s="1578" t="e">
        <f t="shared" si="13"/>
        <v>#N/A</v>
      </c>
      <c r="V33" s="1577" t="s">
        <v>8</v>
      </c>
      <c r="W33" s="1578" t="e">
        <f t="shared" si="14"/>
        <v>#N/A</v>
      </c>
      <c r="X33" s="1579"/>
      <c r="Y33" s="3433"/>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33"/>
      <c r="Q34" s="1572" t="str">
        <f t="shared" si="11"/>
        <v>建筑结构</v>
      </c>
      <c r="R34" s="1573" t="s">
        <v>8</v>
      </c>
      <c r="S34" s="1574">
        <f t="shared" si="12"/>
        <v>100</v>
      </c>
      <c r="T34" s="1573" t="s">
        <v>8</v>
      </c>
      <c r="U34" s="1574">
        <f t="shared" si="13"/>
        <v>100</v>
      </c>
      <c r="V34" s="1573" t="s">
        <v>8</v>
      </c>
      <c r="W34" s="1574">
        <f t="shared" si="14"/>
        <v>100</v>
      </c>
      <c r="X34" s="1567"/>
      <c r="Y34" s="3433"/>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33"/>
      <c r="Q35" s="1572" t="str">
        <f t="shared" si="11"/>
        <v>公共部分装修</v>
      </c>
      <c r="R35" s="1573" t="s">
        <v>8</v>
      </c>
      <c r="S35" s="1574">
        <f t="shared" si="12"/>
        <v>100</v>
      </c>
      <c r="T35" s="1573" t="s">
        <v>8</v>
      </c>
      <c r="U35" s="1574">
        <f t="shared" si="13"/>
        <v>100</v>
      </c>
      <c r="V35" s="1573" t="s">
        <v>8</v>
      </c>
      <c r="W35" s="1574">
        <f t="shared" si="14"/>
        <v>100</v>
      </c>
      <c r="X35" s="1567"/>
      <c r="Y35" s="3433"/>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33"/>
      <c r="Q36" s="1572" t="str">
        <f t="shared" si="11"/>
        <v>成新度</v>
      </c>
      <c r="R36" s="1573" t="s">
        <v>8</v>
      </c>
      <c r="S36" s="1574" t="e">
        <f t="shared" si="12"/>
        <v>#N/A</v>
      </c>
      <c r="T36" s="1573" t="s">
        <v>8</v>
      </c>
      <c r="U36" s="1574" t="e">
        <f t="shared" si="13"/>
        <v>#N/A</v>
      </c>
      <c r="V36" s="1573" t="s">
        <v>8</v>
      </c>
      <c r="W36" s="1574" t="e">
        <f t="shared" si="14"/>
        <v>#N/A</v>
      </c>
      <c r="X36" s="1567"/>
      <c r="Y36" s="3433"/>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33"/>
      <c r="Q37" s="1151" t="str">
        <f t="shared" si="11"/>
        <v>市政基础设施</v>
      </c>
      <c r="R37" s="1568" t="s">
        <v>8</v>
      </c>
      <c r="S37" s="1569">
        <f t="shared" si="12"/>
        <v>100</v>
      </c>
      <c r="T37" s="1568" t="s">
        <v>8</v>
      </c>
      <c r="U37" s="1569">
        <f t="shared" si="13"/>
        <v>100</v>
      </c>
      <c r="V37" s="1568" t="s">
        <v>8</v>
      </c>
      <c r="W37" s="1569">
        <f t="shared" si="14"/>
        <v>100</v>
      </c>
      <c r="X37" s="1570"/>
      <c r="Y37" s="3433"/>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33" t="s">
        <v>766</v>
      </c>
      <c r="Q38" s="1572" t="str">
        <f t="shared" si="11"/>
        <v>业态</v>
      </c>
      <c r="R38" s="1573" t="s">
        <v>8</v>
      </c>
      <c r="S38" s="1574">
        <f t="shared" si="12"/>
        <v>100</v>
      </c>
      <c r="T38" s="1573" t="s">
        <v>8</v>
      </c>
      <c r="U38" s="1574">
        <f t="shared" si="13"/>
        <v>100</v>
      </c>
      <c r="V38" s="1573" t="s">
        <v>8</v>
      </c>
      <c r="W38" s="1574">
        <f t="shared" si="14"/>
        <v>100</v>
      </c>
      <c r="X38" s="1567"/>
      <c r="Y38" s="3433"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3"/>
      <c r="Q39" s="1572" t="str">
        <f t="shared" si="11"/>
        <v>层高</v>
      </c>
      <c r="R39" s="1573" t="s">
        <v>8</v>
      </c>
      <c r="S39" s="1574">
        <f t="shared" si="12"/>
        <v>100</v>
      </c>
      <c r="T39" s="1573" t="s">
        <v>8</v>
      </c>
      <c r="U39" s="1574">
        <f t="shared" si="13"/>
        <v>100</v>
      </c>
      <c r="V39" s="1573" t="s">
        <v>8</v>
      </c>
      <c r="W39" s="1574">
        <f t="shared" si="14"/>
        <v>100</v>
      </c>
      <c r="X39" s="1567"/>
      <c r="Y39" s="3433"/>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3"/>
      <c r="Q40" s="1572" t="str">
        <f t="shared" si="11"/>
        <v>单套建筑面积</v>
      </c>
      <c r="R40" s="1573" t="s">
        <v>8</v>
      </c>
      <c r="S40" s="1574">
        <f t="shared" si="12"/>
        <v>100</v>
      </c>
      <c r="T40" s="1573" t="s">
        <v>8</v>
      </c>
      <c r="U40" s="1574">
        <f t="shared" si="13"/>
        <v>100</v>
      </c>
      <c r="V40" s="1573" t="s">
        <v>8</v>
      </c>
      <c r="W40" s="1574">
        <f t="shared" si="14"/>
        <v>100</v>
      </c>
      <c r="X40" s="1567"/>
      <c r="Y40" s="3433"/>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33"/>
      <c r="Q41" s="1605" t="str">
        <f t="shared" si="11"/>
        <v>进深比</v>
      </c>
      <c r="R41" s="1577" t="s">
        <v>8</v>
      </c>
      <c r="S41" s="1578">
        <f t="shared" si="12"/>
        <v>100</v>
      </c>
      <c r="T41" s="1577" t="s">
        <v>8</v>
      </c>
      <c r="U41" s="1578">
        <f t="shared" si="13"/>
        <v>100</v>
      </c>
      <c r="V41" s="1577" t="s">
        <v>8</v>
      </c>
      <c r="W41" s="1578">
        <f t="shared" si="14"/>
        <v>100</v>
      </c>
      <c r="X41" s="1579"/>
      <c r="Y41" s="3433"/>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33"/>
      <c r="Q42" s="1572" t="str">
        <f t="shared" si="11"/>
        <v>内部装修</v>
      </c>
      <c r="R42" s="1573" t="s">
        <v>8</v>
      </c>
      <c r="S42" s="1574">
        <f t="shared" si="12"/>
        <v>100</v>
      </c>
      <c r="T42" s="1573" t="s">
        <v>8</v>
      </c>
      <c r="U42" s="1574">
        <f t="shared" si="13"/>
        <v>100</v>
      </c>
      <c r="V42" s="1573" t="s">
        <v>8</v>
      </c>
      <c r="W42" s="1574">
        <f t="shared" si="14"/>
        <v>100</v>
      </c>
      <c r="X42" s="1567"/>
      <c r="Y42" s="3433"/>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33"/>
      <c r="Q43" s="1572" t="str">
        <f t="shared" si="11"/>
        <v>内部装修维护情况</v>
      </c>
      <c r="R43" s="1573" t="s">
        <v>8</v>
      </c>
      <c r="S43" s="1574">
        <f t="shared" si="12"/>
        <v>100</v>
      </c>
      <c r="T43" s="1573" t="s">
        <v>8</v>
      </c>
      <c r="U43" s="1574">
        <f t="shared" si="13"/>
        <v>100</v>
      </c>
      <c r="V43" s="1573" t="s">
        <v>8</v>
      </c>
      <c r="W43" s="1574">
        <f t="shared" si="14"/>
        <v>100</v>
      </c>
      <c r="X43" s="1567"/>
      <c r="Y43" s="343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3"/>
      <c r="Q44" s="1151">
        <f t="shared" si="11"/>
        <v>111</v>
      </c>
      <c r="R44" s="1568" t="s">
        <v>8</v>
      </c>
      <c r="S44" s="1569">
        <f t="shared" si="12"/>
        <v>100</v>
      </c>
      <c r="T44" s="1568" t="s">
        <v>8</v>
      </c>
      <c r="U44" s="1569">
        <f t="shared" si="13"/>
        <v>100</v>
      </c>
      <c r="V44" s="1568" t="s">
        <v>8</v>
      </c>
      <c r="W44" s="1569">
        <f t="shared" si="14"/>
        <v>100</v>
      </c>
      <c r="X44" s="1570"/>
      <c r="Y44" s="343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3"/>
      <c r="Q45" s="1572">
        <f t="shared" si="11"/>
        <v>111</v>
      </c>
      <c r="R45" s="1573" t="s">
        <v>8</v>
      </c>
      <c r="S45" s="1574">
        <f t="shared" si="12"/>
        <v>100</v>
      </c>
      <c r="T45" s="1573" t="s">
        <v>8</v>
      </c>
      <c r="U45" s="1574">
        <f t="shared" si="13"/>
        <v>100</v>
      </c>
      <c r="V45" s="1573" t="s">
        <v>8</v>
      </c>
      <c r="W45" s="1574">
        <f t="shared" si="14"/>
        <v>100</v>
      </c>
      <c r="X45" s="1567"/>
      <c r="Y45" s="3433"/>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5"/>
      <c r="Q46" s="1572">
        <f t="shared" si="11"/>
        <v>111</v>
      </c>
      <c r="R46" s="1573" t="s">
        <v>8</v>
      </c>
      <c r="S46" s="1574">
        <f t="shared" si="12"/>
        <v>100</v>
      </c>
      <c r="T46" s="1573" t="s">
        <v>8</v>
      </c>
      <c r="U46" s="1574">
        <f t="shared" si="13"/>
        <v>100</v>
      </c>
      <c r="V46" s="1573" t="s">
        <v>8</v>
      </c>
      <c r="W46" s="1574">
        <f t="shared" si="14"/>
        <v>100</v>
      </c>
      <c r="X46" s="1567"/>
      <c r="Y46" s="3515"/>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28" t="str">
        <f>A47</f>
        <v>成交单价（元/平方米）</v>
      </c>
      <c r="Q47" s="3428"/>
      <c r="R47" s="3514">
        <f>E47</f>
        <v>0</v>
      </c>
      <c r="S47" s="3514"/>
      <c r="T47" s="3514">
        <f>G47</f>
        <v>0</v>
      </c>
      <c r="U47" s="3514"/>
      <c r="V47" s="3514">
        <f>I47</f>
        <v>0</v>
      </c>
      <c r="W47" s="3514"/>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428" t="str">
        <f>A48</f>
        <v>比较价格（元/平方米）</v>
      </c>
      <c r="Q48" s="3428"/>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449" t="str">
        <f>A49</f>
        <v>估价对象XX用房的比较价格（楼面单价，元/平方米）</v>
      </c>
      <c r="Q49" s="3450"/>
      <c r="R49" s="3513" t="e">
        <f>IF(F1="售价",ROUND(AVERAGE(R48:V48),0),ROUND(AVERAGE(R48:V48),1))</f>
        <v>#DIV/0!</v>
      </c>
      <c r="S49" s="3513"/>
      <c r="T49" s="3513"/>
      <c r="U49" s="3513"/>
      <c r="V49" s="3513"/>
      <c r="W49" s="351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8" zoomScale="80" zoomScaleNormal="80" workbookViewId="0">
      <selection activeCell="K37" sqref="K3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7.12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f>ROUND(B3*D3/10000,0)</f>
        <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f>C50</f>
        <v>33660.199999999997</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34" t="s">
        <v>522</v>
      </c>
      <c r="D4" s="3435"/>
      <c r="E4" s="3458" t="s">
        <v>523</v>
      </c>
      <c r="F4" s="3459"/>
      <c r="G4" s="3434" t="s">
        <v>524</v>
      </c>
      <c r="H4" s="3435"/>
      <c r="I4" s="3434" t="s">
        <v>525</v>
      </c>
      <c r="J4" s="3435"/>
      <c r="K4" s="514" t="s">
        <v>526</v>
      </c>
      <c r="L4" s="2134"/>
      <c r="M4" s="2135"/>
      <c r="N4" s="2135"/>
      <c r="O4" s="2135"/>
      <c r="P4" s="3516" t="s">
        <v>527</v>
      </c>
      <c r="Q4" s="3437"/>
      <c r="R4" s="3422" t="s">
        <v>523</v>
      </c>
      <c r="S4" s="3423"/>
      <c r="T4" s="3422" t="s">
        <v>524</v>
      </c>
      <c r="U4" s="3423"/>
      <c r="V4" s="3442" t="s">
        <v>525</v>
      </c>
      <c r="W4" s="3442"/>
      <c r="X4" s="1567"/>
      <c r="Y4" s="3422" t="s">
        <v>527</v>
      </c>
      <c r="Z4" s="3423"/>
      <c r="AA4" s="3417" t="s">
        <v>523</v>
      </c>
      <c r="AB4" s="3417" t="s">
        <v>524</v>
      </c>
      <c r="AC4" s="3417" t="s">
        <v>525</v>
      </c>
    </row>
    <row r="5" spans="1:29" ht="15">
      <c r="A5" s="515"/>
      <c r="B5" s="516"/>
      <c r="C5" s="3445" t="s">
        <v>2933</v>
      </c>
      <c r="D5" s="3446"/>
      <c r="E5" s="3509" t="s">
        <v>3158</v>
      </c>
      <c r="F5" s="3461"/>
      <c r="G5" s="3510" t="s">
        <v>3160</v>
      </c>
      <c r="H5" s="3446"/>
      <c r="I5" s="3510" t="s">
        <v>3166</v>
      </c>
      <c r="J5" s="3446"/>
      <c r="K5" s="514"/>
      <c r="L5" s="2134"/>
      <c r="M5" s="2135"/>
      <c r="N5" s="2135"/>
      <c r="O5" s="2135"/>
      <c r="P5" s="3517"/>
      <c r="Q5" s="3439"/>
      <c r="R5" s="3424"/>
      <c r="S5" s="3425"/>
      <c r="T5" s="3424"/>
      <c r="U5" s="3425"/>
      <c r="V5" s="3442"/>
      <c r="W5" s="3442"/>
      <c r="X5" s="1567"/>
      <c r="Y5" s="3424"/>
      <c r="Z5" s="3425"/>
      <c r="AA5" s="3418"/>
      <c r="AB5" s="3418"/>
      <c r="AC5" s="3418"/>
    </row>
    <row r="6" spans="1:29" ht="15.75" thickBot="1">
      <c r="A6" s="517"/>
      <c r="B6" s="518"/>
      <c r="C6" s="3443" t="s">
        <v>2937</v>
      </c>
      <c r="D6" s="3444"/>
      <c r="E6" s="3462" t="s">
        <v>2937</v>
      </c>
      <c r="F6" s="3463"/>
      <c r="G6" s="3443" t="s">
        <v>2937</v>
      </c>
      <c r="H6" s="3444"/>
      <c r="I6" s="3443" t="s">
        <v>2937</v>
      </c>
      <c r="J6" s="3444"/>
      <c r="K6" s="514" t="s">
        <v>528</v>
      </c>
      <c r="L6" s="2134"/>
      <c r="M6" s="2135"/>
      <c r="N6" s="2135"/>
      <c r="O6" s="2135"/>
      <c r="P6" s="3518"/>
      <c r="Q6" s="3441"/>
      <c r="R6" s="3424"/>
      <c r="S6" s="3425"/>
      <c r="T6" s="3426"/>
      <c r="U6" s="3427"/>
      <c r="V6" s="3442"/>
      <c r="W6" s="3442"/>
      <c r="X6" s="1567"/>
      <c r="Y6" s="3426"/>
      <c r="Z6" s="3427"/>
      <c r="AA6" s="3419"/>
      <c r="AB6" s="3419"/>
      <c r="AC6" s="3419"/>
    </row>
    <row r="7" spans="1:29" s="1220" customFormat="1" ht="15.75" thickBot="1">
      <c r="A7" s="2913"/>
      <c r="B7" s="2920" t="s">
        <v>529</v>
      </c>
      <c r="C7" s="519">
        <f>'数据-取费表'!B2</f>
        <v>43273</v>
      </c>
      <c r="D7" s="520">
        <v>100</v>
      </c>
      <c r="E7" s="521">
        <v>43257</v>
      </c>
      <c r="F7" s="522">
        <f>SUMIF(59:59,YEAR(E7)&amp;"-"&amp;MONTH(E7),60:60)</f>
        <v>100</v>
      </c>
      <c r="G7" s="521">
        <v>43121</v>
      </c>
      <c r="H7" s="520">
        <f>SUMIF(59:59,YEAR(G7)&amp;"-"&amp;MONTH(G7),60:60)</f>
        <v>99.5</v>
      </c>
      <c r="I7" s="521">
        <v>43090</v>
      </c>
      <c r="J7" s="520">
        <f>SUMIF(59:59,YEAR(I7)&amp;"-"&amp;MONTH(I7),60:60)</f>
        <v>99</v>
      </c>
      <c r="K7" s="524"/>
      <c r="L7" s="2136"/>
      <c r="M7" s="2137"/>
      <c r="N7" s="2137"/>
      <c r="O7" s="2137"/>
      <c r="P7" s="3429" t="s">
        <v>530</v>
      </c>
      <c r="Q7" s="3429"/>
      <c r="R7" s="1568" t="s">
        <v>8</v>
      </c>
      <c r="S7" s="1569">
        <f t="shared" ref="S7:S15" si="0">F7</f>
        <v>100</v>
      </c>
      <c r="T7" s="1568" t="s">
        <v>8</v>
      </c>
      <c r="U7" s="1569">
        <f t="shared" ref="U7:U15" si="1">H7</f>
        <v>99.5</v>
      </c>
      <c r="V7" s="1568" t="s">
        <v>8</v>
      </c>
      <c r="W7" s="1569">
        <f t="shared" ref="W7:W15" si="2">J7</f>
        <v>99</v>
      </c>
      <c r="X7" s="1570"/>
      <c r="Y7" s="3420" t="s">
        <v>530</v>
      </c>
      <c r="Z7" s="3421"/>
      <c r="AA7" s="1571">
        <f>D7/F7</f>
        <v>1</v>
      </c>
      <c r="AB7" s="1571">
        <f>D7/H7</f>
        <v>1.0050251256281406</v>
      </c>
      <c r="AC7" s="1571">
        <f>D7/J7</f>
        <v>1.0101010101010102</v>
      </c>
    </row>
    <row r="8" spans="1:29" s="1220" customFormat="1" ht="15.75" thickBot="1">
      <c r="A8" s="2914"/>
      <c r="B8" s="2921" t="s">
        <v>531</v>
      </c>
      <c r="C8" s="525" t="s">
        <v>576</v>
      </c>
      <c r="D8" s="520">
        <v>100</v>
      </c>
      <c r="E8" s="525" t="s">
        <v>3068</v>
      </c>
      <c r="F8" s="522">
        <f>SUMIF(62:62,E8,63:63)-SUMIF(62:62,C8,63:63)+100</f>
        <v>100</v>
      </c>
      <c r="G8" s="525" t="s">
        <v>3068</v>
      </c>
      <c r="H8" s="520">
        <f>SUMIF(62:62,G8,63:63)-SUMIF(62:62,C8,63:63)+100</f>
        <v>100</v>
      </c>
      <c r="I8" s="525" t="s">
        <v>3068</v>
      </c>
      <c r="J8" s="520">
        <f>SUMIF(62:62,I8,63:63)-SUMIF(62:62,C8,63:63)+100</f>
        <v>100</v>
      </c>
      <c r="K8" s="524"/>
      <c r="L8" s="2136"/>
      <c r="M8" s="2137"/>
      <c r="N8" s="2137"/>
      <c r="O8" s="2137"/>
      <c r="P8" s="3429" t="s">
        <v>533</v>
      </c>
      <c r="Q8" s="3421"/>
      <c r="R8" s="1568" t="s">
        <v>8</v>
      </c>
      <c r="S8" s="1569">
        <f t="shared" si="0"/>
        <v>100</v>
      </c>
      <c r="T8" s="1568" t="s">
        <v>8</v>
      </c>
      <c r="U8" s="1569">
        <f t="shared" si="1"/>
        <v>100</v>
      </c>
      <c r="V8" s="1568" t="s">
        <v>8</v>
      </c>
      <c r="W8" s="1569">
        <f t="shared" si="2"/>
        <v>100</v>
      </c>
      <c r="X8" s="1570"/>
      <c r="Y8" s="3420" t="s">
        <v>533</v>
      </c>
      <c r="Z8" s="3421"/>
      <c r="AA8" s="1571">
        <f t="shared" ref="AA8:AA47" si="3">D8/F8</f>
        <v>1</v>
      </c>
      <c r="AB8" s="1571">
        <f t="shared" ref="AB8:AB47" si="4">D8/H8</f>
        <v>1</v>
      </c>
      <c r="AC8" s="1571">
        <f t="shared" ref="AC8:AC47" si="5">D8/J8</f>
        <v>1</v>
      </c>
    </row>
    <row r="9" spans="1:29" s="1220" customFormat="1" ht="15">
      <c r="A9" s="2915"/>
      <c r="B9" s="2922" t="s">
        <v>2759</v>
      </c>
      <c r="C9" s="3199" t="s">
        <v>3137</v>
      </c>
      <c r="D9" s="254">
        <v>100</v>
      </c>
      <c r="E9" s="860" t="s">
        <v>1678</v>
      </c>
      <c r="F9" s="254">
        <f>SUMIF(64:64,E9,65:65)-SUMIF(64:64,C9,65:65)+100</f>
        <v>100</v>
      </c>
      <c r="G9" s="858" t="s">
        <v>1678</v>
      </c>
      <c r="H9" s="254">
        <f>SUMIF(64:64,G9,65:65)-SUMIF(64:64,C9,65:65)+100</f>
        <v>100</v>
      </c>
      <c r="I9" s="858" t="s">
        <v>1678</v>
      </c>
      <c r="J9" s="254">
        <f>SUMIF(64:64,I9,65:65)-SUMIF(64:64,C9,65:65)+100</f>
        <v>100</v>
      </c>
      <c r="K9" s="524"/>
      <c r="L9" s="2136"/>
      <c r="M9" s="2137"/>
      <c r="N9" s="2137"/>
      <c r="O9" s="2137"/>
      <c r="P9" s="3428" t="s">
        <v>535</v>
      </c>
      <c r="Q9" s="1151" t="str">
        <f t="shared" ref="Q9:Q15" si="6">B9</f>
        <v>用途</v>
      </c>
      <c r="R9" s="1568" t="s">
        <v>8</v>
      </c>
      <c r="S9" s="1569">
        <f t="shared" si="0"/>
        <v>100</v>
      </c>
      <c r="T9" s="1568" t="s">
        <v>8</v>
      </c>
      <c r="U9" s="1569">
        <f t="shared" si="1"/>
        <v>100</v>
      </c>
      <c r="V9" s="1568" t="s">
        <v>8</v>
      </c>
      <c r="W9" s="1569">
        <f t="shared" si="2"/>
        <v>100</v>
      </c>
      <c r="X9" s="1570"/>
      <c r="Y9" s="3367" t="s">
        <v>536</v>
      </c>
      <c r="Z9" s="1150" t="str">
        <f t="shared" ref="Z9:Z15" si="7">Q9</f>
        <v>用途</v>
      </c>
      <c r="AA9" s="1571">
        <f t="shared" si="3"/>
        <v>1</v>
      </c>
      <c r="AB9" s="1571">
        <f t="shared" si="4"/>
        <v>1</v>
      </c>
      <c r="AC9" s="1571">
        <f t="shared" si="5"/>
        <v>1</v>
      </c>
    </row>
    <row r="10" spans="1:29" s="1338" customFormat="1" ht="27">
      <c r="A10" s="2916"/>
      <c r="B10" s="2921" t="s">
        <v>2760</v>
      </c>
      <c r="C10" s="861" t="s">
        <v>3052</v>
      </c>
      <c r="D10" s="255">
        <v>100</v>
      </c>
      <c r="E10" s="861" t="s">
        <v>3052</v>
      </c>
      <c r="F10" s="255">
        <f>SUMIF(66:66,E10,67:67)-SUMIF(66:66,C10,67:67)+100</f>
        <v>100</v>
      </c>
      <c r="G10" s="862" t="s">
        <v>3052</v>
      </c>
      <c r="H10" s="255">
        <f>SUMIF(66:66,G10,67:67)-SUMIF(66:66,C10,67:67)+100</f>
        <v>100</v>
      </c>
      <c r="I10" s="861" t="s">
        <v>3052</v>
      </c>
      <c r="J10" s="255">
        <f>SUMIF(66:66,I10,67:67)-SUMIF(66:66,C10,67:67)+100</f>
        <v>100</v>
      </c>
      <c r="K10" s="584"/>
      <c r="L10" s="2139"/>
      <c r="M10" s="2179"/>
      <c r="N10" s="2179"/>
      <c r="O10" s="2179"/>
      <c r="P10" s="3428"/>
      <c r="Q10" s="1151" t="str">
        <f t="shared" si="6"/>
        <v>土地使用年限（年）</v>
      </c>
      <c r="R10" s="1568" t="s">
        <v>8</v>
      </c>
      <c r="S10" s="1569">
        <f t="shared" si="0"/>
        <v>100</v>
      </c>
      <c r="T10" s="1568" t="s">
        <v>8</v>
      </c>
      <c r="U10" s="1569">
        <f t="shared" si="1"/>
        <v>100</v>
      </c>
      <c r="V10" s="1568" t="s">
        <v>8</v>
      </c>
      <c r="W10" s="1569">
        <f t="shared" si="2"/>
        <v>100</v>
      </c>
      <c r="X10" s="1570"/>
      <c r="Y10" s="3367"/>
      <c r="Z10" s="1150" t="str">
        <f t="shared" si="7"/>
        <v>土地使用年限（年）</v>
      </c>
      <c r="AA10" s="1571">
        <f t="shared" si="3"/>
        <v>1</v>
      </c>
      <c r="AB10" s="1571">
        <f t="shared" si="4"/>
        <v>1</v>
      </c>
      <c r="AC10" s="1571">
        <f t="shared" si="5"/>
        <v>1</v>
      </c>
    </row>
    <row r="11" spans="1:29" ht="15">
      <c r="A11" s="2917"/>
      <c r="B11" s="2921" t="s">
        <v>2761</v>
      </c>
      <c r="C11" s="533">
        <v>1</v>
      </c>
      <c r="D11" s="255">
        <v>100</v>
      </c>
      <c r="E11" s="533">
        <v>3</v>
      </c>
      <c r="F11" s="255">
        <f>LOOKUP(E11,69:69,70:70)-LOOKUP(C11,69:69,70:70)+100</f>
        <v>99</v>
      </c>
      <c r="G11" s="534">
        <v>4</v>
      </c>
      <c r="H11" s="255">
        <f>LOOKUP(G11,69:69,70:70)-LOOKUP(C11,69:69,70:70)+100</f>
        <v>98.5</v>
      </c>
      <c r="I11" s="533">
        <v>4</v>
      </c>
      <c r="J11" s="255">
        <f>LOOKUP(I11,69:69,70:70)-LOOKUP(C11,69:69,70:70)+100</f>
        <v>98.5</v>
      </c>
      <c r="K11" s="584">
        <v>0.5</v>
      </c>
      <c r="L11" s="2141"/>
      <c r="M11" s="2135"/>
      <c r="N11" s="2135"/>
      <c r="O11" s="2135"/>
      <c r="P11" s="3428"/>
      <c r="Q11" s="1151" t="str">
        <f t="shared" si="6"/>
        <v>容积率</v>
      </c>
      <c r="R11" s="1568" t="s">
        <v>8</v>
      </c>
      <c r="S11" s="1569">
        <f t="shared" si="0"/>
        <v>99</v>
      </c>
      <c r="T11" s="1568" t="s">
        <v>8</v>
      </c>
      <c r="U11" s="1569">
        <f t="shared" si="1"/>
        <v>98.5</v>
      </c>
      <c r="V11" s="1568" t="s">
        <v>8</v>
      </c>
      <c r="W11" s="1569">
        <f t="shared" si="2"/>
        <v>98.5</v>
      </c>
      <c r="X11" s="1570"/>
      <c r="Y11" s="3367"/>
      <c r="Z11" s="1150" t="str">
        <f t="shared" si="7"/>
        <v>容积率</v>
      </c>
      <c r="AA11" s="1571">
        <f t="shared" si="3"/>
        <v>1.0101010101010102</v>
      </c>
      <c r="AB11" s="1571">
        <f t="shared" si="4"/>
        <v>1.015228426395939</v>
      </c>
      <c r="AC11" s="1571">
        <f t="shared" si="5"/>
        <v>1.015228426395939</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28"/>
      <c r="Q12" s="1151">
        <f t="shared" si="6"/>
        <v>111</v>
      </c>
      <c r="R12" s="1568" t="s">
        <v>8</v>
      </c>
      <c r="S12" s="1569">
        <f t="shared" si="0"/>
        <v>100</v>
      </c>
      <c r="T12" s="1568" t="s">
        <v>8</v>
      </c>
      <c r="U12" s="1569">
        <f t="shared" si="1"/>
        <v>100</v>
      </c>
      <c r="V12" s="1568" t="s">
        <v>8</v>
      </c>
      <c r="W12" s="1569">
        <f t="shared" si="2"/>
        <v>100</v>
      </c>
      <c r="X12" s="1570"/>
      <c r="Y12" s="3367"/>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28"/>
      <c r="Q13" s="1151">
        <f t="shared" si="6"/>
        <v>111</v>
      </c>
      <c r="R13" s="1568" t="s">
        <v>8</v>
      </c>
      <c r="S13" s="1569">
        <f t="shared" si="0"/>
        <v>100</v>
      </c>
      <c r="T13" s="1568" t="s">
        <v>8</v>
      </c>
      <c r="U13" s="1569">
        <f t="shared" si="1"/>
        <v>100</v>
      </c>
      <c r="V13" s="1568" t="s">
        <v>8</v>
      </c>
      <c r="W13" s="1569">
        <f t="shared" si="2"/>
        <v>100</v>
      </c>
      <c r="X13" s="1570"/>
      <c r="Y13" s="3367"/>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28"/>
      <c r="Q14" s="1151">
        <f t="shared" si="6"/>
        <v>111</v>
      </c>
      <c r="R14" s="1568" t="s">
        <v>8</v>
      </c>
      <c r="S14" s="1569">
        <f t="shared" si="0"/>
        <v>100</v>
      </c>
      <c r="T14" s="1568" t="s">
        <v>8</v>
      </c>
      <c r="U14" s="1569">
        <f t="shared" si="1"/>
        <v>100</v>
      </c>
      <c r="V14" s="1568" t="s">
        <v>8</v>
      </c>
      <c r="W14" s="1569">
        <f t="shared" si="2"/>
        <v>100</v>
      </c>
      <c r="X14" s="1570"/>
      <c r="Y14" s="3367"/>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103</v>
      </c>
      <c r="G15" s="550"/>
      <c r="H15" s="549">
        <f>SUMIF(77:77,G16,78:78)-SUMIF(77:77,C16,78:78)+100</f>
        <v>103</v>
      </c>
      <c r="I15" s="550"/>
      <c r="J15" s="549">
        <f>SUMIF(77:77,I16,78:78)-SUMIF(77:77,C16,78:78)+100</f>
        <v>103</v>
      </c>
      <c r="K15" s="898">
        <v>3</v>
      </c>
      <c r="L15" s="2143"/>
      <c r="M15" s="2135"/>
      <c r="N15" s="2135"/>
      <c r="O15" s="2135"/>
      <c r="P15" s="3430" t="s">
        <v>540</v>
      </c>
      <c r="Q15" s="1572" t="str">
        <f t="shared" si="6"/>
        <v>办公集聚程度</v>
      </c>
      <c r="R15" s="1573" t="s">
        <v>8</v>
      </c>
      <c r="S15" s="1574">
        <f t="shared" si="0"/>
        <v>103</v>
      </c>
      <c r="T15" s="1573" t="s">
        <v>8</v>
      </c>
      <c r="U15" s="1574">
        <f t="shared" si="1"/>
        <v>103</v>
      </c>
      <c r="V15" s="1573" t="s">
        <v>8</v>
      </c>
      <c r="W15" s="1574">
        <f t="shared" si="2"/>
        <v>103</v>
      </c>
      <c r="X15" s="1567"/>
      <c r="Y15" s="3430" t="s">
        <v>540</v>
      </c>
      <c r="Z15" s="1575" t="str">
        <f t="shared" si="7"/>
        <v>办公集聚程度</v>
      </c>
      <c r="AA15" s="1576">
        <f t="shared" si="3"/>
        <v>0.970873786407767</v>
      </c>
      <c r="AB15" s="1576">
        <f t="shared" si="4"/>
        <v>0.970873786407767</v>
      </c>
      <c r="AC15" s="1576">
        <f t="shared" si="5"/>
        <v>0.970873786407767</v>
      </c>
    </row>
    <row r="16" spans="1:29" ht="15">
      <c r="A16" s="532"/>
      <c r="B16" s="553"/>
      <c r="C16" s="554" t="s">
        <v>3053</v>
      </c>
      <c r="D16" s="555"/>
      <c r="E16" s="576" t="s">
        <v>3072</v>
      </c>
      <c r="F16" s="555"/>
      <c r="G16" s="554" t="s">
        <v>3072</v>
      </c>
      <c r="H16" s="559"/>
      <c r="I16" s="576" t="s">
        <v>3072</v>
      </c>
      <c r="J16" s="555"/>
      <c r="K16" s="899"/>
      <c r="L16" s="2143"/>
      <c r="M16" s="2135"/>
      <c r="N16" s="2135"/>
      <c r="O16" s="2135"/>
      <c r="P16" s="3431"/>
      <c r="Q16" s="1572"/>
      <c r="R16" s="1573"/>
      <c r="S16" s="1574"/>
      <c r="T16" s="1573"/>
      <c r="U16" s="1574"/>
      <c r="V16" s="1573"/>
      <c r="W16" s="1574"/>
      <c r="X16" s="1567"/>
      <c r="Y16" s="3431"/>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103</v>
      </c>
      <c r="G17" s="562"/>
      <c r="H17" s="565">
        <f>SUMIF(79:79,G18,80:80)-SUMIF(79:79,C18,80:80)+100</f>
        <v>103</v>
      </c>
      <c r="I17" s="562"/>
      <c r="J17" s="565">
        <f>SUMIF(79:79,I18,80:80)-SUMIF(79:79,C18,80:80)+100</f>
        <v>103</v>
      </c>
      <c r="K17" s="898">
        <v>3</v>
      </c>
      <c r="L17" s="2143"/>
      <c r="M17" s="2135"/>
      <c r="N17" s="2135"/>
      <c r="O17" s="2135"/>
      <c r="P17" s="3431"/>
      <c r="Q17" s="1572" t="str">
        <f>B17</f>
        <v>交通便捷度</v>
      </c>
      <c r="R17" s="1573" t="s">
        <v>8</v>
      </c>
      <c r="S17" s="1574">
        <f>F17</f>
        <v>103</v>
      </c>
      <c r="T17" s="1573" t="s">
        <v>8</v>
      </c>
      <c r="U17" s="1574">
        <f>H17</f>
        <v>103</v>
      </c>
      <c r="V17" s="1573" t="s">
        <v>8</v>
      </c>
      <c r="W17" s="1574">
        <f>J17</f>
        <v>103</v>
      </c>
      <c r="X17" s="1567"/>
      <c r="Y17" s="3431"/>
      <c r="Z17" s="1575" t="str">
        <f>Q17</f>
        <v>交通便捷度</v>
      </c>
      <c r="AA17" s="1576">
        <f t="shared" si="3"/>
        <v>0.970873786407767</v>
      </c>
      <c r="AB17" s="1576">
        <f t="shared" si="4"/>
        <v>0.970873786407767</v>
      </c>
      <c r="AC17" s="1576">
        <f t="shared" si="5"/>
        <v>0.970873786407767</v>
      </c>
    </row>
    <row r="18" spans="1:29" ht="15">
      <c r="A18" s="532"/>
      <c r="B18" s="566"/>
      <c r="C18" s="567" t="s">
        <v>3053</v>
      </c>
      <c r="D18" s="559"/>
      <c r="E18" s="569" t="s">
        <v>3072</v>
      </c>
      <c r="F18" s="559"/>
      <c r="G18" s="568" t="s">
        <v>3072</v>
      </c>
      <c r="H18" s="555"/>
      <c r="I18" s="568" t="s">
        <v>3072</v>
      </c>
      <c r="J18" s="555"/>
      <c r="K18" s="899"/>
      <c r="L18" s="2143"/>
      <c r="M18" s="2135"/>
      <c r="N18" s="2135"/>
      <c r="O18" s="2135"/>
      <c r="P18" s="3431"/>
      <c r="Q18" s="1572"/>
      <c r="R18" s="1573"/>
      <c r="S18" s="1574"/>
      <c r="T18" s="1573"/>
      <c r="U18" s="1574"/>
      <c r="V18" s="1573"/>
      <c r="W18" s="1574"/>
      <c r="X18" s="1567"/>
      <c r="Y18" s="3431"/>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31"/>
      <c r="Q19" s="1572" t="str">
        <f>B19</f>
        <v>公共配套设施</v>
      </c>
      <c r="R19" s="1573" t="s">
        <v>8</v>
      </c>
      <c r="S19" s="1574">
        <f>F19</f>
        <v>100</v>
      </c>
      <c r="T19" s="1573" t="s">
        <v>8</v>
      </c>
      <c r="U19" s="1574">
        <f>H19</f>
        <v>100</v>
      </c>
      <c r="V19" s="1573" t="s">
        <v>8</v>
      </c>
      <c r="W19" s="1574">
        <f>J19</f>
        <v>100</v>
      </c>
      <c r="X19" s="1567"/>
      <c r="Y19" s="3431"/>
      <c r="Z19" s="1575" t="str">
        <f>Q19</f>
        <v>公共配套设施</v>
      </c>
      <c r="AA19" s="1576">
        <f t="shared" si="3"/>
        <v>1</v>
      </c>
      <c r="AB19" s="1576">
        <f t="shared" si="4"/>
        <v>1</v>
      </c>
      <c r="AC19" s="1576">
        <f t="shared" si="5"/>
        <v>1</v>
      </c>
    </row>
    <row r="20" spans="1:29" ht="15">
      <c r="A20" s="532"/>
      <c r="B20" s="566"/>
      <c r="C20" s="554" t="s">
        <v>3053</v>
      </c>
      <c r="D20" s="555"/>
      <c r="E20" s="558" t="s">
        <v>3053</v>
      </c>
      <c r="F20" s="555"/>
      <c r="G20" s="556" t="s">
        <v>3053</v>
      </c>
      <c r="H20" s="555"/>
      <c r="I20" s="556" t="s">
        <v>3053</v>
      </c>
      <c r="J20" s="555"/>
      <c r="K20" s="899"/>
      <c r="L20" s="2143"/>
      <c r="M20" s="2135"/>
      <c r="N20" s="2135"/>
      <c r="O20" s="2135"/>
      <c r="P20" s="3431"/>
      <c r="Q20" s="1572"/>
      <c r="R20" s="1573"/>
      <c r="S20" s="1574"/>
      <c r="T20" s="1573"/>
      <c r="U20" s="1574"/>
      <c r="V20" s="1573"/>
      <c r="W20" s="1574"/>
      <c r="X20" s="1567"/>
      <c r="Y20" s="3431"/>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31"/>
      <c r="Q21" s="2580" t="str">
        <f>B21</f>
        <v>基础设施水平</v>
      </c>
      <c r="R21" s="1573" t="s">
        <v>8</v>
      </c>
      <c r="S21" s="1574">
        <f>F21</f>
        <v>100</v>
      </c>
      <c r="T21" s="1573" t="s">
        <v>8</v>
      </c>
      <c r="U21" s="1574">
        <f>H21</f>
        <v>100</v>
      </c>
      <c r="V21" s="1573" t="s">
        <v>8</v>
      </c>
      <c r="W21" s="1574">
        <f>J21</f>
        <v>100</v>
      </c>
      <c r="X21" s="2582"/>
      <c r="Y21" s="3431"/>
      <c r="Z21" s="2581" t="str">
        <f>Q21</f>
        <v>基础设施水平</v>
      </c>
      <c r="AA21" s="1576">
        <f t="shared" ref="AA21" si="8">D21/F21</f>
        <v>1</v>
      </c>
      <c r="AB21" s="1576">
        <f t="shared" ref="AB21" si="9">D21/H21</f>
        <v>1</v>
      </c>
      <c r="AC21" s="1576">
        <f t="shared" ref="AC21" si="10">D21/J21</f>
        <v>1</v>
      </c>
    </row>
    <row r="22" spans="1:29" ht="15">
      <c r="A22" s="532"/>
      <c r="B22" s="578"/>
      <c r="C22" s="567" t="s">
        <v>3055</v>
      </c>
      <c r="D22" s="555"/>
      <c r="E22" s="576" t="s">
        <v>3055</v>
      </c>
      <c r="F22" s="555"/>
      <c r="G22" s="554" t="s">
        <v>3055</v>
      </c>
      <c r="H22" s="555"/>
      <c r="I22" s="554" t="s">
        <v>3055</v>
      </c>
      <c r="J22" s="555"/>
      <c r="K22" s="2603"/>
      <c r="L22" s="2143"/>
      <c r="M22" s="2135"/>
      <c r="N22" s="2135"/>
      <c r="O22" s="2135"/>
      <c r="P22" s="3431"/>
      <c r="Q22" s="2580"/>
      <c r="R22" s="1573"/>
      <c r="S22" s="1574"/>
      <c r="T22" s="1573"/>
      <c r="U22" s="1574"/>
      <c r="V22" s="1573"/>
      <c r="W22" s="1574"/>
      <c r="X22" s="2582"/>
      <c r="Y22" s="3431"/>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31"/>
      <c r="Q23" s="1572" t="str">
        <f>B23</f>
        <v>环境质量</v>
      </c>
      <c r="R23" s="1573" t="s">
        <v>8</v>
      </c>
      <c r="S23" s="1574">
        <f>F23</f>
        <v>100</v>
      </c>
      <c r="T23" s="1573" t="s">
        <v>8</v>
      </c>
      <c r="U23" s="1574">
        <f>H23</f>
        <v>100</v>
      </c>
      <c r="V23" s="1573" t="s">
        <v>8</v>
      </c>
      <c r="W23" s="1574">
        <f>J23</f>
        <v>100</v>
      </c>
      <c r="X23" s="1567"/>
      <c r="Y23" s="3431"/>
      <c r="Z23" s="1575" t="str">
        <f>Q23</f>
        <v>环境质量</v>
      </c>
      <c r="AA23" s="1576">
        <f t="shared" si="3"/>
        <v>1</v>
      </c>
      <c r="AB23" s="1576">
        <f t="shared" si="4"/>
        <v>1</v>
      </c>
      <c r="AC23" s="1576">
        <f t="shared" si="5"/>
        <v>1</v>
      </c>
    </row>
    <row r="24" spans="1:29" ht="15">
      <c r="A24" s="532"/>
      <c r="B24" s="578"/>
      <c r="C24" s="554" t="s">
        <v>3053</v>
      </c>
      <c r="D24" s="555"/>
      <c r="E24" s="558" t="s">
        <v>3053</v>
      </c>
      <c r="F24" s="555"/>
      <c r="G24" s="556" t="s">
        <v>3053</v>
      </c>
      <c r="H24" s="555"/>
      <c r="I24" s="556" t="s">
        <v>3053</v>
      </c>
      <c r="J24" s="555"/>
      <c r="K24" s="899"/>
      <c r="L24" s="2143"/>
      <c r="M24" s="2135"/>
      <c r="N24" s="2135"/>
      <c r="O24" s="2135"/>
      <c r="P24" s="3431"/>
      <c r="Q24" s="1572"/>
      <c r="R24" s="1573"/>
      <c r="S24" s="1574"/>
      <c r="T24" s="1573"/>
      <c r="U24" s="1574"/>
      <c r="V24" s="1573"/>
      <c r="W24" s="1574"/>
      <c r="X24" s="1567"/>
      <c r="Y24" s="3431"/>
      <c r="Z24" s="1575"/>
      <c r="AA24" s="1576">
        <v>1</v>
      </c>
      <c r="AB24" s="1576">
        <v>1</v>
      </c>
      <c r="AC24" s="1576">
        <v>1</v>
      </c>
    </row>
    <row r="25" spans="1:29" ht="27">
      <c r="A25" s="515"/>
      <c r="B25" s="560" t="s">
        <v>548</v>
      </c>
      <c r="C25" s="3213" t="s">
        <v>3139</v>
      </c>
      <c r="D25" s="540">
        <v>100</v>
      </c>
      <c r="E25" s="539"/>
      <c r="F25" s="540">
        <f>SUMIF(87:87,E26,88:88)-SUMIF(87:87,C26,88:88)+100</f>
        <v>103</v>
      </c>
      <c r="G25" s="912"/>
      <c r="H25" s="540">
        <f>SUMIF(87:87,G26,88:88)-SUMIF(87:87,C26,88:88)+100</f>
        <v>103</v>
      </c>
      <c r="I25" s="539"/>
      <c r="J25" s="540">
        <f>SUMIF(87:87,I26,88:88)-SUMIF(87:87,C26,88:88)+100</f>
        <v>103</v>
      </c>
      <c r="K25" s="898">
        <v>3</v>
      </c>
      <c r="L25" s="2143"/>
      <c r="M25" s="2135"/>
      <c r="N25" s="2135"/>
      <c r="O25" s="2135"/>
      <c r="P25" s="3431"/>
      <c r="Q25" s="1572" t="str">
        <f>B25</f>
        <v>毗邻道路的类型与等级</v>
      </c>
      <c r="R25" s="1573" t="s">
        <v>8</v>
      </c>
      <c r="S25" s="1574">
        <f>F25</f>
        <v>103</v>
      </c>
      <c r="T25" s="1573" t="s">
        <v>8</v>
      </c>
      <c r="U25" s="1574">
        <f>H25</f>
        <v>103</v>
      </c>
      <c r="V25" s="1573" t="s">
        <v>8</v>
      </c>
      <c r="W25" s="1574">
        <f>J25</f>
        <v>103</v>
      </c>
      <c r="X25" s="1567"/>
      <c r="Y25" s="3431"/>
      <c r="Z25" s="1575" t="str">
        <f>Q25</f>
        <v>毗邻道路的类型与等级</v>
      </c>
      <c r="AA25" s="1576">
        <f t="shared" si="3"/>
        <v>0.970873786407767</v>
      </c>
      <c r="AB25" s="1576">
        <f t="shared" si="4"/>
        <v>0.970873786407767</v>
      </c>
      <c r="AC25" s="1576">
        <f t="shared" si="5"/>
        <v>0.970873786407767</v>
      </c>
    </row>
    <row r="26" spans="1:29" ht="15">
      <c r="A26" s="515"/>
      <c r="B26" s="566"/>
      <c r="C26" s="580" t="s">
        <v>3138</v>
      </c>
      <c r="D26" s="540"/>
      <c r="E26" s="583" t="s">
        <v>3159</v>
      </c>
      <c r="F26" s="540"/>
      <c r="G26" s="580" t="s">
        <v>3159</v>
      </c>
      <c r="H26" s="540"/>
      <c r="I26" s="583" t="s">
        <v>3159</v>
      </c>
      <c r="J26" s="540"/>
      <c r="K26" s="899"/>
      <c r="L26" s="2143"/>
      <c r="M26" s="2135"/>
      <c r="N26" s="2135"/>
      <c r="O26" s="2135"/>
      <c r="P26" s="3431"/>
      <c r="Q26" s="1572"/>
      <c r="R26" s="1573"/>
      <c r="S26" s="1574"/>
      <c r="T26" s="1573"/>
      <c r="U26" s="1574"/>
      <c r="V26" s="1573"/>
      <c r="W26" s="1574"/>
      <c r="X26" s="1567"/>
      <c r="Y26" s="3431"/>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1"/>
      <c r="Q27" s="1572" t="str">
        <f t="shared" ref="Q27:Q47" si="11">B27</f>
        <v>楼层</v>
      </c>
      <c r="R27" s="1573" t="s">
        <v>8</v>
      </c>
      <c r="S27" s="1574">
        <f>F27</f>
        <v>100</v>
      </c>
      <c r="T27" s="1573" t="s">
        <v>8</v>
      </c>
      <c r="U27" s="1574">
        <f>H27</f>
        <v>100</v>
      </c>
      <c r="V27" s="1573" t="s">
        <v>8</v>
      </c>
      <c r="W27" s="1574">
        <f>J27</f>
        <v>100</v>
      </c>
      <c r="X27" s="1567"/>
      <c r="Y27" s="3431"/>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31"/>
      <c r="Q28" s="1151" t="str">
        <f t="shared" si="11"/>
        <v>朝向</v>
      </c>
      <c r="R28" s="1568" t="s">
        <v>8</v>
      </c>
      <c r="S28" s="1569">
        <f>F28</f>
        <v>100</v>
      </c>
      <c r="T28" s="1568" t="s">
        <v>8</v>
      </c>
      <c r="U28" s="1569">
        <f>H28</f>
        <v>100</v>
      </c>
      <c r="V28" s="1568" t="s">
        <v>8</v>
      </c>
      <c r="W28" s="1569">
        <f>J28</f>
        <v>100</v>
      </c>
      <c r="X28" s="1570"/>
      <c r="Y28" s="3431"/>
      <c r="Z28" s="1150" t="str">
        <f>Q28</f>
        <v>朝向</v>
      </c>
      <c r="AA28" s="1576">
        <f>D28/F28</f>
        <v>1</v>
      </c>
      <c r="AB28" s="1576">
        <f>D28/H28</f>
        <v>1</v>
      </c>
      <c r="AC28" s="1576">
        <f>D28/J28</f>
        <v>1</v>
      </c>
    </row>
    <row r="29" spans="1:29" ht="15">
      <c r="A29" s="532"/>
      <c r="B29" s="3216" t="s">
        <v>3161</v>
      </c>
      <c r="C29" s="3217" t="s">
        <v>3162</v>
      </c>
      <c r="D29" s="540">
        <v>100</v>
      </c>
      <c r="E29" s="3217" t="s">
        <v>3165</v>
      </c>
      <c r="F29" s="540">
        <f>SUMIF(93:93,E29,94:94)-SUMIF(93:93,C29,94:94)+100</f>
        <v>98</v>
      </c>
      <c r="G29" s="3217" t="s">
        <v>3164</v>
      </c>
      <c r="H29" s="540">
        <f>SUMIF(93:93,G29,94:94)-SUMIF(93:93,C29,94:94)+100</f>
        <v>98</v>
      </c>
      <c r="I29" s="3217" t="s">
        <v>3167</v>
      </c>
      <c r="J29" s="540">
        <f>SUMIF(93:93,I29,94:94)-SUMIF(93:93,C29,94:94)+100</f>
        <v>98</v>
      </c>
      <c r="K29" s="581"/>
      <c r="L29" s="2143"/>
      <c r="M29" s="2135"/>
      <c r="N29" s="2135"/>
      <c r="O29" s="2135"/>
      <c r="P29" s="3431"/>
      <c r="Q29" s="1572" t="str">
        <f t="shared" si="11"/>
        <v>楼层</v>
      </c>
      <c r="R29" s="1573" t="s">
        <v>8</v>
      </c>
      <c r="S29" s="1574">
        <f t="shared" ref="S29:S47" si="12">F29</f>
        <v>98</v>
      </c>
      <c r="T29" s="1573" t="s">
        <v>8</v>
      </c>
      <c r="U29" s="1574">
        <f t="shared" ref="U29:U47" si="13">H29</f>
        <v>98</v>
      </c>
      <c r="V29" s="1573" t="s">
        <v>8</v>
      </c>
      <c r="W29" s="1574">
        <f t="shared" ref="W29:W47" si="14">J29</f>
        <v>98</v>
      </c>
      <c r="X29" s="1567"/>
      <c r="Y29" s="3431"/>
      <c r="Z29" s="1575" t="str">
        <f t="shared" ref="Z29:Z47" si="15">Q29</f>
        <v>楼层</v>
      </c>
      <c r="AA29" s="1576">
        <f t="shared" si="3"/>
        <v>1.0204081632653061</v>
      </c>
      <c r="AB29" s="1576">
        <f t="shared" si="4"/>
        <v>1.0204081632653061</v>
      </c>
      <c r="AC29" s="1576">
        <f t="shared" si="5"/>
        <v>1.0204081632653061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1"/>
      <c r="Q30" s="1572">
        <f t="shared" si="11"/>
        <v>111</v>
      </c>
      <c r="R30" s="1573" t="s">
        <v>8</v>
      </c>
      <c r="S30" s="1574">
        <f t="shared" si="12"/>
        <v>100</v>
      </c>
      <c r="T30" s="1573" t="s">
        <v>8</v>
      </c>
      <c r="U30" s="1574">
        <f t="shared" si="13"/>
        <v>100</v>
      </c>
      <c r="V30" s="1573" t="s">
        <v>8</v>
      </c>
      <c r="W30" s="1574">
        <f t="shared" si="14"/>
        <v>100</v>
      </c>
      <c r="X30" s="1567"/>
      <c r="Y30" s="3431"/>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1"/>
      <c r="Q31" s="1572">
        <f t="shared" si="11"/>
        <v>111</v>
      </c>
      <c r="R31" s="1573" t="s">
        <v>8</v>
      </c>
      <c r="S31" s="1574">
        <f t="shared" si="12"/>
        <v>100</v>
      </c>
      <c r="T31" s="1573" t="s">
        <v>8</v>
      </c>
      <c r="U31" s="1574">
        <f t="shared" si="13"/>
        <v>100</v>
      </c>
      <c r="V31" s="1573" t="s">
        <v>8</v>
      </c>
      <c r="W31" s="1574">
        <f t="shared" si="14"/>
        <v>100</v>
      </c>
      <c r="X31" s="1567"/>
      <c r="Y31" s="3431"/>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1"/>
      <c r="Q32" s="1572">
        <f t="shared" si="11"/>
        <v>111</v>
      </c>
      <c r="R32" s="1573" t="s">
        <v>8</v>
      </c>
      <c r="S32" s="1574">
        <f t="shared" si="12"/>
        <v>100</v>
      </c>
      <c r="T32" s="1573" t="s">
        <v>8</v>
      </c>
      <c r="U32" s="1574">
        <f t="shared" si="13"/>
        <v>100</v>
      </c>
      <c r="V32" s="1573" t="s">
        <v>8</v>
      </c>
      <c r="W32" s="1574">
        <f t="shared" si="14"/>
        <v>100</v>
      </c>
      <c r="X32" s="1567"/>
      <c r="Y32" s="3431"/>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32" t="s">
        <v>550</v>
      </c>
      <c r="Q33" s="1572" t="str">
        <f t="shared" si="11"/>
        <v>建筑类型</v>
      </c>
      <c r="R33" s="1573" t="s">
        <v>8</v>
      </c>
      <c r="S33" s="1574">
        <f t="shared" si="12"/>
        <v>100</v>
      </c>
      <c r="T33" s="1573" t="s">
        <v>8</v>
      </c>
      <c r="U33" s="1574">
        <f t="shared" si="13"/>
        <v>100</v>
      </c>
      <c r="V33" s="1573" t="s">
        <v>8</v>
      </c>
      <c r="W33" s="1574">
        <f t="shared" si="14"/>
        <v>100</v>
      </c>
      <c r="X33" s="1567"/>
      <c r="Y33" s="3433" t="s">
        <v>550</v>
      </c>
      <c r="Z33" s="1575" t="str">
        <f t="shared" si="15"/>
        <v>建筑类型</v>
      </c>
      <c r="AA33" s="1576">
        <f t="shared" si="3"/>
        <v>1</v>
      </c>
      <c r="AB33" s="1576">
        <f t="shared" si="4"/>
        <v>1</v>
      </c>
      <c r="AC33" s="1576">
        <f t="shared" si="5"/>
        <v>1</v>
      </c>
    </row>
    <row r="34" spans="1:29" s="1339" customFormat="1" ht="15">
      <c r="A34" s="603"/>
      <c r="B34" s="527" t="s">
        <v>726</v>
      </c>
      <c r="C34" s="880">
        <v>100</v>
      </c>
      <c r="D34" s="255">
        <v>100</v>
      </c>
      <c r="E34" s="534">
        <v>100</v>
      </c>
      <c r="F34" s="863">
        <f>LOOKUP(E34,104:104,105:105)-LOOKUP(C34,104:104,105:105)+100</f>
        <v>100</v>
      </c>
      <c r="G34" s="533">
        <v>100</v>
      </c>
      <c r="H34" s="255">
        <f>LOOKUP(G34,104:104,105:105)-LOOKUP(C34,104:104,105:105)+100</f>
        <v>100</v>
      </c>
      <c r="I34" s="533">
        <v>100</v>
      </c>
      <c r="J34" s="255">
        <f>LOOKUP(I34,104:104,105:105)-LOOKUP(C34,104:104,105:105)+100</f>
        <v>100</v>
      </c>
      <c r="K34" s="581"/>
      <c r="L34" s="2141"/>
      <c r="M34" s="2172"/>
      <c r="N34" s="2172"/>
      <c r="O34" s="2172"/>
      <c r="P34" s="3433"/>
      <c r="Q34" s="1605" t="str">
        <f t="shared" si="11"/>
        <v>项目建筑规模</v>
      </c>
      <c r="R34" s="1577" t="s">
        <v>8</v>
      </c>
      <c r="S34" s="1578">
        <f t="shared" si="12"/>
        <v>100</v>
      </c>
      <c r="T34" s="1577" t="s">
        <v>8</v>
      </c>
      <c r="U34" s="1578">
        <f t="shared" si="13"/>
        <v>100</v>
      </c>
      <c r="V34" s="1577" t="s">
        <v>8</v>
      </c>
      <c r="W34" s="1578">
        <f t="shared" si="14"/>
        <v>100</v>
      </c>
      <c r="X34" s="1579"/>
      <c r="Y34" s="3433"/>
      <c r="Z34" s="1580" t="str">
        <f t="shared" si="15"/>
        <v>项目建筑规模</v>
      </c>
      <c r="AA34" s="1576">
        <f t="shared" si="3"/>
        <v>1</v>
      </c>
      <c r="AB34" s="1576">
        <f t="shared" si="4"/>
        <v>1</v>
      </c>
      <c r="AC34" s="1576">
        <f t="shared" si="5"/>
        <v>1</v>
      </c>
    </row>
    <row r="35" spans="1:29" ht="15">
      <c r="A35" s="594"/>
      <c r="B35" s="527" t="s">
        <v>727</v>
      </c>
      <c r="C35" s="574" t="s">
        <v>3090</v>
      </c>
      <c r="D35" s="540">
        <v>100</v>
      </c>
      <c r="E35" s="574" t="s">
        <v>3090</v>
      </c>
      <c r="F35" s="575">
        <f>SUMIF(106:106,E35,107:107)-SUMIF(106:106,C35,107:107)+100</f>
        <v>100</v>
      </c>
      <c r="G35" s="574" t="s">
        <v>3090</v>
      </c>
      <c r="H35" s="540">
        <f>SUMIF(106:106,G35,107:107)-SUMIF(106:106,C35,107:107)+100</f>
        <v>100</v>
      </c>
      <c r="I35" s="574" t="s">
        <v>3090</v>
      </c>
      <c r="J35" s="540">
        <f>SUMIF(106:106,I35,107:107)-SUMIF(106:106,C35,107:107)+100</f>
        <v>100</v>
      </c>
      <c r="K35" s="584"/>
      <c r="L35" s="2143"/>
      <c r="M35" s="2135"/>
      <c r="N35" s="2135"/>
      <c r="O35" s="2135"/>
      <c r="P35" s="3433"/>
      <c r="Q35" s="1572" t="str">
        <f t="shared" si="11"/>
        <v>建筑结构</v>
      </c>
      <c r="R35" s="1573" t="s">
        <v>8</v>
      </c>
      <c r="S35" s="1574">
        <f t="shared" si="12"/>
        <v>100</v>
      </c>
      <c r="T35" s="1573" t="s">
        <v>8</v>
      </c>
      <c r="U35" s="1574">
        <f t="shared" si="13"/>
        <v>100</v>
      </c>
      <c r="V35" s="1573" t="s">
        <v>8</v>
      </c>
      <c r="W35" s="1574">
        <f t="shared" si="14"/>
        <v>100</v>
      </c>
      <c r="X35" s="1567"/>
      <c r="Y35" s="3433"/>
      <c r="Z35" s="1575" t="str">
        <f t="shared" si="15"/>
        <v>建筑结构</v>
      </c>
      <c r="AA35" s="1576">
        <f t="shared" si="3"/>
        <v>1</v>
      </c>
      <c r="AB35" s="1576">
        <f t="shared" si="4"/>
        <v>1</v>
      </c>
      <c r="AC35" s="1576">
        <f t="shared" si="5"/>
        <v>1</v>
      </c>
    </row>
    <row r="36" spans="1:29" ht="15">
      <c r="A36" s="594"/>
      <c r="B36" s="527" t="s">
        <v>763</v>
      </c>
      <c r="C36" s="574" t="s">
        <v>3146</v>
      </c>
      <c r="D36" s="540">
        <v>100</v>
      </c>
      <c r="E36" s="574" t="s">
        <v>3097</v>
      </c>
      <c r="F36" s="575">
        <f>SUMIF(108:108,E36,109:109)-SUMIF(108:108,C36,109:109)+100</f>
        <v>102</v>
      </c>
      <c r="G36" s="574" t="s">
        <v>3097</v>
      </c>
      <c r="H36" s="540">
        <f>SUMIF(108:108,G36,109:109)-SUMIF(108:108,C36,109:109)+100</f>
        <v>102</v>
      </c>
      <c r="I36" s="574" t="s">
        <v>3097</v>
      </c>
      <c r="J36" s="540">
        <f>SUMIF(108:108,I36,109:109)-SUMIF(108:108,C36,109:109)+100</f>
        <v>102</v>
      </c>
      <c r="K36" s="584">
        <v>1</v>
      </c>
      <c r="L36" s="2143"/>
      <c r="M36" s="2135"/>
      <c r="N36" s="2135"/>
      <c r="O36" s="2135"/>
      <c r="P36" s="3433"/>
      <c r="Q36" s="1572" t="str">
        <f t="shared" si="11"/>
        <v>公共部分装修</v>
      </c>
      <c r="R36" s="1573" t="s">
        <v>8</v>
      </c>
      <c r="S36" s="1574">
        <f t="shared" si="12"/>
        <v>102</v>
      </c>
      <c r="T36" s="1573" t="s">
        <v>8</v>
      </c>
      <c r="U36" s="1574">
        <f t="shared" si="13"/>
        <v>102</v>
      </c>
      <c r="V36" s="1573" t="s">
        <v>8</v>
      </c>
      <c r="W36" s="1574">
        <f t="shared" si="14"/>
        <v>102</v>
      </c>
      <c r="X36" s="1567"/>
      <c r="Y36" s="3433"/>
      <c r="Z36" s="1575" t="str">
        <f t="shared" si="15"/>
        <v>公共部分装修</v>
      </c>
      <c r="AA36" s="1576">
        <f t="shared" si="3"/>
        <v>0.98039215686274506</v>
      </c>
      <c r="AB36" s="1576">
        <f t="shared" si="4"/>
        <v>0.98039215686274506</v>
      </c>
      <c r="AC36" s="1576">
        <f t="shared" si="5"/>
        <v>0.98039215686274506</v>
      </c>
    </row>
    <row r="37" spans="1:29" ht="15">
      <c r="A37" s="594"/>
      <c r="B37" s="527" t="s">
        <v>764</v>
      </c>
      <c r="C37" s="883">
        <v>0.95</v>
      </c>
      <c r="D37" s="540">
        <v>100</v>
      </c>
      <c r="E37" s="883">
        <v>0.98</v>
      </c>
      <c r="F37" s="575">
        <f>LOOKUP(E37,111:111,112:112)-LOOKUP(C37,111:111,112:112)+100</f>
        <v>100</v>
      </c>
      <c r="G37" s="883">
        <v>0.98</v>
      </c>
      <c r="H37" s="575">
        <f>LOOKUP(G37,111:111,112:112)-LOOKUP(C37,111:111,112:112)+100</f>
        <v>100</v>
      </c>
      <c r="I37" s="883">
        <v>0.98</v>
      </c>
      <c r="J37" s="540">
        <f>LOOKUP(I37,111:111,112:112)-LOOKUP(C37,111:111,112:112)+100</f>
        <v>100</v>
      </c>
      <c r="K37" s="584"/>
      <c r="L37" s="2143"/>
      <c r="M37" s="2135"/>
      <c r="N37" s="2135"/>
      <c r="O37" s="2135"/>
      <c r="P37" s="3433"/>
      <c r="Q37" s="1572" t="str">
        <f t="shared" si="11"/>
        <v>成新度</v>
      </c>
      <c r="R37" s="1573" t="s">
        <v>8</v>
      </c>
      <c r="S37" s="1574">
        <f t="shared" si="12"/>
        <v>100</v>
      </c>
      <c r="T37" s="1573" t="s">
        <v>8</v>
      </c>
      <c r="U37" s="1574">
        <f t="shared" si="13"/>
        <v>100</v>
      </c>
      <c r="V37" s="1573" t="s">
        <v>8</v>
      </c>
      <c r="W37" s="1574">
        <f t="shared" si="14"/>
        <v>100</v>
      </c>
      <c r="X37" s="1567"/>
      <c r="Y37" s="3433"/>
      <c r="Z37" s="1575" t="str">
        <f t="shared" si="15"/>
        <v>成新度</v>
      </c>
      <c r="AA37" s="1576">
        <f t="shared" si="3"/>
        <v>1</v>
      </c>
      <c r="AB37" s="1576">
        <f t="shared" si="4"/>
        <v>1</v>
      </c>
      <c r="AC37" s="1576">
        <f t="shared" si="5"/>
        <v>1</v>
      </c>
    </row>
    <row r="38" spans="1:29" s="1220" customFormat="1" ht="15">
      <c r="A38" s="600"/>
      <c r="B38" s="527" t="s">
        <v>781</v>
      </c>
      <c r="C38" s="574" t="s">
        <v>3151</v>
      </c>
      <c r="D38" s="255">
        <v>100</v>
      </c>
      <c r="E38" s="574" t="s">
        <v>3149</v>
      </c>
      <c r="F38" s="575">
        <f>SUMIF(113:113,E38,114:114)-SUMIF(113:113,C38,114:114)+100</f>
        <v>105</v>
      </c>
      <c r="G38" s="574" t="s">
        <v>3149</v>
      </c>
      <c r="H38" s="540">
        <f>SUMIF(113:113,G38,114:114)-SUMIF(113:113,C38,114:114)+100</f>
        <v>105</v>
      </c>
      <c r="I38" s="574" t="s">
        <v>3149</v>
      </c>
      <c r="J38" s="540">
        <f>SUMIF(113:113,I38,114:114)-SUMIF(113:113,C38,114:114)+100</f>
        <v>105</v>
      </c>
      <c r="K38" s="584">
        <v>5</v>
      </c>
      <c r="L38" s="2136"/>
      <c r="M38" s="2137"/>
      <c r="N38" s="2137"/>
      <c r="O38" s="2137"/>
      <c r="P38" s="3433"/>
      <c r="Q38" s="1151" t="str">
        <f t="shared" si="11"/>
        <v>写字楼等级</v>
      </c>
      <c r="R38" s="1568" t="s">
        <v>8</v>
      </c>
      <c r="S38" s="1569">
        <f t="shared" si="12"/>
        <v>105</v>
      </c>
      <c r="T38" s="1568" t="s">
        <v>8</v>
      </c>
      <c r="U38" s="1569">
        <f t="shared" si="13"/>
        <v>105</v>
      </c>
      <c r="V38" s="1568" t="s">
        <v>8</v>
      </c>
      <c r="W38" s="1569">
        <f t="shared" si="14"/>
        <v>105</v>
      </c>
      <c r="X38" s="1570"/>
      <c r="Y38" s="3433"/>
      <c r="Z38" s="1150" t="str">
        <f t="shared" si="15"/>
        <v>写字楼等级</v>
      </c>
      <c r="AA38" s="1571">
        <f t="shared" si="3"/>
        <v>0.95238095238095233</v>
      </c>
      <c r="AB38" s="1571">
        <f t="shared" si="4"/>
        <v>0.95238095238095233</v>
      </c>
      <c r="AC38" s="1571">
        <f t="shared" si="5"/>
        <v>0.95238095238095233</v>
      </c>
    </row>
    <row r="39" spans="1:29" ht="15">
      <c r="A39" s="594"/>
      <c r="B39" s="527" t="s">
        <v>782</v>
      </c>
      <c r="C39" s="574" t="s">
        <v>3155</v>
      </c>
      <c r="D39" s="540">
        <v>100</v>
      </c>
      <c r="E39" s="574" t="s">
        <v>3153</v>
      </c>
      <c r="F39" s="575">
        <f>SUMIF(115:115,E39,116:116)-SUMIF(115:115,C39,116:116)+100</f>
        <v>102</v>
      </c>
      <c r="G39" s="574" t="s">
        <v>3153</v>
      </c>
      <c r="H39" s="540">
        <f>SUMIF(115:115,G39,116:116)-SUMIF(115:115,C39,116:116)+100</f>
        <v>102</v>
      </c>
      <c r="I39" s="574" t="s">
        <v>3153</v>
      </c>
      <c r="J39" s="540">
        <f>SUMIF(115:115,I39,116:116)-SUMIF(115:115,C39,116:116)+100</f>
        <v>102</v>
      </c>
      <c r="K39" s="584">
        <v>2</v>
      </c>
      <c r="L39" s="2143"/>
      <c r="M39" s="2135"/>
      <c r="N39" s="2135"/>
      <c r="O39" s="2135"/>
      <c r="P39" s="3433" t="s">
        <v>550</v>
      </c>
      <c r="Q39" s="1572" t="str">
        <f t="shared" si="11"/>
        <v>物业管理</v>
      </c>
      <c r="R39" s="1573" t="s">
        <v>8</v>
      </c>
      <c r="S39" s="1574">
        <f t="shared" si="12"/>
        <v>102</v>
      </c>
      <c r="T39" s="1573" t="s">
        <v>8</v>
      </c>
      <c r="U39" s="1574">
        <f t="shared" si="13"/>
        <v>102</v>
      </c>
      <c r="V39" s="1573" t="s">
        <v>8</v>
      </c>
      <c r="W39" s="1574">
        <f t="shared" si="14"/>
        <v>102</v>
      </c>
      <c r="X39" s="1567"/>
      <c r="Y39" s="3433" t="s">
        <v>550</v>
      </c>
      <c r="Z39" s="1575" t="str">
        <f t="shared" si="15"/>
        <v>物业管理</v>
      </c>
      <c r="AA39" s="1576">
        <f t="shared" si="3"/>
        <v>0.98039215686274506</v>
      </c>
      <c r="AB39" s="1576">
        <f t="shared" si="4"/>
        <v>0.98039215686274506</v>
      </c>
      <c r="AC39" s="1576">
        <f t="shared" si="5"/>
        <v>0.98039215686274506</v>
      </c>
    </row>
    <row r="40" spans="1:29" ht="15">
      <c r="A40" s="594"/>
      <c r="B40" s="1896" t="s">
        <v>2568</v>
      </c>
      <c r="C40" s="574" t="s">
        <v>3054</v>
      </c>
      <c r="D40" s="540">
        <v>100</v>
      </c>
      <c r="E40" s="574" t="s">
        <v>3054</v>
      </c>
      <c r="F40" s="575">
        <f>SUMIF(117:117,E40,118:118)-SUMIF(117:117,C40,118:118)+100</f>
        <v>100</v>
      </c>
      <c r="G40" s="574" t="s">
        <v>3054</v>
      </c>
      <c r="H40" s="540">
        <f>SUMIF(117:117,G40,118:118)-SUMIF(117:117,C40,118:118)+100</f>
        <v>100</v>
      </c>
      <c r="I40" s="574" t="s">
        <v>3054</v>
      </c>
      <c r="J40" s="540">
        <f>SUMIF(117:117,I40,118:118)-SUMIF(117:117,C40,118:118)+100</f>
        <v>100</v>
      </c>
      <c r="K40" s="584"/>
      <c r="L40" s="2143"/>
      <c r="M40" s="2135"/>
      <c r="N40" s="2135"/>
      <c r="O40" s="2135"/>
      <c r="P40" s="3433"/>
      <c r="Q40" s="1572" t="str">
        <f t="shared" si="11"/>
        <v>市政基础设施</v>
      </c>
      <c r="R40" s="1573" t="s">
        <v>8</v>
      </c>
      <c r="S40" s="1574">
        <f t="shared" si="12"/>
        <v>100</v>
      </c>
      <c r="T40" s="1573" t="s">
        <v>8</v>
      </c>
      <c r="U40" s="1574">
        <f t="shared" si="13"/>
        <v>100</v>
      </c>
      <c r="V40" s="1573" t="s">
        <v>8</v>
      </c>
      <c r="W40" s="1574">
        <f t="shared" si="14"/>
        <v>100</v>
      </c>
      <c r="X40" s="1567"/>
      <c r="Y40" s="3433"/>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3"/>
      <c r="Q41" s="1572" t="str">
        <f t="shared" si="11"/>
        <v>层高</v>
      </c>
      <c r="R41" s="1573" t="s">
        <v>8</v>
      </c>
      <c r="S41" s="1574">
        <f t="shared" si="12"/>
        <v>100</v>
      </c>
      <c r="T41" s="1573" t="s">
        <v>8</v>
      </c>
      <c r="U41" s="1574">
        <f t="shared" si="13"/>
        <v>100</v>
      </c>
      <c r="V41" s="1573" t="s">
        <v>8</v>
      </c>
      <c r="W41" s="1574">
        <f t="shared" si="14"/>
        <v>100</v>
      </c>
      <c r="X41" s="1567"/>
      <c r="Y41" s="3433"/>
      <c r="Z41" s="1575" t="str">
        <f t="shared" si="15"/>
        <v>层高</v>
      </c>
      <c r="AA41" s="1576">
        <f t="shared" si="3"/>
        <v>1</v>
      </c>
      <c r="AB41" s="1576">
        <f t="shared" si="4"/>
        <v>1</v>
      </c>
      <c r="AC41" s="1576">
        <f t="shared" si="5"/>
        <v>1</v>
      </c>
    </row>
    <row r="42" spans="1:29" s="1339" customFormat="1" ht="15">
      <c r="A42" s="603"/>
      <c r="B42" s="904" t="s">
        <v>783</v>
      </c>
      <c r="C42" s="539">
        <v>228.93</v>
      </c>
      <c r="D42" s="540">
        <v>100</v>
      </c>
      <c r="E42" s="539">
        <v>70</v>
      </c>
      <c r="F42" s="575">
        <f>SUMIF(121:121,E42,122:122)-SUMIF(121:121,C42,122:122)+100</f>
        <v>103</v>
      </c>
      <c r="G42" s="539">
        <v>136</v>
      </c>
      <c r="H42" s="540">
        <f>SUMIF(121:121,G42,122:122)-SUMIF(121:121,C42,122:122)+100</f>
        <v>102</v>
      </c>
      <c r="I42" s="539">
        <v>31</v>
      </c>
      <c r="J42" s="540">
        <f>SUMIF(121:121,I42,122:122)-SUMIF(121:121,C42,122:122)+100</f>
        <v>104</v>
      </c>
      <c r="K42" s="581"/>
      <c r="L42" s="2141"/>
      <c r="M42" s="2172"/>
      <c r="N42" s="2172"/>
      <c r="O42" s="2172"/>
      <c r="P42" s="3433"/>
      <c r="Q42" s="1605" t="str">
        <f t="shared" si="11"/>
        <v>单套建筑面积</v>
      </c>
      <c r="R42" s="1577" t="s">
        <v>8</v>
      </c>
      <c r="S42" s="1578">
        <f t="shared" si="12"/>
        <v>103</v>
      </c>
      <c r="T42" s="1577" t="s">
        <v>8</v>
      </c>
      <c r="U42" s="1578">
        <f t="shared" si="13"/>
        <v>102</v>
      </c>
      <c r="V42" s="1577" t="s">
        <v>8</v>
      </c>
      <c r="W42" s="1578">
        <f t="shared" si="14"/>
        <v>104</v>
      </c>
      <c r="X42" s="1579"/>
      <c r="Y42" s="3433"/>
      <c r="Z42" s="1580" t="str">
        <f t="shared" si="15"/>
        <v>单套建筑面积</v>
      </c>
      <c r="AA42" s="1576">
        <f t="shared" si="3"/>
        <v>0.970873786407767</v>
      </c>
      <c r="AB42" s="1576">
        <f t="shared" si="4"/>
        <v>0.98039215686274506</v>
      </c>
      <c r="AC42" s="1576">
        <f t="shared" si="5"/>
        <v>0.96153846153846156</v>
      </c>
    </row>
    <row r="43" spans="1:29" ht="15">
      <c r="A43" s="594"/>
      <c r="B43" s="527" t="s">
        <v>770</v>
      </c>
      <c r="C43" s="574" t="s">
        <v>3146</v>
      </c>
      <c r="D43" s="540">
        <v>100</v>
      </c>
      <c r="E43" s="574" t="s">
        <v>3110</v>
      </c>
      <c r="F43" s="575">
        <f>SUMIF(123:123,E43,124:124)-SUMIF(123:123,C43,124:124)+100</f>
        <v>98</v>
      </c>
      <c r="G43" s="574" t="s">
        <v>3110</v>
      </c>
      <c r="H43" s="540">
        <f>SUMIF(123:123,G43,124:124)-SUMIF(123:123,C43,124:124)+100</f>
        <v>98</v>
      </c>
      <c r="I43" s="574" t="s">
        <v>3110</v>
      </c>
      <c r="J43" s="540">
        <f>SUMIF(123:123,I43,124:124)-SUMIF(123:123,C43,124:124)+100</f>
        <v>98</v>
      </c>
      <c r="K43" s="584">
        <v>2</v>
      </c>
      <c r="L43" s="2143"/>
      <c r="M43" s="2135"/>
      <c r="N43" s="2135"/>
      <c r="O43" s="2135"/>
      <c r="P43" s="3433"/>
      <c r="Q43" s="1572" t="str">
        <f t="shared" si="11"/>
        <v>内部装修</v>
      </c>
      <c r="R43" s="1573" t="s">
        <v>8</v>
      </c>
      <c r="S43" s="1574">
        <f t="shared" si="12"/>
        <v>98</v>
      </c>
      <c r="T43" s="1573" t="s">
        <v>8</v>
      </c>
      <c r="U43" s="1574">
        <f t="shared" si="13"/>
        <v>98</v>
      </c>
      <c r="V43" s="1573" t="s">
        <v>8</v>
      </c>
      <c r="W43" s="1574">
        <f t="shared" si="14"/>
        <v>98</v>
      </c>
      <c r="X43" s="1567"/>
      <c r="Y43" s="3433"/>
      <c r="Z43" s="1575" t="str">
        <f t="shared" si="15"/>
        <v>内部装修</v>
      </c>
      <c r="AA43" s="1576">
        <f t="shared" si="3"/>
        <v>1.0204081632653061</v>
      </c>
      <c r="AB43" s="1576">
        <f t="shared" si="4"/>
        <v>1.0204081632653061</v>
      </c>
      <c r="AC43" s="1576">
        <f t="shared" si="5"/>
        <v>1.0204081632653061</v>
      </c>
    </row>
    <row r="44" spans="1:29" ht="27">
      <c r="A44" s="594"/>
      <c r="B44" s="527" t="s">
        <v>735</v>
      </c>
      <c r="C44" s="574" t="s">
        <v>3072</v>
      </c>
      <c r="D44" s="540">
        <v>100</v>
      </c>
      <c r="E44" s="599" t="s">
        <v>3073</v>
      </c>
      <c r="F44" s="575">
        <f>SUMIF(125:125,E44,126:126)-SUMIF(125:125,C44,126:126)+100</f>
        <v>101</v>
      </c>
      <c r="G44" s="599" t="s">
        <v>3073</v>
      </c>
      <c r="H44" s="540">
        <f>SUMIF(125:125,G44,126:126)-SUMIF(125:125,C44,126:126)+100</f>
        <v>101</v>
      </c>
      <c r="I44" s="599" t="s">
        <v>3073</v>
      </c>
      <c r="J44" s="540">
        <f>SUMIF(125:125,I44,126:126)-SUMIF(125:125,C44,126:126)+100</f>
        <v>101</v>
      </c>
      <c r="K44" s="584">
        <v>1</v>
      </c>
      <c r="L44" s="2143"/>
      <c r="M44" s="2135"/>
      <c r="N44" s="2135"/>
      <c r="O44" s="2135"/>
      <c r="P44" s="3433"/>
      <c r="Q44" s="1572" t="str">
        <f t="shared" si="11"/>
        <v>内部装修维护情况</v>
      </c>
      <c r="R44" s="1573" t="s">
        <v>8</v>
      </c>
      <c r="S44" s="1574">
        <f t="shared" si="12"/>
        <v>101</v>
      </c>
      <c r="T44" s="1573" t="s">
        <v>8</v>
      </c>
      <c r="U44" s="1574">
        <f t="shared" si="13"/>
        <v>101</v>
      </c>
      <c r="V44" s="1573" t="s">
        <v>8</v>
      </c>
      <c r="W44" s="1574">
        <f t="shared" si="14"/>
        <v>101</v>
      </c>
      <c r="X44" s="1567"/>
      <c r="Y44" s="3433"/>
      <c r="Z44" s="1575" t="str">
        <f t="shared" si="15"/>
        <v>内部装修维护情况</v>
      </c>
      <c r="AA44" s="1576">
        <f t="shared" si="3"/>
        <v>0.99009900990099009</v>
      </c>
      <c r="AB44" s="1576">
        <f t="shared" si="4"/>
        <v>0.99009900990099009</v>
      </c>
      <c r="AC44" s="1576">
        <f t="shared" si="5"/>
        <v>0.99009900990099009</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3"/>
      <c r="Q45" s="1151">
        <f t="shared" si="11"/>
        <v>111</v>
      </c>
      <c r="R45" s="1568" t="s">
        <v>8</v>
      </c>
      <c r="S45" s="1569">
        <f t="shared" si="12"/>
        <v>100</v>
      </c>
      <c r="T45" s="1568" t="s">
        <v>8</v>
      </c>
      <c r="U45" s="1569">
        <f t="shared" si="13"/>
        <v>100</v>
      </c>
      <c r="V45" s="1568" t="s">
        <v>8</v>
      </c>
      <c r="W45" s="1569">
        <f t="shared" si="14"/>
        <v>100</v>
      </c>
      <c r="X45" s="1570"/>
      <c r="Y45" s="3433"/>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3"/>
      <c r="Q46" s="1572">
        <f t="shared" si="11"/>
        <v>111</v>
      </c>
      <c r="R46" s="1573" t="s">
        <v>8</v>
      </c>
      <c r="S46" s="1574">
        <f t="shared" si="12"/>
        <v>100</v>
      </c>
      <c r="T46" s="1573" t="s">
        <v>8</v>
      </c>
      <c r="U46" s="1574">
        <f t="shared" si="13"/>
        <v>100</v>
      </c>
      <c r="V46" s="1573" t="s">
        <v>8</v>
      </c>
      <c r="W46" s="1574">
        <f t="shared" si="14"/>
        <v>100</v>
      </c>
      <c r="X46" s="1567"/>
      <c r="Y46" s="3433"/>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5"/>
      <c r="Q47" s="1572">
        <f t="shared" si="11"/>
        <v>111</v>
      </c>
      <c r="R47" s="1573" t="s">
        <v>8</v>
      </c>
      <c r="S47" s="1574">
        <f t="shared" si="12"/>
        <v>100</v>
      </c>
      <c r="T47" s="1573" t="s">
        <v>8</v>
      </c>
      <c r="U47" s="1574">
        <f t="shared" si="13"/>
        <v>100</v>
      </c>
      <c r="V47" s="1573" t="s">
        <v>8</v>
      </c>
      <c r="W47" s="1574">
        <f t="shared" si="14"/>
        <v>100</v>
      </c>
      <c r="X47" s="1567"/>
      <c r="Y47" s="3515"/>
      <c r="Z47" s="1575">
        <f t="shared" si="15"/>
        <v>111</v>
      </c>
      <c r="AA47" s="1576">
        <f t="shared" si="3"/>
        <v>1</v>
      </c>
      <c r="AB47" s="1576">
        <f t="shared" si="4"/>
        <v>1</v>
      </c>
      <c r="AC47" s="1576">
        <f t="shared" si="5"/>
        <v>1</v>
      </c>
    </row>
    <row r="48" spans="1:29" ht="15">
      <c r="A48" s="607" t="s">
        <v>736</v>
      </c>
      <c r="B48" s="887"/>
      <c r="C48" s="2628" t="s">
        <v>1</v>
      </c>
      <c r="D48" s="2629"/>
      <c r="E48" s="2630">
        <v>37865</v>
      </c>
      <c r="F48" s="2631"/>
      <c r="G48" s="2632">
        <v>40895</v>
      </c>
      <c r="H48" s="2633"/>
      <c r="I48" s="2630">
        <v>39435</v>
      </c>
      <c r="J48" s="2633"/>
      <c r="K48" s="1611"/>
      <c r="L48" s="2145"/>
      <c r="M48" s="2135"/>
      <c r="N48" s="2135"/>
      <c r="O48" s="2135"/>
      <c r="P48" s="3450" t="str">
        <f>A48</f>
        <v>成交单价（元/平方米）</v>
      </c>
      <c r="Q48" s="3428"/>
      <c r="R48" s="3514">
        <f>E48</f>
        <v>37865</v>
      </c>
      <c r="S48" s="3514"/>
      <c r="T48" s="3514">
        <f>G48</f>
        <v>40895</v>
      </c>
      <c r="U48" s="3514"/>
      <c r="V48" s="3514">
        <f>I48</f>
        <v>39435</v>
      </c>
      <c r="W48" s="3514"/>
      <c r="X48" s="1559"/>
      <c r="Y48" s="1581"/>
      <c r="Z48" s="1559"/>
      <c r="AA48" s="1559"/>
      <c r="AB48" s="1559"/>
      <c r="AC48" s="1559"/>
    </row>
    <row r="49" spans="1:29" ht="15.75" thickBot="1">
      <c r="A49" s="615" t="s">
        <v>2763</v>
      </c>
      <c r="B49" s="888"/>
      <c r="C49" s="2634">
        <f>R50</f>
        <v>33660.199999999997</v>
      </c>
      <c r="D49" s="2635"/>
      <c r="E49" s="2636">
        <f>R49</f>
        <v>32069.4</v>
      </c>
      <c r="F49" s="2636"/>
      <c r="G49" s="2634">
        <f>T49</f>
        <v>35329.4</v>
      </c>
      <c r="H49" s="2635"/>
      <c r="I49" s="2636">
        <f>V49</f>
        <v>33581.699999999997</v>
      </c>
      <c r="J49" s="2635"/>
      <c r="K49" s="1612"/>
      <c r="L49" s="2145"/>
      <c r="M49" s="2135"/>
      <c r="N49" s="2135"/>
      <c r="O49" s="2135"/>
      <c r="P49" s="3450" t="str">
        <f>A49</f>
        <v>比较价格（元/平方米）</v>
      </c>
      <c r="Q49" s="3428"/>
      <c r="R49" s="3514">
        <f>IF(F1="售价",ROUND(PRODUCT(R48,AA7:AA47),0),ROUND(PRODUCT(R48,AA7:AA47),1))</f>
        <v>32069.4</v>
      </c>
      <c r="S49" s="3514"/>
      <c r="T49" s="3514">
        <f>IF(F1="售价",ROUND(PRODUCT(T48,AB7:AB47),0),ROUND(PRODUCT(T48,AB7:AB47),1))</f>
        <v>35329.4</v>
      </c>
      <c r="U49" s="3514"/>
      <c r="V49" s="3514">
        <f>IF(F1="售价",ROUND(PRODUCT(V48,AC7:AC47),0),ROUND(PRODUCT(V48,AC7:AC47),1))</f>
        <v>33581.699999999997</v>
      </c>
      <c r="W49" s="3514"/>
      <c r="X49" s="1559"/>
      <c r="Y49" s="1559"/>
      <c r="Z49" s="1559"/>
      <c r="AA49" s="1559"/>
      <c r="AB49" s="1559"/>
      <c r="AC49" s="1559"/>
    </row>
    <row r="50" spans="1:29" ht="15.75" thickBot="1">
      <c r="A50" s="621" t="s">
        <v>2939</v>
      </c>
      <c r="B50" s="622"/>
      <c r="C50" s="2637">
        <f>R50</f>
        <v>33660.199999999997</v>
      </c>
      <c r="D50" s="2637"/>
      <c r="E50" s="2637"/>
      <c r="F50" s="2637"/>
      <c r="G50" s="2637"/>
      <c r="H50" s="2637"/>
      <c r="I50" s="2637"/>
      <c r="J50" s="2637"/>
      <c r="K50" s="1613"/>
      <c r="L50" s="2145"/>
      <c r="M50" s="2135"/>
      <c r="N50" s="2135"/>
      <c r="O50" s="2135"/>
      <c r="P50" s="3519" t="str">
        <f>A50</f>
        <v>估价对象XX用房的比较价格（楼面单价，元/平方米）</v>
      </c>
      <c r="Q50" s="3450"/>
      <c r="R50" s="3513">
        <f>IF(F1="售价",ROUND(AVERAGE(R49:V49),0),ROUND(AVERAGE(R49:V49),1))</f>
        <v>33660.199999999997</v>
      </c>
      <c r="S50" s="3513"/>
      <c r="T50" s="3513"/>
      <c r="U50" s="3513"/>
      <c r="V50" s="3513"/>
      <c r="W50" s="3513"/>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0.18072056228055389</v>
      </c>
      <c r="F53" s="627" t="str">
        <f>IF(OR(E53&gt;=0.3,E53&lt;=-0.3),"超过30%","")</f>
        <v/>
      </c>
      <c r="G53" s="626">
        <f>IF(G48&lt;G49,G49/G48-1,G48/G49-1)</f>
        <v>0.15753451799351237</v>
      </c>
      <c r="H53" s="627" t="str">
        <f>IF(OR(G53&gt;=0.3,G53&lt;=-0.3),"超过30%","")</f>
        <v/>
      </c>
      <c r="I53" s="626">
        <f>IF(I48&lt;I49,I49/I48-1,I48/I49-1)</f>
        <v>0.174300288550014</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0.1016545367234809</v>
      </c>
      <c r="F54" s="627" t="str">
        <f>IF(OR(E54&gt;=0.2,E54&lt;=-0.2),"超过20%","")</f>
        <v/>
      </c>
      <c r="G54" s="626">
        <f>IF(G49&lt;I49,I49/G49-1,G49/I49-1)</f>
        <v>5.2043225923642966E-2</v>
      </c>
      <c r="H54" s="627" t="str">
        <f>IF(OR(G54&gt;=0.2,G54&lt;=-0.2),"超过20%","")</f>
        <v/>
      </c>
      <c r="I54" s="626">
        <f>IF(I49&lt;E49,E49/I49-1,I49/E49-1)</f>
        <v>4.715710303279752E-2</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8.0021127690479421E-2</v>
      </c>
      <c r="F55" s="627" t="str">
        <f>IF(OR(E55&gt;=0.3,E55&lt;=-0.3),"超过30%","")</f>
        <v/>
      </c>
      <c r="G55" s="626">
        <f>IF(G48&lt;I48,I48/G48-1,G48/I48-1)</f>
        <v>3.7022949156840346E-2</v>
      </c>
      <c r="H55" s="627" t="str">
        <f>IF(OR(G55&gt;=0.3,G55&lt;=-0.3),"超过30%","")</f>
        <v/>
      </c>
      <c r="I55" s="626">
        <f>IF(I48&lt;E48,E48/I48-1,I48/E48-1)</f>
        <v>4.1463092565693804E-2</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2018-6</v>
      </c>
      <c r="D59" s="2805">
        <f>EDATE(C59,-1)</f>
        <v>43221</v>
      </c>
      <c r="E59" s="2805">
        <f t="shared" ref="E59:O59" si="16">EDATE(D59,-1)</f>
        <v>43191</v>
      </c>
      <c r="F59" s="2805">
        <f t="shared" si="16"/>
        <v>43160</v>
      </c>
      <c r="G59" s="2805">
        <f t="shared" si="16"/>
        <v>43132</v>
      </c>
      <c r="H59" s="2805">
        <f t="shared" si="16"/>
        <v>43101</v>
      </c>
      <c r="I59" s="2805">
        <f t="shared" si="16"/>
        <v>43070</v>
      </c>
      <c r="J59" s="2805">
        <f t="shared" si="16"/>
        <v>43040</v>
      </c>
      <c r="K59" s="2805">
        <f t="shared" si="16"/>
        <v>43009</v>
      </c>
      <c r="L59" s="2805">
        <f t="shared" si="16"/>
        <v>42979</v>
      </c>
      <c r="M59" s="2805">
        <f t="shared" si="16"/>
        <v>42948</v>
      </c>
      <c r="N59" s="2805">
        <f t="shared" si="16"/>
        <v>42917</v>
      </c>
      <c r="O59" s="2805">
        <f t="shared" si="16"/>
        <v>42887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v>100</v>
      </c>
      <c r="E60" s="650">
        <v>100</v>
      </c>
      <c r="F60" s="650">
        <v>99.5</v>
      </c>
      <c r="G60" s="650">
        <v>99.5</v>
      </c>
      <c r="H60" s="650">
        <v>99.5</v>
      </c>
      <c r="I60" s="650">
        <v>99</v>
      </c>
      <c r="J60" s="650">
        <v>99</v>
      </c>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办公</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99.5</v>
      </c>
      <c r="E70" s="679">
        <f t="shared" si="18"/>
        <v>99</v>
      </c>
      <c r="F70" s="679">
        <f t="shared" si="18"/>
        <v>98.5</v>
      </c>
      <c r="G70" s="679">
        <f t="shared" si="18"/>
        <v>98</v>
      </c>
      <c r="H70" s="679">
        <f t="shared" si="18"/>
        <v>97.5</v>
      </c>
      <c r="I70" s="679">
        <f t="shared" si="18"/>
        <v>97</v>
      </c>
      <c r="J70" s="679">
        <f t="shared" si="18"/>
        <v>96.5</v>
      </c>
      <c r="K70" s="679">
        <f t="shared" si="18"/>
        <v>96</v>
      </c>
      <c r="L70" s="679">
        <f t="shared" si="18"/>
        <v>95.5</v>
      </c>
      <c r="M70" s="680">
        <f t="shared" si="18"/>
        <v>95</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97</v>
      </c>
      <c r="E78" s="679">
        <f>D78-$K15</f>
        <v>94</v>
      </c>
      <c r="F78" s="679">
        <f>E78-$K15</f>
        <v>91</v>
      </c>
      <c r="G78" s="679">
        <f>F78-$K15</f>
        <v>88</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97</v>
      </c>
      <c r="E80" s="679">
        <f>D80-$K17</f>
        <v>94</v>
      </c>
      <c r="F80" s="679">
        <f>E80-$K17</f>
        <v>91</v>
      </c>
      <c r="G80" s="679">
        <f>F80-$K17</f>
        <v>88</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3200" t="s">
        <v>3140</v>
      </c>
      <c r="D87" s="3200" t="s">
        <v>3141</v>
      </c>
      <c r="E87" s="3200" t="s">
        <v>3139</v>
      </c>
      <c r="F87" s="3200" t="s">
        <v>3142</v>
      </c>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97</v>
      </c>
      <c r="E88" s="679">
        <f t="shared" si="19"/>
        <v>94</v>
      </c>
      <c r="F88" s="679">
        <f t="shared" si="19"/>
        <v>91</v>
      </c>
      <c r="G88" s="679">
        <f t="shared" si="19"/>
        <v>88</v>
      </c>
      <c r="H88" s="679">
        <f t="shared" si="19"/>
        <v>85</v>
      </c>
      <c r="I88" s="679">
        <f t="shared" si="19"/>
        <v>82</v>
      </c>
      <c r="J88" s="679">
        <f t="shared" si="19"/>
        <v>79</v>
      </c>
      <c r="K88" s="679">
        <f t="shared" si="19"/>
        <v>76</v>
      </c>
      <c r="L88" s="679">
        <f t="shared" si="19"/>
        <v>73</v>
      </c>
      <c r="M88" s="679">
        <f t="shared" si="19"/>
        <v>70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t="str">
        <f>B29</f>
        <v>楼层</v>
      </c>
      <c r="C93" s="3204" t="s">
        <v>3162</v>
      </c>
      <c r="D93" s="3204" t="s">
        <v>3165</v>
      </c>
      <c r="E93" s="3204" t="s">
        <v>3163</v>
      </c>
      <c r="F93" s="3204" t="s">
        <v>3167</v>
      </c>
      <c r="G93" s="3204"/>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v>100</v>
      </c>
      <c r="D94" s="671">
        <v>98</v>
      </c>
      <c r="E94" s="671">
        <v>98</v>
      </c>
      <c r="F94" s="671">
        <v>98</v>
      </c>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100(含)-200</v>
      </c>
      <c r="D103" s="708" t="str">
        <f t="shared" ref="D103:L103" si="23">D104&amp;"(含)"&amp;"-"&amp;E104</f>
        <v>200(含)-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v>100</v>
      </c>
      <c r="D104" s="730">
        <v>200</v>
      </c>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3200" t="s">
        <v>3143</v>
      </c>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3200" t="s">
        <v>3144</v>
      </c>
      <c r="D108" s="3200" t="s">
        <v>3145</v>
      </c>
      <c r="E108" s="3200" t="s">
        <v>3147</v>
      </c>
      <c r="F108" s="3202" t="s">
        <v>3148</v>
      </c>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99</v>
      </c>
      <c r="E109" s="679">
        <f t="shared" si="25"/>
        <v>98</v>
      </c>
      <c r="F109" s="679">
        <f t="shared" si="25"/>
        <v>97</v>
      </c>
      <c r="G109" s="679">
        <f t="shared" si="25"/>
        <v>96</v>
      </c>
      <c r="H109" s="679">
        <f t="shared" si="25"/>
        <v>95</v>
      </c>
      <c r="I109" s="679">
        <f t="shared" si="25"/>
        <v>94</v>
      </c>
      <c r="J109" s="679">
        <f t="shared" si="25"/>
        <v>93</v>
      </c>
      <c r="K109" s="679">
        <f t="shared" si="25"/>
        <v>92</v>
      </c>
      <c r="L109" s="679">
        <f t="shared" si="25"/>
        <v>91</v>
      </c>
      <c r="M109" s="680">
        <f t="shared" si="25"/>
        <v>90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3200" t="s">
        <v>3150</v>
      </c>
      <c r="D113" s="3200" t="s">
        <v>3152</v>
      </c>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95</v>
      </c>
      <c r="E114" s="679">
        <f t="shared" ref="E114:M114" si="27">D114-$K38</f>
        <v>90</v>
      </c>
      <c r="F114" s="679">
        <f t="shared" si="27"/>
        <v>85</v>
      </c>
      <c r="G114" s="679">
        <f t="shared" si="27"/>
        <v>80</v>
      </c>
      <c r="H114" s="679">
        <f t="shared" si="27"/>
        <v>75</v>
      </c>
      <c r="I114" s="679">
        <f t="shared" si="27"/>
        <v>70</v>
      </c>
      <c r="J114" s="679">
        <f t="shared" si="27"/>
        <v>65</v>
      </c>
      <c r="K114" s="679">
        <f t="shared" si="27"/>
        <v>60</v>
      </c>
      <c r="L114" s="679">
        <f t="shared" si="27"/>
        <v>55</v>
      </c>
      <c r="M114" s="679">
        <f t="shared" si="27"/>
        <v>50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3200" t="s">
        <v>3154</v>
      </c>
      <c r="D115" s="3200" t="s">
        <v>3156</v>
      </c>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3200" t="s">
        <v>3157</v>
      </c>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3214">
        <v>228.93</v>
      </c>
      <c r="D121" s="688">
        <v>70</v>
      </c>
      <c r="E121" s="688">
        <v>136</v>
      </c>
      <c r="F121" s="718">
        <v>31</v>
      </c>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v>100</v>
      </c>
      <c r="D122" s="692">
        <v>103</v>
      </c>
      <c r="E122" s="692">
        <v>102</v>
      </c>
      <c r="F122" s="692">
        <v>104</v>
      </c>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3200" t="s">
        <v>3144</v>
      </c>
      <c r="D123" s="3200" t="s">
        <v>3145</v>
      </c>
      <c r="E123" s="3200" t="s">
        <v>3147</v>
      </c>
      <c r="F123" s="3202" t="s">
        <v>3148</v>
      </c>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34" t="s">
        <v>522</v>
      </c>
      <c r="D4" s="3435"/>
      <c r="E4" s="3458" t="s">
        <v>523</v>
      </c>
      <c r="F4" s="3459"/>
      <c r="G4" s="3434" t="s">
        <v>524</v>
      </c>
      <c r="H4" s="3435"/>
      <c r="I4" s="3434" t="s">
        <v>525</v>
      </c>
      <c r="J4" s="3435"/>
      <c r="K4" s="514" t="s">
        <v>526</v>
      </c>
      <c r="L4" s="2134"/>
      <c r="M4" s="2135"/>
      <c r="N4" s="2135"/>
      <c r="O4" s="2135"/>
      <c r="P4" s="3436" t="s">
        <v>527</v>
      </c>
      <c r="Q4" s="3437"/>
      <c r="R4" s="3422" t="s">
        <v>523</v>
      </c>
      <c r="S4" s="3423"/>
      <c r="T4" s="3422" t="s">
        <v>524</v>
      </c>
      <c r="U4" s="3423"/>
      <c r="V4" s="3442" t="s">
        <v>525</v>
      </c>
      <c r="W4" s="3442"/>
      <c r="X4" s="1567"/>
      <c r="Y4" s="3422" t="s">
        <v>527</v>
      </c>
      <c r="Z4" s="3423"/>
      <c r="AA4" s="3417" t="s">
        <v>523</v>
      </c>
      <c r="AB4" s="3418" t="s">
        <v>524</v>
      </c>
      <c r="AC4" s="3417" t="s">
        <v>525</v>
      </c>
    </row>
    <row r="5" spans="1:29" ht="15">
      <c r="A5" s="515"/>
      <c r="B5" s="516"/>
      <c r="C5" s="3445" t="s">
        <v>2933</v>
      </c>
      <c r="D5" s="3446"/>
      <c r="E5" s="3460" t="s">
        <v>2934</v>
      </c>
      <c r="F5" s="3461"/>
      <c r="G5" s="3445" t="s">
        <v>2935</v>
      </c>
      <c r="H5" s="3446"/>
      <c r="I5" s="3445" t="s">
        <v>2936</v>
      </c>
      <c r="J5" s="3446"/>
      <c r="K5" s="514"/>
      <c r="L5" s="2134"/>
      <c r="M5" s="2135"/>
      <c r="N5" s="2135"/>
      <c r="O5" s="2135"/>
      <c r="P5" s="3438"/>
      <c r="Q5" s="3439"/>
      <c r="R5" s="3424"/>
      <c r="S5" s="3425"/>
      <c r="T5" s="3424"/>
      <c r="U5" s="3425"/>
      <c r="V5" s="3442"/>
      <c r="W5" s="3442"/>
      <c r="X5" s="1567"/>
      <c r="Y5" s="3424"/>
      <c r="Z5" s="3425"/>
      <c r="AA5" s="3418"/>
      <c r="AB5" s="3418"/>
      <c r="AC5" s="3418"/>
    </row>
    <row r="6" spans="1:29" ht="15.75" thickBot="1">
      <c r="A6" s="517"/>
      <c r="B6" s="518"/>
      <c r="C6" s="3443" t="s">
        <v>2937</v>
      </c>
      <c r="D6" s="3444"/>
      <c r="E6" s="3462" t="s">
        <v>2937</v>
      </c>
      <c r="F6" s="3463"/>
      <c r="G6" s="3443" t="s">
        <v>2937</v>
      </c>
      <c r="H6" s="3444"/>
      <c r="I6" s="3443" t="s">
        <v>2937</v>
      </c>
      <c r="J6" s="3444"/>
      <c r="K6" s="514" t="s">
        <v>528</v>
      </c>
      <c r="L6" s="2134"/>
      <c r="M6" s="2135"/>
      <c r="N6" s="2135"/>
      <c r="O6" s="2135"/>
      <c r="P6" s="3440"/>
      <c r="Q6" s="3441"/>
      <c r="R6" s="3424"/>
      <c r="S6" s="3425"/>
      <c r="T6" s="3426"/>
      <c r="U6" s="3427"/>
      <c r="V6" s="3442"/>
      <c r="W6" s="3442"/>
      <c r="X6" s="1567"/>
      <c r="Y6" s="3426"/>
      <c r="Z6" s="3427"/>
      <c r="AA6" s="3419"/>
      <c r="AB6" s="3419"/>
      <c r="AC6" s="3419"/>
    </row>
    <row r="7" spans="1:29" s="1220" customFormat="1" ht="15.75" thickBot="1">
      <c r="A7" s="2913"/>
      <c r="B7" s="2920" t="s">
        <v>529</v>
      </c>
      <c r="C7" s="519">
        <f>'数据-取费表'!B2</f>
        <v>43273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0" t="s">
        <v>530</v>
      </c>
      <c r="Q7" s="3429"/>
      <c r="R7" s="1568" t="s">
        <v>8</v>
      </c>
      <c r="S7" s="1569">
        <f t="shared" ref="S7:S15" si="0">F7</f>
        <v>0</v>
      </c>
      <c r="T7" s="1568" t="s">
        <v>8</v>
      </c>
      <c r="U7" s="1569">
        <f t="shared" ref="U7:U15" si="1">H7</f>
        <v>0</v>
      </c>
      <c r="V7" s="1568" t="s">
        <v>8</v>
      </c>
      <c r="W7" s="1569">
        <f t="shared" ref="W7:W15" si="2">J7</f>
        <v>0</v>
      </c>
      <c r="X7" s="1570"/>
      <c r="Y7" s="3420" t="s">
        <v>530</v>
      </c>
      <c r="Z7" s="3421"/>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0" t="s">
        <v>533</v>
      </c>
      <c r="Q8" s="3421"/>
      <c r="R8" s="1568" t="s">
        <v>8</v>
      </c>
      <c r="S8" s="1569">
        <f t="shared" si="0"/>
        <v>0</v>
      </c>
      <c r="T8" s="1568" t="s">
        <v>8</v>
      </c>
      <c r="U8" s="1569">
        <f t="shared" si="1"/>
        <v>0</v>
      </c>
      <c r="V8" s="1568" t="s">
        <v>8</v>
      </c>
      <c r="W8" s="1569">
        <f t="shared" si="2"/>
        <v>0</v>
      </c>
      <c r="X8" s="1570"/>
      <c r="Y8" s="3420" t="s">
        <v>533</v>
      </c>
      <c r="Z8" s="3421"/>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28" t="s">
        <v>535</v>
      </c>
      <c r="Q9" s="1151" t="str">
        <f t="shared" ref="Q9:Q15" si="6">B9</f>
        <v>用途</v>
      </c>
      <c r="R9" s="1568" t="s">
        <v>8</v>
      </c>
      <c r="S9" s="1569">
        <f t="shared" si="0"/>
        <v>100</v>
      </c>
      <c r="T9" s="1568" t="s">
        <v>8</v>
      </c>
      <c r="U9" s="1569">
        <f t="shared" si="1"/>
        <v>100</v>
      </c>
      <c r="V9" s="1568" t="s">
        <v>8</v>
      </c>
      <c r="W9" s="1569">
        <f t="shared" si="2"/>
        <v>100</v>
      </c>
      <c r="X9" s="1570"/>
      <c r="Y9" s="3367"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28"/>
      <c r="Q10" s="1151" t="str">
        <f t="shared" si="6"/>
        <v>土地使用年限（年）</v>
      </c>
      <c r="R10" s="1568" t="s">
        <v>8</v>
      </c>
      <c r="S10" s="1569">
        <f t="shared" si="0"/>
        <v>100</v>
      </c>
      <c r="T10" s="1568" t="s">
        <v>8</v>
      </c>
      <c r="U10" s="1569">
        <f t="shared" si="1"/>
        <v>100</v>
      </c>
      <c r="V10" s="1568" t="s">
        <v>8</v>
      </c>
      <c r="W10" s="1569">
        <f t="shared" si="2"/>
        <v>100</v>
      </c>
      <c r="X10" s="1570"/>
      <c r="Y10" s="3367"/>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28"/>
      <c r="Q11" s="1151" t="str">
        <f t="shared" si="6"/>
        <v>容积率</v>
      </c>
      <c r="R11" s="1568" t="s">
        <v>8</v>
      </c>
      <c r="S11" s="1569" t="e">
        <f t="shared" si="0"/>
        <v>#N/A</v>
      </c>
      <c r="T11" s="1568" t="s">
        <v>8</v>
      </c>
      <c r="U11" s="1569" t="e">
        <f t="shared" si="1"/>
        <v>#N/A</v>
      </c>
      <c r="V11" s="1568" t="s">
        <v>8</v>
      </c>
      <c r="W11" s="1569" t="e">
        <f t="shared" si="2"/>
        <v>#N/A</v>
      </c>
      <c r="X11" s="1570"/>
      <c r="Y11" s="3367"/>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28"/>
      <c r="Q12" s="1151">
        <f t="shared" si="6"/>
        <v>111</v>
      </c>
      <c r="R12" s="1568" t="s">
        <v>8</v>
      </c>
      <c r="S12" s="1569">
        <f t="shared" si="0"/>
        <v>100</v>
      </c>
      <c r="T12" s="1568" t="s">
        <v>8</v>
      </c>
      <c r="U12" s="1569">
        <f t="shared" si="1"/>
        <v>100</v>
      </c>
      <c r="V12" s="1568" t="s">
        <v>8</v>
      </c>
      <c r="W12" s="1569">
        <f t="shared" si="2"/>
        <v>100</v>
      </c>
      <c r="X12" s="1570"/>
      <c r="Y12" s="3367"/>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28"/>
      <c r="Q13" s="1151">
        <f t="shared" si="6"/>
        <v>111</v>
      </c>
      <c r="R13" s="1568" t="s">
        <v>8</v>
      </c>
      <c r="S13" s="1569">
        <f t="shared" si="0"/>
        <v>100</v>
      </c>
      <c r="T13" s="1568" t="s">
        <v>8</v>
      </c>
      <c r="U13" s="1569">
        <f t="shared" si="1"/>
        <v>100</v>
      </c>
      <c r="V13" s="1568" t="s">
        <v>8</v>
      </c>
      <c r="W13" s="1569">
        <f t="shared" si="2"/>
        <v>100</v>
      </c>
      <c r="X13" s="1570"/>
      <c r="Y13" s="3367"/>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28"/>
      <c r="Q14" s="1151">
        <f t="shared" si="6"/>
        <v>111</v>
      </c>
      <c r="R14" s="1568" t="s">
        <v>8</v>
      </c>
      <c r="S14" s="1569">
        <f t="shared" si="0"/>
        <v>100</v>
      </c>
      <c r="T14" s="1568" t="s">
        <v>8</v>
      </c>
      <c r="U14" s="1569">
        <f t="shared" si="1"/>
        <v>100</v>
      </c>
      <c r="V14" s="1568" t="s">
        <v>8</v>
      </c>
      <c r="W14" s="1569">
        <f t="shared" si="2"/>
        <v>100</v>
      </c>
      <c r="X14" s="1570"/>
      <c r="Y14" s="3367"/>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30" t="s">
        <v>540</v>
      </c>
      <c r="Q15" s="1572" t="str">
        <f t="shared" si="6"/>
        <v>产业集聚程度</v>
      </c>
      <c r="R15" s="1573" t="s">
        <v>8</v>
      </c>
      <c r="S15" s="1574">
        <f t="shared" si="0"/>
        <v>100</v>
      </c>
      <c r="T15" s="1573" t="s">
        <v>8</v>
      </c>
      <c r="U15" s="1574">
        <f t="shared" si="1"/>
        <v>100</v>
      </c>
      <c r="V15" s="1573" t="s">
        <v>8</v>
      </c>
      <c r="W15" s="1574">
        <f t="shared" si="2"/>
        <v>100</v>
      </c>
      <c r="X15" s="1567"/>
      <c r="Y15" s="3430"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1"/>
      <c r="Q16" s="1572"/>
      <c r="R16" s="1573"/>
      <c r="S16" s="1574"/>
      <c r="T16" s="1573"/>
      <c r="U16" s="1574"/>
      <c r="V16" s="1573"/>
      <c r="W16" s="1574"/>
      <c r="X16" s="1567"/>
      <c r="Y16" s="3431"/>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1"/>
      <c r="Q17" s="1572" t="str">
        <f>B17</f>
        <v>交通便捷度</v>
      </c>
      <c r="R17" s="1573" t="s">
        <v>8</v>
      </c>
      <c r="S17" s="1574">
        <f>F17</f>
        <v>100</v>
      </c>
      <c r="T17" s="1573" t="s">
        <v>8</v>
      </c>
      <c r="U17" s="1574">
        <f>H17</f>
        <v>100</v>
      </c>
      <c r="V17" s="1573" t="s">
        <v>8</v>
      </c>
      <c r="W17" s="1574">
        <f>J17</f>
        <v>100</v>
      </c>
      <c r="X17" s="1567"/>
      <c r="Y17" s="343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1"/>
      <c r="Q18" s="1572"/>
      <c r="R18" s="1573"/>
      <c r="S18" s="1574"/>
      <c r="T18" s="1573"/>
      <c r="U18" s="1574"/>
      <c r="V18" s="1573"/>
      <c r="W18" s="1574"/>
      <c r="X18" s="1567"/>
      <c r="Y18" s="3431"/>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1"/>
      <c r="Q19" s="1572" t="str">
        <f>B19</f>
        <v>公共配套设施</v>
      </c>
      <c r="R19" s="1573" t="s">
        <v>8</v>
      </c>
      <c r="S19" s="1574">
        <f>F19</f>
        <v>100</v>
      </c>
      <c r="T19" s="1573" t="s">
        <v>8</v>
      </c>
      <c r="U19" s="1574">
        <f>H19</f>
        <v>100</v>
      </c>
      <c r="V19" s="1573" t="s">
        <v>8</v>
      </c>
      <c r="W19" s="1574">
        <f>J19</f>
        <v>100</v>
      </c>
      <c r="X19" s="1567"/>
      <c r="Y19" s="343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31"/>
      <c r="Q20" s="1572"/>
      <c r="R20" s="1573"/>
      <c r="S20" s="1574"/>
      <c r="T20" s="1573"/>
      <c r="U20" s="1574"/>
      <c r="V20" s="1573"/>
      <c r="W20" s="1574"/>
      <c r="X20" s="1567"/>
      <c r="Y20" s="3431"/>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1"/>
      <c r="Q21" s="2580" t="str">
        <f>B21</f>
        <v>基础设施水平</v>
      </c>
      <c r="R21" s="1573" t="s">
        <v>8</v>
      </c>
      <c r="S21" s="1574">
        <f>F21</f>
        <v>100</v>
      </c>
      <c r="T21" s="1573" t="s">
        <v>8</v>
      </c>
      <c r="U21" s="1574">
        <f>H21</f>
        <v>100</v>
      </c>
      <c r="V21" s="1573" t="s">
        <v>8</v>
      </c>
      <c r="W21" s="1574">
        <f>J21</f>
        <v>100</v>
      </c>
      <c r="X21" s="2582"/>
      <c r="Y21" s="3431"/>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31"/>
      <c r="Q22" s="2580"/>
      <c r="R22" s="1573"/>
      <c r="S22" s="1574"/>
      <c r="T22" s="1573"/>
      <c r="U22" s="1574"/>
      <c r="V22" s="1573"/>
      <c r="W22" s="1574"/>
      <c r="X22" s="2582"/>
      <c r="Y22" s="3431"/>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1"/>
      <c r="Q23" s="1572" t="str">
        <f>B23</f>
        <v>环境质量</v>
      </c>
      <c r="R23" s="1573" t="s">
        <v>8</v>
      </c>
      <c r="S23" s="1574">
        <f>F23</f>
        <v>100</v>
      </c>
      <c r="T23" s="1573" t="s">
        <v>8</v>
      </c>
      <c r="U23" s="1574">
        <f>H23</f>
        <v>100</v>
      </c>
      <c r="V23" s="1573" t="s">
        <v>8</v>
      </c>
      <c r="W23" s="1574">
        <f>J23</f>
        <v>100</v>
      </c>
      <c r="X23" s="1567"/>
      <c r="Y23" s="3431"/>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31"/>
      <c r="Q24" s="1572"/>
      <c r="R24" s="1573"/>
      <c r="S24" s="1574"/>
      <c r="T24" s="1573"/>
      <c r="U24" s="1574"/>
      <c r="V24" s="1573"/>
      <c r="W24" s="1574"/>
      <c r="X24" s="1567"/>
      <c r="Y24" s="343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1"/>
      <c r="Q25" s="1572">
        <f>B25</f>
        <v>111</v>
      </c>
      <c r="R25" s="1573" t="s">
        <v>8</v>
      </c>
      <c r="S25" s="1574">
        <f>F25</f>
        <v>100</v>
      </c>
      <c r="T25" s="1573" t="s">
        <v>8</v>
      </c>
      <c r="U25" s="1574">
        <f>H25</f>
        <v>100</v>
      </c>
      <c r="V25" s="1573" t="s">
        <v>8</v>
      </c>
      <c r="W25" s="1574">
        <f>J25</f>
        <v>100</v>
      </c>
      <c r="X25" s="1567"/>
      <c r="Y25" s="343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1"/>
      <c r="Q26" s="1572">
        <f t="shared" ref="Q26:Q40" si="11">B26</f>
        <v>111</v>
      </c>
      <c r="R26" s="1573" t="s">
        <v>8</v>
      </c>
      <c r="S26" s="1574">
        <f>F26</f>
        <v>100</v>
      </c>
      <c r="T26" s="1573" t="s">
        <v>8</v>
      </c>
      <c r="U26" s="1574">
        <f>H26</f>
        <v>100</v>
      </c>
      <c r="V26" s="1573" t="s">
        <v>8</v>
      </c>
      <c r="W26" s="1574">
        <f>J26</f>
        <v>100</v>
      </c>
      <c r="X26" s="1567"/>
      <c r="Y26" s="3431"/>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1"/>
      <c r="Q27" s="1151">
        <f t="shared" si="11"/>
        <v>111</v>
      </c>
      <c r="R27" s="1568" t="s">
        <v>8</v>
      </c>
      <c r="S27" s="1569">
        <f>F27</f>
        <v>100</v>
      </c>
      <c r="T27" s="1568" t="s">
        <v>8</v>
      </c>
      <c r="U27" s="1569">
        <f>H27</f>
        <v>100</v>
      </c>
      <c r="V27" s="1568" t="s">
        <v>8</v>
      </c>
      <c r="W27" s="1569">
        <f>J27</f>
        <v>100</v>
      </c>
      <c r="X27" s="1570"/>
      <c r="Y27" s="3431"/>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1"/>
      <c r="Q28" s="1572">
        <f t="shared" si="11"/>
        <v>111</v>
      </c>
      <c r="R28" s="1573" t="s">
        <v>8</v>
      </c>
      <c r="S28" s="1574">
        <f t="shared" ref="S28:S40" si="12">F28</f>
        <v>100</v>
      </c>
      <c r="T28" s="1573" t="s">
        <v>8</v>
      </c>
      <c r="U28" s="1574">
        <f t="shared" ref="U28:U40" si="13">H28</f>
        <v>100</v>
      </c>
      <c r="V28" s="1573" t="s">
        <v>8</v>
      </c>
      <c r="W28" s="1574">
        <f t="shared" ref="W28:W40" si="14">J28</f>
        <v>100</v>
      </c>
      <c r="X28" s="1567"/>
      <c r="Y28" s="3431"/>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32" t="s">
        <v>550</v>
      </c>
      <c r="Q29" s="1572" t="str">
        <f t="shared" si="11"/>
        <v>建筑类型</v>
      </c>
      <c r="R29" s="1573" t="s">
        <v>8</v>
      </c>
      <c r="S29" s="1574">
        <f t="shared" si="12"/>
        <v>100</v>
      </c>
      <c r="T29" s="1573" t="s">
        <v>8</v>
      </c>
      <c r="U29" s="1574">
        <f t="shared" si="13"/>
        <v>100</v>
      </c>
      <c r="V29" s="1573" t="s">
        <v>8</v>
      </c>
      <c r="W29" s="1574">
        <f t="shared" si="14"/>
        <v>100</v>
      </c>
      <c r="X29" s="1567"/>
      <c r="Y29" s="3433"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3"/>
      <c r="Q30" s="1605" t="str">
        <f t="shared" si="11"/>
        <v>项目建筑规模</v>
      </c>
      <c r="R30" s="1577" t="s">
        <v>8</v>
      </c>
      <c r="S30" s="1578" t="e">
        <f t="shared" si="12"/>
        <v>#N/A</v>
      </c>
      <c r="T30" s="1577" t="s">
        <v>8</v>
      </c>
      <c r="U30" s="1578" t="e">
        <f t="shared" si="13"/>
        <v>#N/A</v>
      </c>
      <c r="V30" s="1577" t="s">
        <v>8</v>
      </c>
      <c r="W30" s="1578" t="e">
        <f t="shared" si="14"/>
        <v>#N/A</v>
      </c>
      <c r="X30" s="1579"/>
      <c r="Y30" s="3433"/>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3"/>
      <c r="Q31" s="1572" t="str">
        <f t="shared" si="11"/>
        <v>建筑结构</v>
      </c>
      <c r="R31" s="1573" t="s">
        <v>8</v>
      </c>
      <c r="S31" s="1574">
        <f t="shared" si="12"/>
        <v>100</v>
      </c>
      <c r="T31" s="1573" t="s">
        <v>8</v>
      </c>
      <c r="U31" s="1574">
        <f t="shared" si="13"/>
        <v>100</v>
      </c>
      <c r="V31" s="1573" t="s">
        <v>8</v>
      </c>
      <c r="W31" s="1574">
        <f t="shared" si="14"/>
        <v>100</v>
      </c>
      <c r="X31" s="1567"/>
      <c r="Y31" s="3433"/>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3"/>
      <c r="Q32" s="1572" t="str">
        <f t="shared" si="11"/>
        <v>公共部分装修</v>
      </c>
      <c r="R32" s="1573" t="s">
        <v>8</v>
      </c>
      <c r="S32" s="1574">
        <f t="shared" si="12"/>
        <v>100</v>
      </c>
      <c r="T32" s="1573" t="s">
        <v>8</v>
      </c>
      <c r="U32" s="1574">
        <f t="shared" si="13"/>
        <v>100</v>
      </c>
      <c r="V32" s="1573" t="s">
        <v>8</v>
      </c>
      <c r="W32" s="1574">
        <f t="shared" si="14"/>
        <v>100</v>
      </c>
      <c r="X32" s="1567"/>
      <c r="Y32" s="3433"/>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3"/>
      <c r="Q33" s="1572" t="str">
        <f t="shared" si="11"/>
        <v>成新度</v>
      </c>
      <c r="R33" s="1573" t="s">
        <v>8</v>
      </c>
      <c r="S33" s="1574" t="e">
        <f t="shared" si="12"/>
        <v>#N/A</v>
      </c>
      <c r="T33" s="1573" t="s">
        <v>8</v>
      </c>
      <c r="U33" s="1574" t="e">
        <f t="shared" si="13"/>
        <v>#N/A</v>
      </c>
      <c r="V33" s="1573" t="s">
        <v>8</v>
      </c>
      <c r="W33" s="1574" t="e">
        <f t="shared" si="14"/>
        <v>#N/A</v>
      </c>
      <c r="X33" s="1567"/>
      <c r="Y33" s="3433"/>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3"/>
      <c r="Q34" s="1151" t="str">
        <f t="shared" si="11"/>
        <v>物业管理</v>
      </c>
      <c r="R34" s="1568" t="s">
        <v>8</v>
      </c>
      <c r="S34" s="1569">
        <f t="shared" si="12"/>
        <v>100</v>
      </c>
      <c r="T34" s="1568" t="s">
        <v>8</v>
      </c>
      <c r="U34" s="1569">
        <f t="shared" si="13"/>
        <v>100</v>
      </c>
      <c r="V34" s="1568" t="s">
        <v>8</v>
      </c>
      <c r="W34" s="1569">
        <f t="shared" si="14"/>
        <v>100</v>
      </c>
      <c r="X34" s="1570"/>
      <c r="Y34" s="3433"/>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3" t="s">
        <v>550</v>
      </c>
      <c r="Q35" s="1572" t="str">
        <f t="shared" si="11"/>
        <v>市政基础设施</v>
      </c>
      <c r="R35" s="1573" t="s">
        <v>8</v>
      </c>
      <c r="S35" s="1574">
        <f t="shared" si="12"/>
        <v>100</v>
      </c>
      <c r="T35" s="1573" t="s">
        <v>8</v>
      </c>
      <c r="U35" s="1574">
        <f t="shared" si="13"/>
        <v>100</v>
      </c>
      <c r="V35" s="1573" t="s">
        <v>8</v>
      </c>
      <c r="W35" s="1574">
        <f t="shared" si="14"/>
        <v>100</v>
      </c>
      <c r="X35" s="1567"/>
      <c r="Y35" s="3433"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3"/>
      <c r="Q36" s="1572" t="str">
        <f t="shared" si="11"/>
        <v>内部装修</v>
      </c>
      <c r="R36" s="1573" t="s">
        <v>8</v>
      </c>
      <c r="S36" s="1574">
        <f t="shared" si="12"/>
        <v>100</v>
      </c>
      <c r="T36" s="1573" t="s">
        <v>8</v>
      </c>
      <c r="U36" s="1574">
        <f t="shared" si="13"/>
        <v>100</v>
      </c>
      <c r="V36" s="1573" t="s">
        <v>8</v>
      </c>
      <c r="W36" s="1574">
        <f t="shared" si="14"/>
        <v>100</v>
      </c>
      <c r="X36" s="1567"/>
      <c r="Y36" s="3433"/>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3"/>
      <c r="Q37" s="1572" t="str">
        <f t="shared" si="11"/>
        <v>内部装修状况</v>
      </c>
      <c r="R37" s="1573" t="s">
        <v>8</v>
      </c>
      <c r="S37" s="1574">
        <f t="shared" si="12"/>
        <v>100</v>
      </c>
      <c r="T37" s="1573" t="s">
        <v>8</v>
      </c>
      <c r="U37" s="1574">
        <f t="shared" si="13"/>
        <v>100</v>
      </c>
      <c r="V37" s="1573" t="s">
        <v>8</v>
      </c>
      <c r="W37" s="1574">
        <f t="shared" si="14"/>
        <v>100</v>
      </c>
      <c r="X37" s="1567"/>
      <c r="Y37" s="3433"/>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3"/>
      <c r="Q38" s="1605">
        <f t="shared" si="11"/>
        <v>111</v>
      </c>
      <c r="R38" s="1577" t="s">
        <v>8</v>
      </c>
      <c r="S38" s="1578">
        <f t="shared" si="12"/>
        <v>100</v>
      </c>
      <c r="T38" s="1577" t="s">
        <v>8</v>
      </c>
      <c r="U38" s="1578">
        <f t="shared" si="13"/>
        <v>100</v>
      </c>
      <c r="V38" s="1577" t="s">
        <v>8</v>
      </c>
      <c r="W38" s="1578">
        <f t="shared" si="14"/>
        <v>100</v>
      </c>
      <c r="X38" s="1579"/>
      <c r="Y38" s="3433"/>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3"/>
      <c r="Q39" s="1572">
        <f t="shared" si="11"/>
        <v>111</v>
      </c>
      <c r="R39" s="1573" t="s">
        <v>8</v>
      </c>
      <c r="S39" s="1574">
        <f t="shared" si="12"/>
        <v>100</v>
      </c>
      <c r="T39" s="1573" t="s">
        <v>8</v>
      </c>
      <c r="U39" s="1574">
        <f t="shared" si="13"/>
        <v>100</v>
      </c>
      <c r="V39" s="1573" t="s">
        <v>8</v>
      </c>
      <c r="W39" s="1574">
        <f t="shared" si="14"/>
        <v>100</v>
      </c>
      <c r="X39" s="1567"/>
      <c r="Y39" s="3433"/>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5"/>
      <c r="Q40" s="1572">
        <f t="shared" si="11"/>
        <v>111</v>
      </c>
      <c r="R40" s="1573" t="s">
        <v>8</v>
      </c>
      <c r="S40" s="1574">
        <f t="shared" si="12"/>
        <v>100</v>
      </c>
      <c r="T40" s="1573" t="s">
        <v>8</v>
      </c>
      <c r="U40" s="1574">
        <f t="shared" si="13"/>
        <v>100</v>
      </c>
      <c r="V40" s="1573" t="s">
        <v>8</v>
      </c>
      <c r="W40" s="1574">
        <f t="shared" si="14"/>
        <v>100</v>
      </c>
      <c r="X40" s="1567"/>
      <c r="Y40" s="3515"/>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28" t="str">
        <f>A41</f>
        <v>成交单价（元/平方米）</v>
      </c>
      <c r="Q41" s="3428"/>
      <c r="R41" s="3514">
        <f>E41</f>
        <v>0</v>
      </c>
      <c r="S41" s="3514"/>
      <c r="T41" s="3514">
        <f>G41</f>
        <v>0</v>
      </c>
      <c r="U41" s="3514"/>
      <c r="V41" s="3514">
        <f>I41</f>
        <v>0</v>
      </c>
      <c r="W41" s="3514"/>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28" t="str">
        <f>A42</f>
        <v>比较价格（元/平方米）</v>
      </c>
      <c r="Q42" s="3428"/>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449" t="str">
        <f>A43</f>
        <v>估价对象XX用房的比较价格（楼面单价，元/平方米）</v>
      </c>
      <c r="Q43" s="3450"/>
      <c r="R43" s="3513" t="e">
        <f>IF(F1="售价",ROUND(AVERAGE(R42:V42),0),ROUND(AVERAGE(R42:V42),1))</f>
        <v>#DIV/0!</v>
      </c>
      <c r="S43" s="3513"/>
      <c r="T43" s="3513"/>
      <c r="U43" s="3513"/>
      <c r="V43" s="3513"/>
      <c r="W43" s="3513"/>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2018-6</v>
      </c>
      <c r="D52" s="2805">
        <f>EDATE(C52,-1)</f>
        <v>43221</v>
      </c>
      <c r="E52" s="2805">
        <f t="shared" ref="E52:O52" si="16">EDATE(D52,-1)</f>
        <v>43191</v>
      </c>
      <c r="F52" s="2805">
        <f t="shared" si="16"/>
        <v>43160</v>
      </c>
      <c r="G52" s="2805">
        <f t="shared" si="16"/>
        <v>43132</v>
      </c>
      <c r="H52" s="2805">
        <f t="shared" si="16"/>
        <v>43101</v>
      </c>
      <c r="I52" s="2805">
        <f t="shared" si="16"/>
        <v>43070</v>
      </c>
      <c r="J52" s="2805">
        <f t="shared" si="16"/>
        <v>43040</v>
      </c>
      <c r="K52" s="2805">
        <f t="shared" si="16"/>
        <v>43009</v>
      </c>
      <c r="L52" s="2805">
        <f t="shared" si="16"/>
        <v>42979</v>
      </c>
      <c r="M52" s="2805">
        <f t="shared" si="16"/>
        <v>42948</v>
      </c>
      <c r="N52" s="2805">
        <f t="shared" si="16"/>
        <v>42917</v>
      </c>
      <c r="O52" s="2805">
        <f t="shared" si="16"/>
        <v>42887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AC235"/>
  <sheetViews>
    <sheetView topLeftCell="A17" zoomScale="80" zoomScaleNormal="80" workbookViewId="0">
      <selection activeCell="G21" sqref="G2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7.37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0.25">
      <c r="A1" s="502" t="s">
        <v>718</v>
      </c>
      <c r="B1" s="923" t="s">
        <v>3023</v>
      </c>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0.25">
      <c r="A2" s="423" t="s">
        <v>794</v>
      </c>
      <c r="B2" s="850">
        <f>IF(B37="元/平方米",ROUND(B3*D3/10000,0),ROUND(F3*C39/10000,0))</f>
        <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1" thickBot="1">
      <c r="A3" s="509" t="s">
        <v>795</v>
      </c>
      <c r="B3" s="510">
        <f>IF(B37="元/平方米",C39,ROUND(B2*10000/D3,0))</f>
        <v>7783.6</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34" t="s">
        <v>798</v>
      </c>
      <c r="D4" s="3435"/>
      <c r="E4" s="3434" t="s">
        <v>799</v>
      </c>
      <c r="F4" s="3435"/>
      <c r="G4" s="3434" t="s">
        <v>800</v>
      </c>
      <c r="H4" s="3435"/>
      <c r="I4" s="3434" t="s">
        <v>801</v>
      </c>
      <c r="J4" s="3435"/>
      <c r="K4" s="514" t="s">
        <v>802</v>
      </c>
      <c r="L4" s="2134"/>
      <c r="M4" s="2135"/>
      <c r="N4" s="2135"/>
      <c r="O4" s="2135"/>
      <c r="P4" s="3436" t="s">
        <v>803</v>
      </c>
      <c r="Q4" s="3437"/>
      <c r="R4" s="3422" t="s">
        <v>799</v>
      </c>
      <c r="S4" s="3423"/>
      <c r="T4" s="3422" t="s">
        <v>800</v>
      </c>
      <c r="U4" s="3423"/>
      <c r="V4" s="3442" t="s">
        <v>801</v>
      </c>
      <c r="W4" s="3442"/>
      <c r="X4" s="1567"/>
      <c r="Y4" s="3422" t="s">
        <v>803</v>
      </c>
      <c r="Z4" s="3423"/>
      <c r="AA4" s="3417" t="s">
        <v>799</v>
      </c>
      <c r="AB4" s="3418" t="s">
        <v>800</v>
      </c>
      <c r="AC4" s="3417" t="s">
        <v>801</v>
      </c>
    </row>
    <row r="5" spans="1:29" ht="15">
      <c r="A5" s="515"/>
      <c r="B5" s="516"/>
      <c r="C5" s="3510" t="s">
        <v>3049</v>
      </c>
      <c r="D5" s="3446"/>
      <c r="E5" s="3510" t="s">
        <v>3066</v>
      </c>
      <c r="F5" s="3446"/>
      <c r="G5" s="3510" t="s">
        <v>3076</v>
      </c>
      <c r="H5" s="3446"/>
      <c r="I5" s="3510" t="s">
        <v>3074</v>
      </c>
      <c r="J5" s="3446"/>
      <c r="K5" s="514"/>
      <c r="L5" s="2134"/>
      <c r="M5" s="2135"/>
      <c r="N5" s="2135"/>
      <c r="O5" s="2135"/>
      <c r="P5" s="3438"/>
      <c r="Q5" s="3439"/>
      <c r="R5" s="3424"/>
      <c r="S5" s="3425"/>
      <c r="T5" s="3424"/>
      <c r="U5" s="3425"/>
      <c r="V5" s="3442"/>
      <c r="W5" s="3442"/>
      <c r="X5" s="1567"/>
      <c r="Y5" s="3424"/>
      <c r="Z5" s="3425"/>
      <c r="AA5" s="3418"/>
      <c r="AB5" s="3418"/>
      <c r="AC5" s="3418"/>
    </row>
    <row r="6" spans="1:29" ht="15.75" thickBot="1">
      <c r="A6" s="517"/>
      <c r="B6" s="518"/>
      <c r="C6" s="3511" t="s">
        <v>3050</v>
      </c>
      <c r="D6" s="3444"/>
      <c r="E6" s="3520" t="s">
        <v>3067</v>
      </c>
      <c r="F6" s="3448"/>
      <c r="G6" s="3511" t="s">
        <v>3077</v>
      </c>
      <c r="H6" s="3444"/>
      <c r="I6" s="3511" t="s">
        <v>3075</v>
      </c>
      <c r="J6" s="3444"/>
      <c r="K6" s="514" t="s">
        <v>528</v>
      </c>
      <c r="L6" s="2134"/>
      <c r="M6" s="2135"/>
      <c r="N6" s="2135"/>
      <c r="O6" s="2135"/>
      <c r="P6" s="3440"/>
      <c r="Q6" s="3441"/>
      <c r="R6" s="3424"/>
      <c r="S6" s="3425"/>
      <c r="T6" s="3426"/>
      <c r="U6" s="3427"/>
      <c r="V6" s="3442"/>
      <c r="W6" s="3442"/>
      <c r="X6" s="1567"/>
      <c r="Y6" s="3426"/>
      <c r="Z6" s="3427"/>
      <c r="AA6" s="3419"/>
      <c r="AB6" s="3419"/>
      <c r="AC6" s="3419"/>
    </row>
    <row r="7" spans="1:29" s="1220" customFormat="1" ht="15.75" thickBot="1">
      <c r="A7" s="2913"/>
      <c r="B7" s="2920" t="s">
        <v>529</v>
      </c>
      <c r="C7" s="519">
        <f>'数据-取费表'!B2</f>
        <v>43273</v>
      </c>
      <c r="D7" s="520">
        <v>100</v>
      </c>
      <c r="E7" s="521">
        <v>43108</v>
      </c>
      <c r="F7" s="522">
        <f>SUMIF(48:48,YEAR(E7)&amp;"-"&amp;MONTH(E7),49:49)</f>
        <v>100</v>
      </c>
      <c r="G7" s="523">
        <v>43246</v>
      </c>
      <c r="H7" s="520">
        <f>SUMIF(48:48,YEAR(G7)&amp;"-"&amp;MONTH(G7),49:49)</f>
        <v>100</v>
      </c>
      <c r="I7" s="523">
        <v>43228</v>
      </c>
      <c r="J7" s="520">
        <f>SUMIF(48:48,YEAR(I7)&amp;"-"&amp;MONTH(I7),49:49)</f>
        <v>100</v>
      </c>
      <c r="K7" s="524"/>
      <c r="L7" s="2136"/>
      <c r="M7" s="2137"/>
      <c r="N7" s="2137"/>
      <c r="O7" s="2137"/>
      <c r="P7" s="3420" t="s">
        <v>530</v>
      </c>
      <c r="Q7" s="3429"/>
      <c r="R7" s="1568" t="s">
        <v>8</v>
      </c>
      <c r="S7" s="1569">
        <f t="shared" ref="S7:S14" si="0">F7</f>
        <v>100</v>
      </c>
      <c r="T7" s="1568" t="s">
        <v>8</v>
      </c>
      <c r="U7" s="1569">
        <f t="shared" ref="U7:U14" si="1">H7</f>
        <v>100</v>
      </c>
      <c r="V7" s="1568" t="s">
        <v>8</v>
      </c>
      <c r="W7" s="1569">
        <f t="shared" ref="W7:W14" si="2">J7</f>
        <v>100</v>
      </c>
      <c r="X7" s="1570"/>
      <c r="Y7" s="3420" t="s">
        <v>530</v>
      </c>
      <c r="Z7" s="3421"/>
      <c r="AA7" s="1571">
        <f>D7/F7</f>
        <v>1</v>
      </c>
      <c r="AB7" s="1571">
        <f>D7/H7</f>
        <v>1</v>
      </c>
      <c r="AC7" s="1571">
        <f>D7/J7</f>
        <v>1</v>
      </c>
    </row>
    <row r="8" spans="1:29" s="1220" customFormat="1" ht="15.75" thickBot="1">
      <c r="A8" s="2914"/>
      <c r="B8" s="2921" t="s">
        <v>531</v>
      </c>
      <c r="C8" s="525" t="s">
        <v>576</v>
      </c>
      <c r="D8" s="520">
        <v>100</v>
      </c>
      <c r="E8" s="525" t="s">
        <v>3068</v>
      </c>
      <c r="F8" s="522">
        <f>SUMIF(51:51,E8,52:52)-SUMIF(51:51,C8,52:52)+100</f>
        <v>100</v>
      </c>
      <c r="G8" s="525" t="s">
        <v>3068</v>
      </c>
      <c r="H8" s="520">
        <f>SUMIF(51:51,G8,52:52)-SUMIF(51:51,C8,52:52)+100</f>
        <v>100</v>
      </c>
      <c r="I8" s="525" t="s">
        <v>3068</v>
      </c>
      <c r="J8" s="520">
        <f>SUMIF(51:51,I8,52:52)-SUMIF(51:51,C8,52:52)+100</f>
        <v>100</v>
      </c>
      <c r="K8" s="524"/>
      <c r="L8" s="2136"/>
      <c r="M8" s="2137"/>
      <c r="N8" s="2137"/>
      <c r="O8" s="2137"/>
      <c r="P8" s="3420" t="s">
        <v>533</v>
      </c>
      <c r="Q8" s="3421"/>
      <c r="R8" s="1568" t="s">
        <v>8</v>
      </c>
      <c r="S8" s="1569">
        <f t="shared" si="0"/>
        <v>100</v>
      </c>
      <c r="T8" s="1568" t="s">
        <v>8</v>
      </c>
      <c r="U8" s="1569">
        <f t="shared" si="1"/>
        <v>100</v>
      </c>
      <c r="V8" s="1568" t="s">
        <v>8</v>
      </c>
      <c r="W8" s="1569">
        <f t="shared" si="2"/>
        <v>100</v>
      </c>
      <c r="X8" s="1570"/>
      <c r="Y8" s="3420" t="s">
        <v>533</v>
      </c>
      <c r="Z8" s="3421"/>
      <c r="AA8" s="1571">
        <f t="shared" ref="AA8:AA36" si="3">D8/F8</f>
        <v>1</v>
      </c>
      <c r="AB8" s="1571">
        <f t="shared" ref="AB8:AB36" si="4">D8/H8</f>
        <v>1</v>
      </c>
      <c r="AC8" s="1571">
        <f t="shared" ref="AC8:AC36" si="5">D8/J8</f>
        <v>1</v>
      </c>
    </row>
    <row r="9" spans="1:29" s="1220" customFormat="1" ht="15">
      <c r="A9" s="2915"/>
      <c r="B9" s="2922" t="s">
        <v>2759</v>
      </c>
      <c r="C9" s="3199" t="s">
        <v>3051</v>
      </c>
      <c r="D9" s="254">
        <v>100</v>
      </c>
      <c r="E9" s="860" t="s">
        <v>3069</v>
      </c>
      <c r="F9" s="254">
        <f>SUMIF(53:53,E9,54:54)-SUMIF(53:53,C9,54:54)+100</f>
        <v>102</v>
      </c>
      <c r="G9" s="858" t="s">
        <v>3069</v>
      </c>
      <c r="H9" s="254">
        <f>SUMIF(53:53,G9,54:54)-SUMIF(53:53,C9,54:54)+100</f>
        <v>102</v>
      </c>
      <c r="I9" s="858" t="s">
        <v>3069</v>
      </c>
      <c r="J9" s="254">
        <f>SUMIF(53:53,I9,54:54)-SUMIF(53:53,C9,54:54)+100</f>
        <v>102</v>
      </c>
      <c r="K9" s="524"/>
      <c r="L9" s="2136"/>
      <c r="M9" s="2137"/>
      <c r="N9" s="2137"/>
      <c r="O9" s="2138"/>
      <c r="P9" s="3428" t="s">
        <v>535</v>
      </c>
      <c r="Q9" s="1151" t="str">
        <f t="shared" ref="Q9:Q14" si="6">B9</f>
        <v>用途</v>
      </c>
      <c r="R9" s="1568" t="s">
        <v>8</v>
      </c>
      <c r="S9" s="1569">
        <f t="shared" si="0"/>
        <v>102</v>
      </c>
      <c r="T9" s="1568" t="s">
        <v>8</v>
      </c>
      <c r="U9" s="1569">
        <f t="shared" si="1"/>
        <v>102</v>
      </c>
      <c r="V9" s="1568" t="s">
        <v>8</v>
      </c>
      <c r="W9" s="1569">
        <f t="shared" si="2"/>
        <v>102</v>
      </c>
      <c r="X9" s="1570"/>
      <c r="Y9" s="3367" t="s">
        <v>536</v>
      </c>
      <c r="Z9" s="1150" t="str">
        <f t="shared" ref="Z9:Z14" si="7">Q9</f>
        <v>用途</v>
      </c>
      <c r="AA9" s="1571">
        <f t="shared" si="3"/>
        <v>0.98039215686274506</v>
      </c>
      <c r="AB9" s="1571">
        <f t="shared" si="4"/>
        <v>0.98039215686274506</v>
      </c>
      <c r="AC9" s="1571">
        <f t="shared" si="5"/>
        <v>0.98039215686274506</v>
      </c>
    </row>
    <row r="10" spans="1:29" s="1338" customFormat="1" ht="27.75" thickBot="1">
      <c r="A10" s="2916"/>
      <c r="B10" s="2921" t="s">
        <v>2760</v>
      </c>
      <c r="C10" s="861" t="s">
        <v>3052</v>
      </c>
      <c r="D10" s="255">
        <v>100</v>
      </c>
      <c r="E10" s="861" t="s">
        <v>3071</v>
      </c>
      <c r="F10" s="255">
        <f>SUMIF(55:55,E10,56:56)-SUMIF(55:55,C10,56:56)+100</f>
        <v>99</v>
      </c>
      <c r="G10" s="862" t="s">
        <v>3052</v>
      </c>
      <c r="H10" s="255">
        <f>SUMIF(55:55,G10,56:56)-SUMIF(55:55,C10,56:56)+100</f>
        <v>100</v>
      </c>
      <c r="I10" s="861" t="s">
        <v>3052</v>
      </c>
      <c r="J10" s="255">
        <f>SUMIF(55:55,I10,56:56)-SUMIF(55:55,C10,56:56)+100</f>
        <v>100</v>
      </c>
      <c r="K10" s="584">
        <v>1</v>
      </c>
      <c r="L10" s="2139"/>
      <c r="M10" s="2179"/>
      <c r="N10" s="2179"/>
      <c r="O10" s="2140"/>
      <c r="P10" s="3428"/>
      <c r="Q10" s="1151" t="str">
        <f t="shared" si="6"/>
        <v>土地使用年限（年）</v>
      </c>
      <c r="R10" s="1568" t="s">
        <v>8</v>
      </c>
      <c r="S10" s="1569">
        <f t="shared" si="0"/>
        <v>99</v>
      </c>
      <c r="T10" s="1568" t="s">
        <v>8</v>
      </c>
      <c r="U10" s="1569">
        <f t="shared" si="1"/>
        <v>100</v>
      </c>
      <c r="V10" s="1568" t="s">
        <v>8</v>
      </c>
      <c r="W10" s="1569">
        <f t="shared" si="2"/>
        <v>100</v>
      </c>
      <c r="X10" s="1570"/>
      <c r="Y10" s="3367"/>
      <c r="Z10" s="1150" t="str">
        <f t="shared" si="7"/>
        <v>土地使用年限（年）</v>
      </c>
      <c r="AA10" s="1571">
        <f t="shared" si="3"/>
        <v>1.0101010101010102</v>
      </c>
      <c r="AB10" s="1571">
        <f t="shared" si="4"/>
        <v>1</v>
      </c>
      <c r="AC10" s="1571">
        <f t="shared" si="5"/>
        <v>1</v>
      </c>
    </row>
    <row r="11" spans="1:29" ht="15" hidden="1">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28"/>
      <c r="Q11" s="1151">
        <f t="shared" si="6"/>
        <v>111</v>
      </c>
      <c r="R11" s="1568" t="s">
        <v>8</v>
      </c>
      <c r="S11" s="1569">
        <f t="shared" si="0"/>
        <v>100</v>
      </c>
      <c r="T11" s="1568" t="s">
        <v>8</v>
      </c>
      <c r="U11" s="1569">
        <f t="shared" si="1"/>
        <v>100</v>
      </c>
      <c r="V11" s="1568" t="s">
        <v>8</v>
      </c>
      <c r="W11" s="1569">
        <f t="shared" si="2"/>
        <v>100</v>
      </c>
      <c r="X11" s="1570"/>
      <c r="Y11" s="3367"/>
      <c r="Z11" s="1150">
        <f t="shared" si="7"/>
        <v>111</v>
      </c>
      <c r="AA11" s="1571">
        <f t="shared" si="3"/>
        <v>1</v>
      </c>
      <c r="AB11" s="1571">
        <f t="shared" si="4"/>
        <v>1</v>
      </c>
      <c r="AC11" s="1571">
        <f t="shared" si="5"/>
        <v>1</v>
      </c>
    </row>
    <row r="12" spans="1:29" s="1220" customFormat="1" ht="15" hidden="1">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28"/>
      <c r="Q12" s="1151">
        <f t="shared" si="6"/>
        <v>111</v>
      </c>
      <c r="R12" s="1568" t="s">
        <v>8</v>
      </c>
      <c r="S12" s="1569">
        <f t="shared" si="0"/>
        <v>100</v>
      </c>
      <c r="T12" s="1568" t="s">
        <v>8</v>
      </c>
      <c r="U12" s="1569">
        <f t="shared" si="1"/>
        <v>100</v>
      </c>
      <c r="V12" s="1568" t="s">
        <v>8</v>
      </c>
      <c r="W12" s="1569">
        <f t="shared" si="2"/>
        <v>100</v>
      </c>
      <c r="X12" s="1570"/>
      <c r="Y12" s="3367"/>
      <c r="Z12" s="1150">
        <f t="shared" si="7"/>
        <v>111</v>
      </c>
      <c r="AA12" s="1571">
        <f>D12/F12</f>
        <v>1</v>
      </c>
      <c r="AB12" s="1571">
        <f>D12/H12</f>
        <v>1</v>
      </c>
      <c r="AC12" s="1571">
        <f>D12/J12</f>
        <v>1</v>
      </c>
    </row>
    <row r="13" spans="1:29" ht="15.75" hidden="1"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28"/>
      <c r="Q13" s="1151">
        <f t="shared" si="6"/>
        <v>111</v>
      </c>
      <c r="R13" s="1568" t="s">
        <v>8</v>
      </c>
      <c r="S13" s="1569">
        <f t="shared" si="0"/>
        <v>100</v>
      </c>
      <c r="T13" s="1568" t="s">
        <v>8</v>
      </c>
      <c r="U13" s="1569">
        <f t="shared" si="1"/>
        <v>100</v>
      </c>
      <c r="V13" s="1568" t="s">
        <v>8</v>
      </c>
      <c r="W13" s="1569">
        <f t="shared" si="2"/>
        <v>100</v>
      </c>
      <c r="X13" s="1570"/>
      <c r="Y13" s="3367"/>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102</v>
      </c>
      <c r="G14" s="552"/>
      <c r="H14" s="549">
        <f>SUMIF(63:63,G15,64:64)-SUMIF(63:63,C15,64:64)+100</f>
        <v>100</v>
      </c>
      <c r="I14" s="550"/>
      <c r="J14" s="549">
        <f>SUMIF(63:63,I15,64:64)-SUMIF(63:63,C15,64:64)+100</f>
        <v>102</v>
      </c>
      <c r="K14" s="898">
        <v>2</v>
      </c>
      <c r="L14" s="2143"/>
      <c r="M14" s="2135"/>
      <c r="N14" s="2135"/>
      <c r="O14" s="2142"/>
      <c r="P14" s="3430" t="s">
        <v>540</v>
      </c>
      <c r="Q14" s="1572" t="str">
        <f t="shared" si="6"/>
        <v>交通便捷度</v>
      </c>
      <c r="R14" s="1573" t="s">
        <v>8</v>
      </c>
      <c r="S14" s="1574">
        <f t="shared" si="0"/>
        <v>102</v>
      </c>
      <c r="T14" s="1573" t="s">
        <v>8</v>
      </c>
      <c r="U14" s="1574">
        <f t="shared" si="1"/>
        <v>100</v>
      </c>
      <c r="V14" s="1573" t="s">
        <v>8</v>
      </c>
      <c r="W14" s="1574">
        <f t="shared" si="2"/>
        <v>102</v>
      </c>
      <c r="X14" s="1567"/>
      <c r="Y14" s="3430" t="s">
        <v>540</v>
      </c>
      <c r="Z14" s="1575" t="str">
        <f t="shared" si="7"/>
        <v>交通便捷度</v>
      </c>
      <c r="AA14" s="1576">
        <f t="shared" si="3"/>
        <v>0.98039215686274506</v>
      </c>
      <c r="AB14" s="1576">
        <f t="shared" si="4"/>
        <v>1</v>
      </c>
      <c r="AC14" s="1576">
        <f t="shared" si="5"/>
        <v>0.98039215686274506</v>
      </c>
    </row>
    <row r="15" spans="1:29" ht="15">
      <c r="A15" s="515"/>
      <c r="B15" s="924"/>
      <c r="C15" s="576" t="s">
        <v>3053</v>
      </c>
      <c r="D15" s="555"/>
      <c r="E15" s="576" t="s">
        <v>3072</v>
      </c>
      <c r="F15" s="557"/>
      <c r="G15" s="576" t="s">
        <v>3053</v>
      </c>
      <c r="H15" s="559"/>
      <c r="I15" s="576" t="s">
        <v>3072</v>
      </c>
      <c r="J15" s="555"/>
      <c r="K15" s="899"/>
      <c r="L15" s="2143"/>
      <c r="M15" s="2135"/>
      <c r="N15" s="2135"/>
      <c r="O15" s="2142"/>
      <c r="P15" s="3431"/>
      <c r="Q15" s="1572"/>
      <c r="R15" s="1573"/>
      <c r="S15" s="1574"/>
      <c r="T15" s="1573"/>
      <c r="U15" s="1574"/>
      <c r="V15" s="1573"/>
      <c r="W15" s="1574"/>
      <c r="X15" s="1567"/>
      <c r="Y15" s="3431"/>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100</v>
      </c>
      <c r="I16" s="570"/>
      <c r="J16" s="565">
        <f>SUMIF(65:65,I17,66:66)-SUMIF(65:65,C17,66:66)+100</f>
        <v>100</v>
      </c>
      <c r="K16" s="898">
        <v>2</v>
      </c>
      <c r="L16" s="2143"/>
      <c r="M16" s="2135"/>
      <c r="N16" s="2135"/>
      <c r="O16" s="2142"/>
      <c r="P16" s="3431"/>
      <c r="Q16" s="1572" t="str">
        <f>B16</f>
        <v>公共配套设施</v>
      </c>
      <c r="R16" s="1573" t="s">
        <v>8</v>
      </c>
      <c r="S16" s="1574">
        <f>F16</f>
        <v>102</v>
      </c>
      <c r="T16" s="1573" t="s">
        <v>8</v>
      </c>
      <c r="U16" s="1574">
        <f>H16</f>
        <v>100</v>
      </c>
      <c r="V16" s="1573" t="s">
        <v>8</v>
      </c>
      <c r="W16" s="1574">
        <f>J16</f>
        <v>100</v>
      </c>
      <c r="X16" s="1567"/>
      <c r="Y16" s="3431"/>
      <c r="Z16" s="1575" t="str">
        <f>Q16</f>
        <v>公共配套设施</v>
      </c>
      <c r="AA16" s="1576">
        <f t="shared" si="3"/>
        <v>0.98039215686274506</v>
      </c>
      <c r="AB16" s="1576">
        <f t="shared" si="4"/>
        <v>1</v>
      </c>
      <c r="AC16" s="1576">
        <f t="shared" si="5"/>
        <v>1</v>
      </c>
    </row>
    <row r="17" spans="1:29" ht="15">
      <c r="A17" s="515"/>
      <c r="B17" s="566"/>
      <c r="C17" s="873" t="s">
        <v>3053</v>
      </c>
      <c r="D17" s="555"/>
      <c r="E17" s="576" t="s">
        <v>3072</v>
      </c>
      <c r="F17" s="557"/>
      <c r="G17" s="576" t="s">
        <v>3053</v>
      </c>
      <c r="H17" s="555"/>
      <c r="I17" s="576" t="s">
        <v>3053</v>
      </c>
      <c r="J17" s="555"/>
      <c r="K17" s="899"/>
      <c r="L17" s="2143"/>
      <c r="M17" s="2135"/>
      <c r="N17" s="2135"/>
      <c r="O17" s="2142"/>
      <c r="P17" s="3431"/>
      <c r="Q17" s="1572"/>
      <c r="R17" s="1573"/>
      <c r="S17" s="1574"/>
      <c r="T17" s="1573"/>
      <c r="U17" s="1574"/>
      <c r="V17" s="1573"/>
      <c r="W17" s="1574"/>
      <c r="X17" s="1567"/>
      <c r="Y17" s="3431"/>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31"/>
      <c r="Q18" s="2580" t="str">
        <f>B18</f>
        <v>基础设施水平</v>
      </c>
      <c r="R18" s="1573" t="s">
        <v>8</v>
      </c>
      <c r="S18" s="1574">
        <f>F18</f>
        <v>100</v>
      </c>
      <c r="T18" s="1573" t="s">
        <v>8</v>
      </c>
      <c r="U18" s="1574">
        <f>H18</f>
        <v>100</v>
      </c>
      <c r="V18" s="1573" t="s">
        <v>8</v>
      </c>
      <c r="W18" s="1574">
        <f>J18</f>
        <v>100</v>
      </c>
      <c r="X18" s="2582"/>
      <c r="Y18" s="3431"/>
      <c r="Z18" s="2581" t="str">
        <f>Q18</f>
        <v>基础设施水平</v>
      </c>
      <c r="AA18" s="1576">
        <f t="shared" ref="AA18" si="8">D18/F18</f>
        <v>1</v>
      </c>
      <c r="AB18" s="1576">
        <f t="shared" ref="AB18" si="9">D18/H18</f>
        <v>1</v>
      </c>
      <c r="AC18" s="1576">
        <f t="shared" ref="AC18" si="10">D18/J18</f>
        <v>1</v>
      </c>
    </row>
    <row r="19" spans="1:29" ht="15">
      <c r="A19" s="515"/>
      <c r="B19" s="578"/>
      <c r="C19" s="873" t="s">
        <v>3055</v>
      </c>
      <c r="D19" s="559"/>
      <c r="E19" s="576" t="s">
        <v>3055</v>
      </c>
      <c r="F19" s="557"/>
      <c r="G19" s="576" t="s">
        <v>3055</v>
      </c>
      <c r="H19" s="555"/>
      <c r="I19" s="576" t="s">
        <v>3055</v>
      </c>
      <c r="J19" s="555"/>
      <c r="K19" s="2603"/>
      <c r="L19" s="2143"/>
      <c r="M19" s="2135"/>
      <c r="N19" s="2135"/>
      <c r="O19" s="2142"/>
      <c r="P19" s="3431"/>
      <c r="Q19" s="2580"/>
      <c r="R19" s="1573"/>
      <c r="S19" s="1574"/>
      <c r="T19" s="1573"/>
      <c r="U19" s="1574"/>
      <c r="V19" s="1573"/>
      <c r="W19" s="1574"/>
      <c r="X19" s="2582"/>
      <c r="Y19" s="3431"/>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102</v>
      </c>
      <c r="G20" s="564"/>
      <c r="H20" s="559">
        <f>SUMIF(69:69,G21,70:70)-SUMIF(69:69,C21,70:70)+100</f>
        <v>100</v>
      </c>
      <c r="I20" s="562"/>
      <c r="J20" s="559">
        <f>SUMIF(69:69,I21,70:70)-SUMIF(69:69,C21,70:70)+100</f>
        <v>104</v>
      </c>
      <c r="K20" s="898">
        <v>2</v>
      </c>
      <c r="L20" s="2143"/>
      <c r="M20" s="2135"/>
      <c r="N20" s="2135"/>
      <c r="O20" s="2142"/>
      <c r="P20" s="3431"/>
      <c r="Q20" s="1572" t="str">
        <f>B20</f>
        <v>自然及人文环境</v>
      </c>
      <c r="R20" s="1573" t="s">
        <v>8</v>
      </c>
      <c r="S20" s="1574">
        <f>F20</f>
        <v>102</v>
      </c>
      <c r="T20" s="1573" t="s">
        <v>8</v>
      </c>
      <c r="U20" s="1574">
        <f>H20</f>
        <v>100</v>
      </c>
      <c r="V20" s="1573" t="s">
        <v>8</v>
      </c>
      <c r="W20" s="1574">
        <f>J20</f>
        <v>104</v>
      </c>
      <c r="X20" s="1567"/>
      <c r="Y20" s="3431"/>
      <c r="Z20" s="1575" t="str">
        <f>Q20</f>
        <v>自然及人文环境</v>
      </c>
      <c r="AA20" s="1576">
        <f t="shared" si="3"/>
        <v>0.98039215686274506</v>
      </c>
      <c r="AB20" s="1576">
        <f t="shared" si="4"/>
        <v>1</v>
      </c>
      <c r="AC20" s="1576">
        <f t="shared" si="5"/>
        <v>0.96153846153846156</v>
      </c>
    </row>
    <row r="21" spans="1:29" ht="15">
      <c r="A21" s="515"/>
      <c r="B21" s="566"/>
      <c r="C21" s="576" t="s">
        <v>3053</v>
      </c>
      <c r="D21" s="555"/>
      <c r="E21" s="576" t="s">
        <v>3072</v>
      </c>
      <c r="F21" s="557"/>
      <c r="G21" s="3212" t="s">
        <v>3053</v>
      </c>
      <c r="H21" s="555"/>
      <c r="I21" s="576" t="s">
        <v>3073</v>
      </c>
      <c r="J21" s="555"/>
      <c r="K21" s="899"/>
      <c r="L21" s="2143"/>
      <c r="M21" s="2135"/>
      <c r="N21" s="2135"/>
      <c r="O21" s="2142"/>
      <c r="P21" s="3431"/>
      <c r="Q21" s="1572"/>
      <c r="R21" s="1573"/>
      <c r="S21" s="1574"/>
      <c r="T21" s="1573"/>
      <c r="U21" s="1574"/>
      <c r="V21" s="1573"/>
      <c r="W21" s="1574"/>
      <c r="X21" s="1567"/>
      <c r="Y21" s="3431"/>
      <c r="Z21" s="1575"/>
      <c r="AA21" s="1576">
        <v>1</v>
      </c>
      <c r="AB21" s="1576">
        <v>1</v>
      </c>
      <c r="AC21" s="1576">
        <v>1</v>
      </c>
    </row>
    <row r="22" spans="1:29" ht="15.75" thickBot="1">
      <c r="A22" s="515"/>
      <c r="B22" s="560" t="s">
        <v>805</v>
      </c>
      <c r="C22" s="583" t="s">
        <v>3059</v>
      </c>
      <c r="D22" s="559">
        <v>100</v>
      </c>
      <c r="E22" s="583" t="s">
        <v>3060</v>
      </c>
      <c r="F22" s="575">
        <f>SUMIF(71:71,E22,72:72)-SUMIF(71:71,C22,72:72)+100</f>
        <v>90</v>
      </c>
      <c r="G22" s="583" t="s">
        <v>3060</v>
      </c>
      <c r="H22" s="540">
        <f>SUMIF(71:71,G22,72:72)-SUMIF(71:71,C22,72:72)+100</f>
        <v>90</v>
      </c>
      <c r="I22" s="583" t="s">
        <v>3060</v>
      </c>
      <c r="J22" s="540">
        <f>SUMIF(71:71,I22,72:72)-SUMIF(71:71,C22,72:72)+100</f>
        <v>90</v>
      </c>
      <c r="K22" s="584">
        <v>10</v>
      </c>
      <c r="L22" s="2143"/>
      <c r="M22" s="2135"/>
      <c r="N22" s="2135"/>
      <c r="O22" s="2142"/>
      <c r="P22" s="3431"/>
      <c r="Q22" s="1572" t="str">
        <f>B22</f>
        <v>楼层</v>
      </c>
      <c r="R22" s="1573" t="s">
        <v>8</v>
      </c>
      <c r="S22" s="1574">
        <f>F22</f>
        <v>90</v>
      </c>
      <c r="T22" s="1573" t="s">
        <v>8</v>
      </c>
      <c r="U22" s="1574">
        <f>H22</f>
        <v>90</v>
      </c>
      <c r="V22" s="1573" t="s">
        <v>8</v>
      </c>
      <c r="W22" s="1574">
        <f>J22</f>
        <v>90</v>
      </c>
      <c r="X22" s="1567"/>
      <c r="Y22" s="3431"/>
      <c r="Z22" s="1575" t="str">
        <f>Q22</f>
        <v>楼层</v>
      </c>
      <c r="AA22" s="1576">
        <f t="shared" si="3"/>
        <v>1.1111111111111112</v>
      </c>
      <c r="AB22" s="1576">
        <f t="shared" si="4"/>
        <v>1.1111111111111112</v>
      </c>
      <c r="AC22" s="1576">
        <f t="shared" si="5"/>
        <v>1.1111111111111112</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1"/>
      <c r="Q23" s="1572">
        <f>B23</f>
        <v>111</v>
      </c>
      <c r="R23" s="1573" t="s">
        <v>8</v>
      </c>
      <c r="S23" s="1574">
        <f>F23</f>
        <v>100</v>
      </c>
      <c r="T23" s="1573" t="s">
        <v>8</v>
      </c>
      <c r="U23" s="1574">
        <f>H23</f>
        <v>100</v>
      </c>
      <c r="V23" s="1573" t="s">
        <v>8</v>
      </c>
      <c r="W23" s="1574">
        <f>J23</f>
        <v>100</v>
      </c>
      <c r="X23" s="1567"/>
      <c r="Y23" s="3431"/>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1"/>
      <c r="Q24" s="1572">
        <f t="shared" ref="Q24:Q36" si="11">B24</f>
        <v>111</v>
      </c>
      <c r="R24" s="1573" t="s">
        <v>8</v>
      </c>
      <c r="S24" s="1574">
        <f>F24</f>
        <v>100</v>
      </c>
      <c r="T24" s="1573" t="s">
        <v>8</v>
      </c>
      <c r="U24" s="1574">
        <f>H24</f>
        <v>100</v>
      </c>
      <c r="V24" s="1573" t="s">
        <v>8</v>
      </c>
      <c r="W24" s="1574">
        <f>J24</f>
        <v>100</v>
      </c>
      <c r="X24" s="1567"/>
      <c r="Y24" s="3431"/>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1"/>
      <c r="Q25" s="1151">
        <f t="shared" si="11"/>
        <v>111</v>
      </c>
      <c r="R25" s="1568" t="s">
        <v>8</v>
      </c>
      <c r="S25" s="1569">
        <f>F25</f>
        <v>100</v>
      </c>
      <c r="T25" s="1568" t="s">
        <v>8</v>
      </c>
      <c r="U25" s="1569">
        <f>H25</f>
        <v>100</v>
      </c>
      <c r="V25" s="1568" t="s">
        <v>8</v>
      </c>
      <c r="W25" s="1569">
        <f>J25</f>
        <v>100</v>
      </c>
      <c r="X25" s="1570"/>
      <c r="Y25" s="3431"/>
      <c r="Z25" s="1150">
        <f>Q25</f>
        <v>111</v>
      </c>
      <c r="AA25" s="1576">
        <f>D25/F25</f>
        <v>1</v>
      </c>
      <c r="AB25" s="1576">
        <f>D25/H25</f>
        <v>1</v>
      </c>
      <c r="AC25" s="1576">
        <f>D25/J25</f>
        <v>1</v>
      </c>
    </row>
    <row r="26" spans="1:29" ht="15">
      <c r="A26" s="2908" t="s">
        <v>2758</v>
      </c>
      <c r="B26" s="170" t="s">
        <v>806</v>
      </c>
      <c r="C26" s="928" t="str">
        <f>B1</f>
        <v>车库</v>
      </c>
      <c r="D26" s="555">
        <v>100</v>
      </c>
      <c r="E26" s="576" t="s">
        <v>3023</v>
      </c>
      <c r="F26" s="557">
        <f>SUMIF(79:79,E26,80:80)-SUMIF(79:79,C26,80:80)+100</f>
        <v>100</v>
      </c>
      <c r="G26" s="576" t="s">
        <v>3023</v>
      </c>
      <c r="H26" s="555">
        <f>SUMIF(79:79,G26,80:80)-SUMIF(79:79,C26,80:80)+100</f>
        <v>100</v>
      </c>
      <c r="I26" s="576" t="s">
        <v>3023</v>
      </c>
      <c r="J26" s="555">
        <f>SUMIF(79:79,I26,80:80)-SUMIF(79:79,C26,80:80)+100</f>
        <v>100</v>
      </c>
      <c r="K26" s="584"/>
      <c r="L26" s="2143"/>
      <c r="M26" s="2135"/>
      <c r="N26" s="2135"/>
      <c r="O26" s="2142"/>
      <c r="P26" s="343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33"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3"/>
      <c r="Q27" s="1605" t="str">
        <f t="shared" si="11"/>
        <v>项目停车位配比</v>
      </c>
      <c r="R27" s="1577" t="s">
        <v>8</v>
      </c>
      <c r="S27" s="1578">
        <f t="shared" si="12"/>
        <v>100</v>
      </c>
      <c r="T27" s="1577" t="s">
        <v>8</v>
      </c>
      <c r="U27" s="1578">
        <f t="shared" si="13"/>
        <v>100</v>
      </c>
      <c r="V27" s="1577" t="s">
        <v>8</v>
      </c>
      <c r="W27" s="1578">
        <f t="shared" si="14"/>
        <v>100</v>
      </c>
      <c r="X27" s="1579"/>
      <c r="Y27" s="3433"/>
      <c r="Z27" s="1580" t="str">
        <f t="shared" si="15"/>
        <v>项目停车位配比</v>
      </c>
      <c r="AA27" s="1576">
        <f t="shared" si="3"/>
        <v>1</v>
      </c>
      <c r="AB27" s="1576">
        <f t="shared" si="4"/>
        <v>1</v>
      </c>
      <c r="AC27" s="1576">
        <f t="shared" si="5"/>
        <v>1</v>
      </c>
    </row>
    <row r="28" spans="1:29" ht="15">
      <c r="A28" s="931"/>
      <c r="B28" s="582" t="s">
        <v>808</v>
      </c>
      <c r="C28" s="574" t="s">
        <v>3061</v>
      </c>
      <c r="D28" s="540">
        <v>100</v>
      </c>
      <c r="E28" s="574" t="s">
        <v>3061</v>
      </c>
      <c r="F28" s="575">
        <f>SUMIF(83:83,E28,84:84)-SUMIF(83:83,C28,84:84)+100</f>
        <v>100</v>
      </c>
      <c r="G28" s="574" t="s">
        <v>3061</v>
      </c>
      <c r="H28" s="540">
        <f>SUMIF(83:83,G28,84:84)-SUMIF(83:83,C28,84:84)+100</f>
        <v>100</v>
      </c>
      <c r="I28" s="574" t="s">
        <v>3061</v>
      </c>
      <c r="J28" s="540">
        <f>SUMIF(83:83,I28,84:84)-SUMIF(83:83,C28,84:84)+100</f>
        <v>100</v>
      </c>
      <c r="K28" s="584"/>
      <c r="L28" s="2143"/>
      <c r="M28" s="2135"/>
      <c r="N28" s="2135"/>
      <c r="O28" s="2142"/>
      <c r="P28" s="3433"/>
      <c r="Q28" s="1572" t="str">
        <f t="shared" si="11"/>
        <v>公共部分装修</v>
      </c>
      <c r="R28" s="1573" t="s">
        <v>8</v>
      </c>
      <c r="S28" s="1574">
        <f t="shared" si="12"/>
        <v>100</v>
      </c>
      <c r="T28" s="1573" t="s">
        <v>8</v>
      </c>
      <c r="U28" s="1574">
        <f t="shared" si="13"/>
        <v>100</v>
      </c>
      <c r="V28" s="1573" t="s">
        <v>8</v>
      </c>
      <c r="W28" s="1574">
        <f t="shared" si="14"/>
        <v>100</v>
      </c>
      <c r="X28" s="1567"/>
      <c r="Y28" s="3433"/>
      <c r="Z28" s="1575" t="str">
        <f t="shared" si="15"/>
        <v>公共部分装修</v>
      </c>
      <c r="AA28" s="1576">
        <f t="shared" si="3"/>
        <v>1</v>
      </c>
      <c r="AB28" s="1576">
        <f t="shared" si="4"/>
        <v>1</v>
      </c>
      <c r="AC28" s="1576">
        <f t="shared" si="5"/>
        <v>1</v>
      </c>
    </row>
    <row r="29" spans="1:29" ht="15">
      <c r="A29" s="931"/>
      <c r="B29" s="582" t="s">
        <v>809</v>
      </c>
      <c r="C29" s="883">
        <v>0.95</v>
      </c>
      <c r="D29" s="540">
        <v>100</v>
      </c>
      <c r="E29" s="883">
        <v>0.85</v>
      </c>
      <c r="F29" s="575">
        <f>LOOKUP(E29,86:86,87:87)-LOOKUP(C29,86:86,87:87)+100</f>
        <v>99</v>
      </c>
      <c r="G29" s="883">
        <v>0.98</v>
      </c>
      <c r="H29" s="575">
        <f>LOOKUP(G29,86:86,87:87)-LOOKUP(C29,86:86,87:87)+100</f>
        <v>100</v>
      </c>
      <c r="I29" s="883">
        <v>0.95</v>
      </c>
      <c r="J29" s="540">
        <f>LOOKUP(I29,86:86,87:87)-LOOKUP(C29,86:86,87:87)+100</f>
        <v>100</v>
      </c>
      <c r="K29" s="584">
        <v>1</v>
      </c>
      <c r="L29" s="2143"/>
      <c r="M29" s="2135"/>
      <c r="N29" s="2135"/>
      <c r="O29" s="2142"/>
      <c r="P29" s="3433"/>
      <c r="Q29" s="1572" t="str">
        <f t="shared" si="11"/>
        <v>成新率</v>
      </c>
      <c r="R29" s="1573" t="s">
        <v>8</v>
      </c>
      <c r="S29" s="1574">
        <f t="shared" si="12"/>
        <v>99</v>
      </c>
      <c r="T29" s="1573" t="s">
        <v>8</v>
      </c>
      <c r="U29" s="1574">
        <f t="shared" si="13"/>
        <v>100</v>
      </c>
      <c r="V29" s="1573" t="s">
        <v>8</v>
      </c>
      <c r="W29" s="1574">
        <f t="shared" si="14"/>
        <v>100</v>
      </c>
      <c r="X29" s="1567"/>
      <c r="Y29" s="3433"/>
      <c r="Z29" s="1575" t="str">
        <f t="shared" si="15"/>
        <v>成新率</v>
      </c>
      <c r="AA29" s="1576">
        <f t="shared" si="3"/>
        <v>1.0101010101010102</v>
      </c>
      <c r="AB29" s="1576">
        <f t="shared" si="4"/>
        <v>1</v>
      </c>
      <c r="AC29" s="1576">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33"/>
      <c r="Q30" s="1572" t="str">
        <f t="shared" si="11"/>
        <v>物业等级</v>
      </c>
      <c r="R30" s="1573" t="s">
        <v>8</v>
      </c>
      <c r="S30" s="1574">
        <f t="shared" si="12"/>
        <v>100</v>
      </c>
      <c r="T30" s="1573" t="s">
        <v>8</v>
      </c>
      <c r="U30" s="1574">
        <f t="shared" si="13"/>
        <v>100</v>
      </c>
      <c r="V30" s="1573" t="s">
        <v>8</v>
      </c>
      <c r="W30" s="1574">
        <f t="shared" si="14"/>
        <v>100</v>
      </c>
      <c r="X30" s="1567"/>
      <c r="Y30" s="3433"/>
      <c r="Z30" s="1575" t="str">
        <f t="shared" si="15"/>
        <v>物业等级</v>
      </c>
      <c r="AA30" s="1576">
        <f t="shared" si="3"/>
        <v>1</v>
      </c>
      <c r="AB30" s="1576">
        <f t="shared" si="4"/>
        <v>1</v>
      </c>
      <c r="AC30" s="1576">
        <f t="shared" si="5"/>
        <v>1</v>
      </c>
    </row>
    <row r="31" spans="1:29" s="1220" customFormat="1" ht="15">
      <c r="A31" s="933"/>
      <c r="B31" s="582" t="s">
        <v>811</v>
      </c>
      <c r="C31" s="880">
        <v>228.93</v>
      </c>
      <c r="D31" s="255">
        <v>100</v>
      </c>
      <c r="E31" s="880">
        <v>50</v>
      </c>
      <c r="F31" s="575">
        <f>LOOKUP(E31,91:91,92:92)-LOOKUP(C31,91:91,92:92)+100</f>
        <v>116</v>
      </c>
      <c r="G31" s="880">
        <v>35</v>
      </c>
      <c r="H31" s="540">
        <f>LOOKUP(G31,91:91,92:92)-LOOKUP(C31,91:91,92:92)+100</f>
        <v>114</v>
      </c>
      <c r="I31" s="880">
        <v>34</v>
      </c>
      <c r="J31" s="540">
        <f>LOOKUP(I31,91:91,92:92)-LOOKUP(C31,91:91,92:92)+100</f>
        <v>114</v>
      </c>
      <c r="K31" s="584"/>
      <c r="L31" s="2136"/>
      <c r="M31" s="2137"/>
      <c r="N31" s="2137"/>
      <c r="O31" s="2138"/>
      <c r="P31" s="3433"/>
      <c r="Q31" s="1151" t="str">
        <f t="shared" si="11"/>
        <v>停车位面积</v>
      </c>
      <c r="R31" s="1568" t="s">
        <v>8</v>
      </c>
      <c r="S31" s="1569">
        <f t="shared" si="12"/>
        <v>116</v>
      </c>
      <c r="T31" s="1568" t="s">
        <v>8</v>
      </c>
      <c r="U31" s="1569">
        <f t="shared" si="13"/>
        <v>114</v>
      </c>
      <c r="V31" s="1568" t="s">
        <v>8</v>
      </c>
      <c r="W31" s="1569">
        <f t="shared" si="14"/>
        <v>114</v>
      </c>
      <c r="X31" s="1570"/>
      <c r="Y31" s="3433"/>
      <c r="Z31" s="1150" t="str">
        <f t="shared" si="15"/>
        <v>停车位面积</v>
      </c>
      <c r="AA31" s="1571">
        <f t="shared" si="3"/>
        <v>0.86206896551724133</v>
      </c>
      <c r="AB31" s="1571">
        <f t="shared" si="4"/>
        <v>0.8771929824561403</v>
      </c>
      <c r="AC31" s="1571">
        <f t="shared" si="5"/>
        <v>0.8771929824561403</v>
      </c>
    </row>
    <row r="32" spans="1:29" ht="15">
      <c r="A32" s="931"/>
      <c r="B32" s="582" t="s">
        <v>812</v>
      </c>
      <c r="C32" s="574" t="s">
        <v>3063</v>
      </c>
      <c r="D32" s="540">
        <v>100</v>
      </c>
      <c r="E32" s="574" t="s">
        <v>3063</v>
      </c>
      <c r="F32" s="575">
        <f>SUMIF(93:93,E32,94:94)-SUMIF(93:93,C32,94:94)+100</f>
        <v>100</v>
      </c>
      <c r="G32" s="574" t="s">
        <v>3063</v>
      </c>
      <c r="H32" s="540">
        <f>SUMIF(93:93,G32,94:94)-SUMIF(93:93,C32,94:94)+100</f>
        <v>100</v>
      </c>
      <c r="I32" s="574" t="s">
        <v>3063</v>
      </c>
      <c r="J32" s="540">
        <f>SUMIF(93:93,I32,94:94)-SUMIF(93:93,C32,94:94)+100</f>
        <v>100</v>
      </c>
      <c r="K32" s="584"/>
      <c r="L32" s="2143"/>
      <c r="M32" s="2135"/>
      <c r="N32" s="2135"/>
      <c r="O32" s="2142"/>
      <c r="P32" s="3433" t="s">
        <v>550</v>
      </c>
      <c r="Q32" s="1572" t="str">
        <f t="shared" si="11"/>
        <v>车位类型</v>
      </c>
      <c r="R32" s="1573" t="s">
        <v>8</v>
      </c>
      <c r="S32" s="1574">
        <f t="shared" si="12"/>
        <v>100</v>
      </c>
      <c r="T32" s="1573" t="s">
        <v>8</v>
      </c>
      <c r="U32" s="1574">
        <f t="shared" si="13"/>
        <v>100</v>
      </c>
      <c r="V32" s="1573" t="s">
        <v>8</v>
      </c>
      <c r="W32" s="1574">
        <f t="shared" si="14"/>
        <v>100</v>
      </c>
      <c r="X32" s="1567"/>
      <c r="Y32" s="3433" t="s">
        <v>550</v>
      </c>
      <c r="Z32" s="1575" t="str">
        <f t="shared" si="15"/>
        <v>车位类型</v>
      </c>
      <c r="AA32" s="1576">
        <f t="shared" si="3"/>
        <v>1</v>
      </c>
      <c r="AB32" s="1576">
        <f t="shared" si="4"/>
        <v>1</v>
      </c>
      <c r="AC32" s="1576">
        <f t="shared" si="5"/>
        <v>1</v>
      </c>
    </row>
    <row r="33" spans="1:29" ht="15.75" thickBot="1">
      <c r="A33" s="931"/>
      <c r="B33" s="582" t="s">
        <v>813</v>
      </c>
      <c r="C33" s="574" t="s">
        <v>1679</v>
      </c>
      <c r="D33" s="540">
        <v>100</v>
      </c>
      <c r="E33" s="574" t="s">
        <v>1679</v>
      </c>
      <c r="F33" s="575">
        <f>SUMIF(95:95,E33,96:96)-SUMIF(95:95,C33,96:96)+100</f>
        <v>100</v>
      </c>
      <c r="G33" s="574" t="s">
        <v>1679</v>
      </c>
      <c r="H33" s="540">
        <f>SUMIF(95:95,G33,96:96)-SUMIF(95:95,C33,96:96)+100</f>
        <v>100</v>
      </c>
      <c r="I33" s="574" t="s">
        <v>1679</v>
      </c>
      <c r="J33" s="540">
        <f>SUMIF(95:95,I33,96:96)-SUMIF(95:95,C33,96:96)+100</f>
        <v>100</v>
      </c>
      <c r="K33" s="584"/>
      <c r="L33" s="2143"/>
      <c r="M33" s="2135"/>
      <c r="N33" s="2135"/>
      <c r="O33" s="2142"/>
      <c r="P33" s="3433"/>
      <c r="Q33" s="1572" t="str">
        <f t="shared" si="11"/>
        <v>是否直接入户</v>
      </c>
      <c r="R33" s="1573" t="s">
        <v>8</v>
      </c>
      <c r="S33" s="1574">
        <f t="shared" si="12"/>
        <v>100</v>
      </c>
      <c r="T33" s="1573" t="s">
        <v>8</v>
      </c>
      <c r="U33" s="1574">
        <f t="shared" si="13"/>
        <v>100</v>
      </c>
      <c r="V33" s="1573" t="s">
        <v>8</v>
      </c>
      <c r="W33" s="1574">
        <f t="shared" si="14"/>
        <v>100</v>
      </c>
      <c r="X33" s="1567"/>
      <c r="Y33" s="3433"/>
      <c r="Z33" s="1575" t="str">
        <f t="shared" si="15"/>
        <v>是否直接入户</v>
      </c>
      <c r="AA33" s="1576">
        <f t="shared" si="3"/>
        <v>1</v>
      </c>
      <c r="AB33" s="1576">
        <f t="shared" si="4"/>
        <v>1</v>
      </c>
      <c r="AC33" s="1576">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3"/>
      <c r="Q34" s="1572">
        <f t="shared" si="11"/>
        <v>111</v>
      </c>
      <c r="R34" s="1573" t="s">
        <v>8</v>
      </c>
      <c r="S34" s="1574">
        <f t="shared" si="12"/>
        <v>100</v>
      </c>
      <c r="T34" s="1573" t="s">
        <v>8</v>
      </c>
      <c r="U34" s="1574">
        <f t="shared" si="13"/>
        <v>100</v>
      </c>
      <c r="V34" s="1573" t="s">
        <v>8</v>
      </c>
      <c r="W34" s="1574">
        <f t="shared" si="14"/>
        <v>100</v>
      </c>
      <c r="X34" s="1567"/>
      <c r="Y34" s="3433"/>
      <c r="Z34" s="1575">
        <f t="shared" si="15"/>
        <v>111</v>
      </c>
      <c r="AA34" s="1576">
        <f t="shared" si="3"/>
        <v>1</v>
      </c>
      <c r="AB34" s="1576">
        <f t="shared" si="4"/>
        <v>1</v>
      </c>
      <c r="AC34" s="1576">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3"/>
      <c r="Q35" s="1605">
        <f t="shared" si="11"/>
        <v>111</v>
      </c>
      <c r="R35" s="1577" t="s">
        <v>8</v>
      </c>
      <c r="S35" s="1578">
        <f t="shared" si="12"/>
        <v>100</v>
      </c>
      <c r="T35" s="1577" t="s">
        <v>8</v>
      </c>
      <c r="U35" s="1578">
        <f t="shared" si="13"/>
        <v>100</v>
      </c>
      <c r="V35" s="1577" t="s">
        <v>8</v>
      </c>
      <c r="W35" s="1578">
        <f t="shared" si="14"/>
        <v>100</v>
      </c>
      <c r="X35" s="1579"/>
      <c r="Y35" s="3433"/>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3"/>
      <c r="Q36" s="1572">
        <f t="shared" si="11"/>
        <v>111</v>
      </c>
      <c r="R36" s="1573" t="s">
        <v>8</v>
      </c>
      <c r="S36" s="1574">
        <f t="shared" si="12"/>
        <v>100</v>
      </c>
      <c r="T36" s="1573" t="s">
        <v>8</v>
      </c>
      <c r="U36" s="1574">
        <f t="shared" si="13"/>
        <v>100</v>
      </c>
      <c r="V36" s="1573" t="s">
        <v>8</v>
      </c>
      <c r="W36" s="1574">
        <f t="shared" si="14"/>
        <v>100</v>
      </c>
      <c r="X36" s="1567"/>
      <c r="Y36" s="3433"/>
      <c r="Z36" s="1575">
        <f t="shared" si="15"/>
        <v>111</v>
      </c>
      <c r="AA36" s="1576">
        <f t="shared" si="3"/>
        <v>1</v>
      </c>
      <c r="AB36" s="1576">
        <f t="shared" si="4"/>
        <v>1</v>
      </c>
      <c r="AC36" s="1576">
        <f t="shared" si="5"/>
        <v>1</v>
      </c>
    </row>
    <row r="37" spans="1:29" ht="15">
      <c r="A37" s="1847" t="s">
        <v>2080</v>
      </c>
      <c r="B37" s="1848" t="s">
        <v>2081</v>
      </c>
      <c r="C37" s="2628" t="s">
        <v>1</v>
      </c>
      <c r="D37" s="2629"/>
      <c r="E37" s="2630">
        <v>8991</v>
      </c>
      <c r="F37" s="2631"/>
      <c r="G37" s="2632">
        <v>7597</v>
      </c>
      <c r="H37" s="2633"/>
      <c r="I37" s="2630">
        <v>8852</v>
      </c>
      <c r="J37" s="2633"/>
      <c r="K37" s="1611"/>
      <c r="L37" s="2145"/>
      <c r="M37" s="2146"/>
      <c r="N37" s="2135"/>
      <c r="O37" s="2146"/>
      <c r="P37" s="3428" t="str">
        <f>A37</f>
        <v>成交单价</v>
      </c>
      <c r="Q37" s="3428"/>
      <c r="R37" s="3514">
        <f>E37</f>
        <v>8991</v>
      </c>
      <c r="S37" s="3514"/>
      <c r="T37" s="3514">
        <f>G37</f>
        <v>7597</v>
      </c>
      <c r="U37" s="3514"/>
      <c r="V37" s="3514">
        <f>I37</f>
        <v>8852</v>
      </c>
      <c r="W37" s="3514"/>
      <c r="X37" s="1559"/>
      <c r="Y37" s="1581"/>
      <c r="Z37" s="1559"/>
      <c r="AA37" s="1559"/>
      <c r="AB37" s="1559"/>
      <c r="AC37" s="1559"/>
    </row>
    <row r="38" spans="1:29" ht="15.75" thickBot="1">
      <c r="A38" s="615" t="s">
        <v>2763</v>
      </c>
      <c r="B38" s="888"/>
      <c r="C38" s="2634">
        <f>R39</f>
        <v>7783.6</v>
      </c>
      <c r="D38" s="2635"/>
      <c r="E38" s="2636">
        <f>R38</f>
        <v>8117.8</v>
      </c>
      <c r="F38" s="2636"/>
      <c r="G38" s="2634">
        <f>T38</f>
        <v>7259.3</v>
      </c>
      <c r="H38" s="2635"/>
      <c r="I38" s="2636">
        <f>V38</f>
        <v>7973.7</v>
      </c>
      <c r="J38" s="2635"/>
      <c r="K38" s="1612"/>
      <c r="L38" s="2145"/>
      <c r="M38" s="2146"/>
      <c r="N38" s="2146"/>
      <c r="O38" s="2146"/>
      <c r="P38" s="3428" t="str">
        <f>A38</f>
        <v>比较价格（元/平方米）</v>
      </c>
      <c r="Q38" s="3428"/>
      <c r="R38" s="3514">
        <f>IF(F1="售价",ROUND(PRODUCT(R37,AA7:AA36),0),ROUND(PRODUCT(R37,AA7:AA36),1))</f>
        <v>8117.8</v>
      </c>
      <c r="S38" s="3514"/>
      <c r="T38" s="3514">
        <f>IF(F1="售价",ROUND(PRODUCT(T37,AB7:AB36),0),ROUND(PRODUCT(T37,AB7:AB36),1))</f>
        <v>7259.3</v>
      </c>
      <c r="U38" s="3514"/>
      <c r="V38" s="3514">
        <f>IF(F1="售价",ROUND(PRODUCT(V37,AC7:AC36),0),ROUND(PRODUCT(V37,AC7:AC36),1))</f>
        <v>7973.7</v>
      </c>
      <c r="W38" s="3514"/>
      <c r="X38" s="1559"/>
      <c r="Y38" s="1559"/>
      <c r="Z38" s="1559"/>
      <c r="AA38" s="1559"/>
      <c r="AB38" s="1559"/>
      <c r="AC38" s="1559"/>
    </row>
    <row r="39" spans="1:29" ht="15.75" thickBot="1">
      <c r="A39" s="621" t="s">
        <v>2939</v>
      </c>
      <c r="B39" s="622"/>
      <c r="C39" s="2637">
        <f>R39</f>
        <v>7783.6</v>
      </c>
      <c r="D39" s="2637"/>
      <c r="E39" s="2637"/>
      <c r="F39" s="2637"/>
      <c r="G39" s="2637"/>
      <c r="H39" s="2637"/>
      <c r="I39" s="2637"/>
      <c r="J39" s="2637"/>
      <c r="K39" s="1613"/>
      <c r="L39" s="2145"/>
      <c r="M39" s="2146"/>
      <c r="N39" s="2146"/>
      <c r="O39" s="2146"/>
      <c r="P39" s="3449" t="str">
        <f>A39</f>
        <v>估价对象XX用房的比较价格（楼面单价，元/平方米）</v>
      </c>
      <c r="Q39" s="3450"/>
      <c r="R39" s="3513">
        <f>IF(F1="售价",ROUND(AVERAGE(R38:V38),0),ROUND(AVERAGE(R38:V38),1))</f>
        <v>7783.6</v>
      </c>
      <c r="S39" s="3513"/>
      <c r="T39" s="3513"/>
      <c r="U39" s="3513"/>
      <c r="V39" s="3513"/>
      <c r="W39" s="3513"/>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f>IF(E37&lt;E38,E38/E37-1,E37/E38-1)</f>
        <v>0.1075660893345487</v>
      </c>
      <c r="F42" s="627" t="str">
        <f>IF(OR(E42&gt;=0.3,E42&lt;=-0.3),"超过30%","")</f>
        <v/>
      </c>
      <c r="G42" s="626">
        <f>IF(G37&lt;G38,G38/G37-1,G37/G38-1)</f>
        <v>4.6519636879588822E-2</v>
      </c>
      <c r="H42" s="627" t="str">
        <f>IF(OR(G42&gt;=0.3,G42&lt;=-0.3),"超过30%","")</f>
        <v/>
      </c>
      <c r="I42" s="626">
        <f>IF(I37&lt;I38,I38/I37-1,I37/I38-1)</f>
        <v>0.11014961686544522</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f>IF(E38&lt;G38,G38/E38-1,E38/G38-1)</f>
        <v>0.11826209138622179</v>
      </c>
      <c r="F43" s="627" t="str">
        <f>IF(OR(E43&gt;=0.2,E43&lt;=-0.2),"超过20%","")</f>
        <v/>
      </c>
      <c r="G43" s="626">
        <f>IF(G38&lt;I38,I38/G38-1,G38/I38-1)</f>
        <v>9.8411692587439425E-2</v>
      </c>
      <c r="H43" s="627" t="str">
        <f>IF(OR(G43&gt;=0.2,G43&lt;=-0.2),"超过20%","")</f>
        <v/>
      </c>
      <c r="I43" s="626">
        <f>IF(I38&lt;E38,E38/I38-1,I38/E38-1)</f>
        <v>1.8071911408756414E-2</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f>IF(E37&lt;G37,G37/E37-1,E37/G37-1)</f>
        <v>0.18349348427010659</v>
      </c>
      <c r="F44" s="627" t="str">
        <f>IF(OR(E44&gt;=0.3,E44&lt;=-0.3),"超过30%","")</f>
        <v/>
      </c>
      <c r="G44" s="626">
        <f>IF(G37&lt;I37,I37/G37-1,G37/I37-1)</f>
        <v>0.16519678820587069</v>
      </c>
      <c r="H44" s="627" t="str">
        <f>IF(OR(G44&gt;=0.3,G44&lt;=-0.3),"超过30%","")</f>
        <v/>
      </c>
      <c r="I44" s="626">
        <f>IF(I37&lt;E37,E37/I37-1,I37/E37-1)</f>
        <v>1.5702666064166371E-2</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2018-6</v>
      </c>
      <c r="D48" s="2805">
        <f>EDATE(C48,-1)</f>
        <v>43221</v>
      </c>
      <c r="E48" s="2805">
        <f t="shared" ref="E48:O48" si="16">EDATE(D48,-1)</f>
        <v>43191</v>
      </c>
      <c r="F48" s="2805">
        <f t="shared" si="16"/>
        <v>43160</v>
      </c>
      <c r="G48" s="2805">
        <f t="shared" si="16"/>
        <v>43132</v>
      </c>
      <c r="H48" s="2805">
        <f t="shared" si="16"/>
        <v>43101</v>
      </c>
      <c r="I48" s="2805">
        <f t="shared" si="16"/>
        <v>43070</v>
      </c>
      <c r="J48" s="2805">
        <f t="shared" si="16"/>
        <v>43040</v>
      </c>
      <c r="K48" s="2805">
        <f t="shared" si="16"/>
        <v>43009</v>
      </c>
      <c r="L48" s="2805">
        <f t="shared" si="16"/>
        <v>42979</v>
      </c>
      <c r="M48" s="2805">
        <f t="shared" si="16"/>
        <v>42948</v>
      </c>
      <c r="N48" s="2805">
        <f t="shared" si="16"/>
        <v>42917</v>
      </c>
      <c r="O48" s="2805">
        <f t="shared" si="16"/>
        <v>42887</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v>100</v>
      </c>
      <c r="E49" s="650">
        <v>100</v>
      </c>
      <c r="F49" s="650">
        <v>100</v>
      </c>
      <c r="G49" s="650">
        <v>100</v>
      </c>
      <c r="H49" s="650">
        <v>100</v>
      </c>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汽车坡道</v>
      </c>
      <c r="D53" s="3201" t="s">
        <v>3070</v>
      </c>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v>98</v>
      </c>
      <c r="D54" s="671">
        <v>100</v>
      </c>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98</v>
      </c>
      <c r="E64" s="679">
        <f>D64-$K14</f>
        <v>96</v>
      </c>
      <c r="F64" s="679">
        <f>E64-$K14</f>
        <v>94</v>
      </c>
      <c r="G64" s="679">
        <f>F64-$K14</f>
        <v>92</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98</v>
      </c>
      <c r="E66" s="679">
        <f>D66-$K16</f>
        <v>96</v>
      </c>
      <c r="F66" s="679">
        <f>E66-$K16</f>
        <v>94</v>
      </c>
      <c r="G66" s="679">
        <f>F66-$K16</f>
        <v>92</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98</v>
      </c>
      <c r="E70" s="679">
        <f>D70-$K20</f>
        <v>96</v>
      </c>
      <c r="F70" s="679">
        <f>E70-$K20</f>
        <v>94</v>
      </c>
      <c r="G70" s="679">
        <f>F70-$K20</f>
        <v>92</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t="s">
        <v>3056</v>
      </c>
      <c r="D71" s="688" t="s">
        <v>3057</v>
      </c>
      <c r="E71" s="688" t="s">
        <v>3058</v>
      </c>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90</v>
      </c>
      <c r="E72" s="679">
        <f>D72-$K22</f>
        <v>80</v>
      </c>
      <c r="F72" s="679">
        <f>E72-$K22</f>
        <v>70</v>
      </c>
      <c r="G72" s="679">
        <f>F72-$K22</f>
        <v>60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车库</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3200" t="s">
        <v>3062</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30(含)-50</v>
      </c>
      <c r="D90" s="708" t="str">
        <f t="shared" ref="D90:L90" si="21">D91&amp;"(含)"&amp;"-"&amp;E91</f>
        <v>50(含)-70</v>
      </c>
      <c r="E90" s="708" t="str">
        <f t="shared" si="21"/>
        <v>70(含)-90</v>
      </c>
      <c r="F90" s="708" t="str">
        <f t="shared" si="21"/>
        <v>90(含)-110</v>
      </c>
      <c r="G90" s="708" t="str">
        <f t="shared" si="21"/>
        <v>110(含)-130</v>
      </c>
      <c r="H90" s="708" t="str">
        <f t="shared" si="21"/>
        <v>130(含)-150</v>
      </c>
      <c r="I90" s="708" t="str">
        <f t="shared" si="21"/>
        <v>150(含)-170</v>
      </c>
      <c r="J90" s="708" t="str">
        <f t="shared" si="21"/>
        <v>170(含)-190</v>
      </c>
      <c r="K90" s="708" t="str">
        <f t="shared" si="21"/>
        <v>190(含)-210</v>
      </c>
      <c r="L90" s="708" t="str">
        <f t="shared" si="21"/>
        <v>210(含)-230</v>
      </c>
      <c r="M90" s="711" t="str">
        <f>M91&amp;"(含)"&amp;"-"&amp;P91</f>
        <v>230(含)-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v>30</v>
      </c>
      <c r="D91" s="730">
        <v>50</v>
      </c>
      <c r="E91" s="730">
        <v>70</v>
      </c>
      <c r="F91" s="730">
        <v>90</v>
      </c>
      <c r="G91" s="730">
        <v>110</v>
      </c>
      <c r="H91" s="730">
        <v>130</v>
      </c>
      <c r="I91" s="730">
        <v>150</v>
      </c>
      <c r="J91" s="731">
        <v>170</v>
      </c>
      <c r="K91" s="731">
        <v>190</v>
      </c>
      <c r="L91" s="732">
        <v>210</v>
      </c>
      <c r="M91" s="733">
        <v>230</v>
      </c>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v>98</v>
      </c>
      <c r="D92" s="671">
        <v>100</v>
      </c>
      <c r="E92" s="671">
        <v>98</v>
      </c>
      <c r="F92" s="671">
        <v>96</v>
      </c>
      <c r="G92" s="671">
        <v>94</v>
      </c>
      <c r="H92" s="671">
        <v>92</v>
      </c>
      <c r="I92" s="671">
        <v>90</v>
      </c>
      <c r="J92" s="671">
        <v>88</v>
      </c>
      <c r="K92" s="671">
        <v>86</v>
      </c>
      <c r="L92" s="671">
        <v>84</v>
      </c>
      <c r="M92" s="672">
        <v>82</v>
      </c>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3200" t="s">
        <v>3064</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3201" t="s">
        <v>3065</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0"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34" t="s">
        <v>798</v>
      </c>
      <c r="D4" s="3435"/>
      <c r="E4" s="3458" t="s">
        <v>799</v>
      </c>
      <c r="F4" s="3459"/>
      <c r="G4" s="3434" t="s">
        <v>800</v>
      </c>
      <c r="H4" s="3435"/>
      <c r="I4" s="3434" t="s">
        <v>801</v>
      </c>
      <c r="J4" s="3435"/>
      <c r="K4" s="514" t="s">
        <v>802</v>
      </c>
      <c r="L4" s="2134"/>
      <c r="M4" s="2135"/>
      <c r="N4" s="2135"/>
      <c r="O4" s="2135"/>
      <c r="P4" s="3436" t="s">
        <v>803</v>
      </c>
      <c r="Q4" s="3437"/>
      <c r="R4" s="3422" t="s">
        <v>799</v>
      </c>
      <c r="S4" s="3423"/>
      <c r="T4" s="3422" t="s">
        <v>800</v>
      </c>
      <c r="U4" s="3423"/>
      <c r="V4" s="3442" t="s">
        <v>801</v>
      </c>
      <c r="W4" s="3442"/>
      <c r="X4" s="1567"/>
      <c r="Y4" s="3422" t="s">
        <v>803</v>
      </c>
      <c r="Z4" s="3423"/>
      <c r="AA4" s="3417" t="s">
        <v>799</v>
      </c>
      <c r="AB4" s="3418" t="s">
        <v>800</v>
      </c>
      <c r="AC4" s="3417" t="s">
        <v>801</v>
      </c>
    </row>
    <row r="5" spans="1:29" ht="15">
      <c r="A5" s="515"/>
      <c r="B5" s="516"/>
      <c r="C5" s="3445" t="s">
        <v>2933</v>
      </c>
      <c r="D5" s="3446"/>
      <c r="E5" s="3460" t="s">
        <v>2934</v>
      </c>
      <c r="F5" s="3461"/>
      <c r="G5" s="3445" t="s">
        <v>2935</v>
      </c>
      <c r="H5" s="3446"/>
      <c r="I5" s="3445" t="s">
        <v>2936</v>
      </c>
      <c r="J5" s="3446"/>
      <c r="K5" s="514"/>
      <c r="L5" s="2134"/>
      <c r="M5" s="2135"/>
      <c r="N5" s="2135"/>
      <c r="O5" s="2135"/>
      <c r="P5" s="3438"/>
      <c r="Q5" s="3439"/>
      <c r="R5" s="3424"/>
      <c r="S5" s="3425"/>
      <c r="T5" s="3424"/>
      <c r="U5" s="3425"/>
      <c r="V5" s="3442"/>
      <c r="W5" s="3442"/>
      <c r="X5" s="1567"/>
      <c r="Y5" s="3424"/>
      <c r="Z5" s="3425"/>
      <c r="AA5" s="3418"/>
      <c r="AB5" s="3418"/>
      <c r="AC5" s="3418"/>
    </row>
    <row r="6" spans="1:29" ht="15.75" thickBot="1">
      <c r="A6" s="517"/>
      <c r="B6" s="518"/>
      <c r="C6" s="3443" t="s">
        <v>2937</v>
      </c>
      <c r="D6" s="3444"/>
      <c r="E6" s="3462" t="s">
        <v>2937</v>
      </c>
      <c r="F6" s="3463"/>
      <c r="G6" s="3443" t="s">
        <v>2937</v>
      </c>
      <c r="H6" s="3444"/>
      <c r="I6" s="3443" t="s">
        <v>2937</v>
      </c>
      <c r="J6" s="3444"/>
      <c r="K6" s="514" t="s">
        <v>528</v>
      </c>
      <c r="L6" s="2134"/>
      <c r="M6" s="2135"/>
      <c r="N6" s="2135"/>
      <c r="O6" s="2135"/>
      <c r="P6" s="3440"/>
      <c r="Q6" s="3441"/>
      <c r="R6" s="3424"/>
      <c r="S6" s="3425"/>
      <c r="T6" s="3426"/>
      <c r="U6" s="3427"/>
      <c r="V6" s="3442"/>
      <c r="W6" s="3442"/>
      <c r="X6" s="1567"/>
      <c r="Y6" s="3426"/>
      <c r="Z6" s="3427"/>
      <c r="AA6" s="3419"/>
      <c r="AB6" s="3419"/>
      <c r="AC6" s="3419"/>
    </row>
    <row r="7" spans="1:29" s="1220" customFormat="1" ht="15.75" thickBot="1">
      <c r="A7" s="2913"/>
      <c r="B7" s="2920" t="s">
        <v>529</v>
      </c>
      <c r="C7" s="519">
        <f>'数据-取费表'!B2</f>
        <v>43273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0" t="s">
        <v>530</v>
      </c>
      <c r="Q7" s="3429"/>
      <c r="R7" s="1568" t="s">
        <v>8</v>
      </c>
      <c r="S7" s="1569">
        <f t="shared" ref="S7:S14" si="0">F7</f>
        <v>0</v>
      </c>
      <c r="T7" s="1568" t="s">
        <v>8</v>
      </c>
      <c r="U7" s="1569">
        <f t="shared" ref="U7:U14" si="1">H7</f>
        <v>0</v>
      </c>
      <c r="V7" s="1568" t="s">
        <v>8</v>
      </c>
      <c r="W7" s="1569">
        <f t="shared" ref="W7:W14" si="2">J7</f>
        <v>0</v>
      </c>
      <c r="X7" s="1570"/>
      <c r="Y7" s="3420" t="s">
        <v>530</v>
      </c>
      <c r="Z7" s="3421"/>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0" t="s">
        <v>533</v>
      </c>
      <c r="Q8" s="3421"/>
      <c r="R8" s="1568" t="s">
        <v>8</v>
      </c>
      <c r="S8" s="1569">
        <f t="shared" si="0"/>
        <v>0</v>
      </c>
      <c r="T8" s="1568" t="s">
        <v>8</v>
      </c>
      <c r="U8" s="1569">
        <f t="shared" si="1"/>
        <v>0</v>
      </c>
      <c r="V8" s="1568" t="s">
        <v>8</v>
      </c>
      <c r="W8" s="1569">
        <f t="shared" si="2"/>
        <v>0</v>
      </c>
      <c r="X8" s="1570"/>
      <c r="Y8" s="3420" t="s">
        <v>533</v>
      </c>
      <c r="Z8" s="3421"/>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28" t="s">
        <v>535</v>
      </c>
      <c r="Q9" s="1151" t="str">
        <f t="shared" ref="Q9:Q14" si="6">B9</f>
        <v>用途</v>
      </c>
      <c r="R9" s="1568" t="s">
        <v>8</v>
      </c>
      <c r="S9" s="1569">
        <f t="shared" si="0"/>
        <v>100</v>
      </c>
      <c r="T9" s="1568" t="s">
        <v>8</v>
      </c>
      <c r="U9" s="1569">
        <f t="shared" si="1"/>
        <v>100</v>
      </c>
      <c r="V9" s="1568" t="s">
        <v>8</v>
      </c>
      <c r="W9" s="1569">
        <f t="shared" si="2"/>
        <v>100</v>
      </c>
      <c r="X9" s="1570"/>
      <c r="Y9" s="3367"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28"/>
      <c r="Q10" s="1151" t="str">
        <f t="shared" si="6"/>
        <v>土地使用年限（年）</v>
      </c>
      <c r="R10" s="1568" t="s">
        <v>8</v>
      </c>
      <c r="S10" s="1569">
        <f t="shared" si="0"/>
        <v>100</v>
      </c>
      <c r="T10" s="1568" t="s">
        <v>8</v>
      </c>
      <c r="U10" s="1569">
        <f t="shared" si="1"/>
        <v>100</v>
      </c>
      <c r="V10" s="1568" t="s">
        <v>8</v>
      </c>
      <c r="W10" s="1569">
        <f t="shared" si="2"/>
        <v>100</v>
      </c>
      <c r="X10" s="1570"/>
      <c r="Y10" s="3367"/>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28"/>
      <c r="Q11" s="1151">
        <f t="shared" si="6"/>
        <v>111</v>
      </c>
      <c r="R11" s="1568" t="s">
        <v>8</v>
      </c>
      <c r="S11" s="1569">
        <f t="shared" si="0"/>
        <v>100</v>
      </c>
      <c r="T11" s="1568" t="s">
        <v>8</v>
      </c>
      <c r="U11" s="1569">
        <f t="shared" si="1"/>
        <v>100</v>
      </c>
      <c r="V11" s="1568" t="s">
        <v>8</v>
      </c>
      <c r="W11" s="1569">
        <f t="shared" si="2"/>
        <v>100</v>
      </c>
      <c r="X11" s="1570"/>
      <c r="Y11" s="3367"/>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28"/>
      <c r="Q12" s="1151">
        <f t="shared" si="6"/>
        <v>111</v>
      </c>
      <c r="R12" s="1568" t="s">
        <v>8</v>
      </c>
      <c r="S12" s="1569">
        <f t="shared" si="0"/>
        <v>100</v>
      </c>
      <c r="T12" s="1568" t="s">
        <v>8</v>
      </c>
      <c r="U12" s="1569">
        <f t="shared" si="1"/>
        <v>100</v>
      </c>
      <c r="V12" s="1568" t="s">
        <v>8</v>
      </c>
      <c r="W12" s="1569">
        <f t="shared" si="2"/>
        <v>100</v>
      </c>
      <c r="X12" s="1570"/>
      <c r="Y12" s="3367"/>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28"/>
      <c r="Q13" s="1151">
        <f t="shared" si="6"/>
        <v>111</v>
      </c>
      <c r="R13" s="1568" t="s">
        <v>8</v>
      </c>
      <c r="S13" s="1569">
        <f t="shared" si="0"/>
        <v>100</v>
      </c>
      <c r="T13" s="1568" t="s">
        <v>8</v>
      </c>
      <c r="U13" s="1569">
        <f t="shared" si="1"/>
        <v>100</v>
      </c>
      <c r="V13" s="1568" t="s">
        <v>8</v>
      </c>
      <c r="W13" s="1569">
        <f t="shared" si="2"/>
        <v>100</v>
      </c>
      <c r="X13" s="1570"/>
      <c r="Y13" s="3367"/>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30" t="s">
        <v>540</v>
      </c>
      <c r="Q14" s="1572" t="str">
        <f t="shared" si="6"/>
        <v>交通便捷度</v>
      </c>
      <c r="R14" s="1573" t="s">
        <v>8</v>
      </c>
      <c r="S14" s="1574">
        <f t="shared" si="0"/>
        <v>100</v>
      </c>
      <c r="T14" s="1573" t="s">
        <v>8</v>
      </c>
      <c r="U14" s="1574">
        <f t="shared" si="1"/>
        <v>100</v>
      </c>
      <c r="V14" s="1573" t="s">
        <v>8</v>
      </c>
      <c r="W14" s="1574">
        <f t="shared" si="2"/>
        <v>100</v>
      </c>
      <c r="X14" s="1567"/>
      <c r="Y14" s="3430"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31"/>
      <c r="Q15" s="1572"/>
      <c r="R15" s="1573"/>
      <c r="S15" s="1574"/>
      <c r="T15" s="1573"/>
      <c r="U15" s="1574"/>
      <c r="V15" s="1573"/>
      <c r="W15" s="1574"/>
      <c r="X15" s="1567"/>
      <c r="Y15" s="3431"/>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1"/>
      <c r="Q16" s="1572" t="str">
        <f>B16</f>
        <v>公共配套设施</v>
      </c>
      <c r="R16" s="1573" t="s">
        <v>8</v>
      </c>
      <c r="S16" s="1574">
        <f>F16</f>
        <v>100</v>
      </c>
      <c r="T16" s="1573" t="s">
        <v>8</v>
      </c>
      <c r="U16" s="1574">
        <f>H16</f>
        <v>100</v>
      </c>
      <c r="V16" s="1573" t="s">
        <v>8</v>
      </c>
      <c r="W16" s="1574">
        <f>J16</f>
        <v>100</v>
      </c>
      <c r="X16" s="1567"/>
      <c r="Y16" s="343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31"/>
      <c r="Q17" s="1572"/>
      <c r="R17" s="1573"/>
      <c r="S17" s="1574"/>
      <c r="T17" s="1573"/>
      <c r="U17" s="1574"/>
      <c r="V17" s="1573"/>
      <c r="W17" s="1574"/>
      <c r="X17" s="1567"/>
      <c r="Y17" s="3431"/>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1"/>
      <c r="Q18" s="2580" t="str">
        <f>B18</f>
        <v>基础设施水平</v>
      </c>
      <c r="R18" s="1573" t="s">
        <v>8</v>
      </c>
      <c r="S18" s="1574">
        <f>F18</f>
        <v>100</v>
      </c>
      <c r="T18" s="1573" t="s">
        <v>8</v>
      </c>
      <c r="U18" s="1574">
        <f>H18</f>
        <v>100</v>
      </c>
      <c r="V18" s="1573" t="s">
        <v>8</v>
      </c>
      <c r="W18" s="1574">
        <f>J18</f>
        <v>100</v>
      </c>
      <c r="X18" s="2582"/>
      <c r="Y18" s="3431"/>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31"/>
      <c r="Q19" s="2580"/>
      <c r="R19" s="1573"/>
      <c r="S19" s="1574"/>
      <c r="T19" s="1573"/>
      <c r="U19" s="1574"/>
      <c r="V19" s="1573"/>
      <c r="W19" s="1574"/>
      <c r="X19" s="2582"/>
      <c r="Y19" s="3431"/>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1"/>
      <c r="Q20" s="1572" t="str">
        <f>B20</f>
        <v>自然及人文环境</v>
      </c>
      <c r="R20" s="1573" t="s">
        <v>8</v>
      </c>
      <c r="S20" s="1574">
        <f>F20</f>
        <v>100</v>
      </c>
      <c r="T20" s="1573" t="s">
        <v>8</v>
      </c>
      <c r="U20" s="1574">
        <f>H20</f>
        <v>100</v>
      </c>
      <c r="V20" s="1573" t="s">
        <v>8</v>
      </c>
      <c r="W20" s="1574">
        <f>J20</f>
        <v>100</v>
      </c>
      <c r="X20" s="1567"/>
      <c r="Y20" s="343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31"/>
      <c r="Q21" s="1572"/>
      <c r="R21" s="1573"/>
      <c r="S21" s="1574"/>
      <c r="T21" s="1573"/>
      <c r="U21" s="1574"/>
      <c r="V21" s="1573"/>
      <c r="W21" s="1574"/>
      <c r="X21" s="1567"/>
      <c r="Y21" s="3431"/>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1"/>
      <c r="Q22" s="1572" t="str">
        <f>B22</f>
        <v>楼层</v>
      </c>
      <c r="R22" s="1573" t="s">
        <v>8</v>
      </c>
      <c r="S22" s="1574">
        <f>F22</f>
        <v>100</v>
      </c>
      <c r="T22" s="1573" t="s">
        <v>8</v>
      </c>
      <c r="U22" s="1574">
        <f>H22</f>
        <v>100</v>
      </c>
      <c r="V22" s="1573" t="s">
        <v>8</v>
      </c>
      <c r="W22" s="1574">
        <f>J22</f>
        <v>100</v>
      </c>
      <c r="X22" s="1567"/>
      <c r="Y22" s="343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1"/>
      <c r="Q23" s="1572">
        <f>B23</f>
        <v>111</v>
      </c>
      <c r="R23" s="1573" t="s">
        <v>8</v>
      </c>
      <c r="S23" s="1574">
        <f>F23</f>
        <v>100</v>
      </c>
      <c r="T23" s="1573" t="s">
        <v>8</v>
      </c>
      <c r="U23" s="1574">
        <f>H23</f>
        <v>100</v>
      </c>
      <c r="V23" s="1573" t="s">
        <v>8</v>
      </c>
      <c r="W23" s="1574">
        <f>J23</f>
        <v>100</v>
      </c>
      <c r="X23" s="1567"/>
      <c r="Y23" s="343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1"/>
      <c r="Q24" s="1572">
        <f t="shared" ref="Q24:Q34" si="11">B24</f>
        <v>111</v>
      </c>
      <c r="R24" s="1573" t="s">
        <v>8</v>
      </c>
      <c r="S24" s="1574">
        <f>F24</f>
        <v>100</v>
      </c>
      <c r="T24" s="1573" t="s">
        <v>8</v>
      </c>
      <c r="U24" s="1574">
        <f>H24</f>
        <v>100</v>
      </c>
      <c r="V24" s="1573" t="s">
        <v>8</v>
      </c>
      <c r="W24" s="1574">
        <f>J24</f>
        <v>100</v>
      </c>
      <c r="X24" s="1567"/>
      <c r="Y24" s="3431"/>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1"/>
      <c r="Q25" s="1151">
        <f t="shared" si="11"/>
        <v>111</v>
      </c>
      <c r="R25" s="1568" t="s">
        <v>8</v>
      </c>
      <c r="S25" s="1569">
        <f>F25</f>
        <v>100</v>
      </c>
      <c r="T25" s="1568" t="s">
        <v>8</v>
      </c>
      <c r="U25" s="1569">
        <f>H25</f>
        <v>100</v>
      </c>
      <c r="V25" s="1568" t="s">
        <v>8</v>
      </c>
      <c r="W25" s="1569">
        <f>J25</f>
        <v>100</v>
      </c>
      <c r="X25" s="1570"/>
      <c r="Y25" s="3431"/>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3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33"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3"/>
      <c r="Q27" s="1605" t="str">
        <f t="shared" si="11"/>
        <v>成新率</v>
      </c>
      <c r="R27" s="1577" t="s">
        <v>8</v>
      </c>
      <c r="S27" s="1578" t="e">
        <f t="shared" si="12"/>
        <v>#N/A</v>
      </c>
      <c r="T27" s="1577" t="s">
        <v>8</v>
      </c>
      <c r="U27" s="1578" t="e">
        <f t="shared" si="13"/>
        <v>#N/A</v>
      </c>
      <c r="V27" s="1577" t="s">
        <v>8</v>
      </c>
      <c r="W27" s="1578" t="e">
        <f t="shared" si="14"/>
        <v>#N/A</v>
      </c>
      <c r="X27" s="1579"/>
      <c r="Y27" s="3433"/>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3"/>
      <c r="Q28" s="1572" t="str">
        <f t="shared" si="11"/>
        <v>物业等级</v>
      </c>
      <c r="R28" s="1573" t="s">
        <v>8</v>
      </c>
      <c r="S28" s="1574">
        <f t="shared" si="12"/>
        <v>100</v>
      </c>
      <c r="T28" s="1573" t="s">
        <v>8</v>
      </c>
      <c r="U28" s="1574">
        <f t="shared" si="13"/>
        <v>100</v>
      </c>
      <c r="V28" s="1573" t="s">
        <v>8</v>
      </c>
      <c r="W28" s="1574">
        <f t="shared" si="14"/>
        <v>100</v>
      </c>
      <c r="X28" s="1567"/>
      <c r="Y28" s="3433"/>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3"/>
      <c r="Q29" s="1572" t="str">
        <f t="shared" si="11"/>
        <v>有无电梯</v>
      </c>
      <c r="R29" s="1573" t="s">
        <v>8</v>
      </c>
      <c r="S29" s="1574">
        <f t="shared" si="12"/>
        <v>100</v>
      </c>
      <c r="T29" s="1573" t="s">
        <v>8</v>
      </c>
      <c r="U29" s="1574">
        <f t="shared" si="13"/>
        <v>100</v>
      </c>
      <c r="V29" s="1573" t="s">
        <v>8</v>
      </c>
      <c r="W29" s="1574">
        <f t="shared" si="14"/>
        <v>100</v>
      </c>
      <c r="X29" s="1567"/>
      <c r="Y29" s="3433"/>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3"/>
      <c r="Q30" s="1572" t="str">
        <f t="shared" si="11"/>
        <v>建筑面积</v>
      </c>
      <c r="R30" s="1573" t="s">
        <v>8</v>
      </c>
      <c r="S30" s="1574" t="e">
        <f t="shared" si="12"/>
        <v>#N/A</v>
      </c>
      <c r="T30" s="1573" t="s">
        <v>8</v>
      </c>
      <c r="U30" s="1574" t="e">
        <f t="shared" si="13"/>
        <v>#N/A</v>
      </c>
      <c r="V30" s="1573" t="s">
        <v>8</v>
      </c>
      <c r="W30" s="1574" t="e">
        <f t="shared" si="14"/>
        <v>#N/A</v>
      </c>
      <c r="X30" s="1567"/>
      <c r="Y30" s="3433"/>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3"/>
      <c r="Q31" s="1151" t="str">
        <f t="shared" si="11"/>
        <v>是否封闭</v>
      </c>
      <c r="R31" s="1568" t="s">
        <v>8</v>
      </c>
      <c r="S31" s="1569">
        <f t="shared" si="12"/>
        <v>100</v>
      </c>
      <c r="T31" s="1568" t="s">
        <v>8</v>
      </c>
      <c r="U31" s="1569">
        <f t="shared" si="13"/>
        <v>100</v>
      </c>
      <c r="V31" s="1568" t="s">
        <v>8</v>
      </c>
      <c r="W31" s="1569">
        <f t="shared" si="14"/>
        <v>100</v>
      </c>
      <c r="X31" s="1570"/>
      <c r="Y31" s="3433"/>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3" t="s">
        <v>550</v>
      </c>
      <c r="Q32" s="1572">
        <f t="shared" si="11"/>
        <v>111</v>
      </c>
      <c r="R32" s="1573" t="s">
        <v>8</v>
      </c>
      <c r="S32" s="1574">
        <f t="shared" si="12"/>
        <v>100</v>
      </c>
      <c r="T32" s="1573" t="s">
        <v>8</v>
      </c>
      <c r="U32" s="1574">
        <f t="shared" si="13"/>
        <v>100</v>
      </c>
      <c r="V32" s="1573" t="s">
        <v>8</v>
      </c>
      <c r="W32" s="1574">
        <f t="shared" si="14"/>
        <v>100</v>
      </c>
      <c r="X32" s="1567"/>
      <c r="Y32" s="3433"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3"/>
      <c r="Q33" s="1572">
        <f t="shared" si="11"/>
        <v>111</v>
      </c>
      <c r="R33" s="1573" t="s">
        <v>8</v>
      </c>
      <c r="S33" s="1574">
        <f t="shared" si="12"/>
        <v>100</v>
      </c>
      <c r="T33" s="1573" t="s">
        <v>8</v>
      </c>
      <c r="U33" s="1574">
        <f t="shared" si="13"/>
        <v>100</v>
      </c>
      <c r="V33" s="1573" t="s">
        <v>8</v>
      </c>
      <c r="W33" s="1574">
        <f t="shared" si="14"/>
        <v>100</v>
      </c>
      <c r="X33" s="1567"/>
      <c r="Y33" s="3433"/>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3"/>
      <c r="Q34" s="1572">
        <f t="shared" si="11"/>
        <v>111</v>
      </c>
      <c r="R34" s="1573" t="s">
        <v>8</v>
      </c>
      <c r="S34" s="1574">
        <f t="shared" si="12"/>
        <v>100</v>
      </c>
      <c r="T34" s="1573" t="s">
        <v>8</v>
      </c>
      <c r="U34" s="1574">
        <f t="shared" si="13"/>
        <v>100</v>
      </c>
      <c r="V34" s="1573" t="s">
        <v>8</v>
      </c>
      <c r="W34" s="1574">
        <f t="shared" si="14"/>
        <v>100</v>
      </c>
      <c r="X34" s="1567"/>
      <c r="Y34" s="3433"/>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28" t="str">
        <f>A35</f>
        <v>成交单价（元/平方米）</v>
      </c>
      <c r="Q35" s="3428"/>
      <c r="R35" s="3514">
        <f>E35</f>
        <v>0</v>
      </c>
      <c r="S35" s="3514"/>
      <c r="T35" s="3514">
        <f>G35</f>
        <v>0</v>
      </c>
      <c r="U35" s="3514"/>
      <c r="V35" s="3514">
        <f>I35</f>
        <v>0</v>
      </c>
      <c r="W35" s="3514"/>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28" t="str">
        <f>A36</f>
        <v>比较价格（元/平方米）</v>
      </c>
      <c r="Q36" s="3428"/>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449" t="str">
        <f>A37</f>
        <v>估价对象XX用房的比较价格（楼面单价，元/平方米）</v>
      </c>
      <c r="Q37" s="3450"/>
      <c r="R37" s="3513" t="e">
        <f>IF(F1="售价",ROUND(AVERAGE(R36:V36),0),ROUND(AVERAGE(R36:V36),1))</f>
        <v>#DIV/0!</v>
      </c>
      <c r="S37" s="3513"/>
      <c r="T37" s="3513"/>
      <c r="U37" s="3513"/>
      <c r="V37" s="3513"/>
      <c r="W37" s="3513"/>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2018-6</v>
      </c>
      <c r="D46" s="2805">
        <f>EDATE(C46,-1)</f>
        <v>43221</v>
      </c>
      <c r="E46" s="2805">
        <f t="shared" ref="E46:O46" si="16">EDATE(D46,-1)</f>
        <v>43191</v>
      </c>
      <c r="F46" s="2805">
        <f t="shared" si="16"/>
        <v>43160</v>
      </c>
      <c r="G46" s="2805">
        <f t="shared" si="16"/>
        <v>43132</v>
      </c>
      <c r="H46" s="2805">
        <f t="shared" si="16"/>
        <v>43101</v>
      </c>
      <c r="I46" s="2805">
        <f t="shared" si="16"/>
        <v>43070</v>
      </c>
      <c r="J46" s="2805">
        <f t="shared" si="16"/>
        <v>43040</v>
      </c>
      <c r="K46" s="2805">
        <f t="shared" si="16"/>
        <v>43009</v>
      </c>
      <c r="L46" s="2805">
        <f t="shared" si="16"/>
        <v>42979</v>
      </c>
      <c r="M46" s="2805">
        <f t="shared" si="16"/>
        <v>42948</v>
      </c>
      <c r="N46" s="2805">
        <f t="shared" si="16"/>
        <v>42917</v>
      </c>
      <c r="O46" s="2805">
        <f t="shared" si="16"/>
        <v>42887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24" t="s">
        <v>2307</v>
      </c>
      <c r="D1" s="3525"/>
      <c r="E1" s="3525"/>
      <c r="F1" s="3525"/>
      <c r="G1" s="3525"/>
      <c r="H1" s="3525"/>
      <c r="I1" s="3525"/>
      <c r="J1" s="3525"/>
      <c r="K1" s="3525"/>
      <c r="L1" s="3525"/>
      <c r="M1" s="3525"/>
      <c r="N1" s="3525"/>
      <c r="O1" s="3525"/>
      <c r="P1" s="3525"/>
      <c r="Q1" s="3525"/>
      <c r="R1" s="3525"/>
      <c r="S1" s="3526"/>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1" t="s">
        <v>20</v>
      </c>
      <c r="D22" s="3522"/>
      <c r="E22" s="3522"/>
      <c r="F22" s="3522"/>
      <c r="G22" s="3522"/>
      <c r="H22" s="3522"/>
      <c r="I22" s="3522"/>
      <c r="J22" s="3522"/>
      <c r="K22" s="3522"/>
      <c r="L22" s="3522"/>
      <c r="M22" s="3522"/>
      <c r="N22" s="3522"/>
      <c r="O22" s="3522"/>
      <c r="P22" s="3522"/>
      <c r="Q22" s="3523"/>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43273</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L24" sqref="L24"/>
    </sheetView>
  </sheetViews>
  <sheetFormatPr defaultRowHeight="13.5"/>
  <cols>
    <col min="7" max="7" width="28.375" customWidth="1"/>
    <col min="10" max="10" width="12.375" customWidth="1"/>
  </cols>
  <sheetData>
    <row r="1" spans="1:14">
      <c r="A1" s="3188"/>
      <c r="B1" s="3187" t="s">
        <v>2993</v>
      </c>
      <c r="C1" s="3190" t="s">
        <v>2992</v>
      </c>
      <c r="D1" s="3187" t="s">
        <v>2994</v>
      </c>
      <c r="F1" s="3187" t="s">
        <v>3000</v>
      </c>
      <c r="G1" s="3187" t="s">
        <v>3002</v>
      </c>
      <c r="H1" s="3187" t="s">
        <v>3003</v>
      </c>
      <c r="I1" s="3187" t="s">
        <v>3011</v>
      </c>
      <c r="J1" s="3187" t="s">
        <v>3012</v>
      </c>
    </row>
    <row r="2" spans="1:14">
      <c r="A2" s="3187" t="s">
        <v>2995</v>
      </c>
      <c r="B2" s="3188">
        <v>332.2</v>
      </c>
      <c r="C2" s="3191">
        <v>228.93</v>
      </c>
      <c r="D2" s="3188">
        <f>C2-B2</f>
        <v>-103.26999999999998</v>
      </c>
      <c r="F2" s="3187" t="s">
        <v>2995</v>
      </c>
      <c r="G2" s="3187" t="s">
        <v>3029</v>
      </c>
      <c r="H2" s="3188">
        <v>1</v>
      </c>
      <c r="I2" s="3188">
        <v>228.93</v>
      </c>
      <c r="J2" s="3188">
        <v>67.3</v>
      </c>
    </row>
    <row r="3" spans="1:14">
      <c r="A3" s="3187" t="s">
        <v>2997</v>
      </c>
      <c r="B3" s="3188">
        <v>4025.2</v>
      </c>
      <c r="C3" s="3191">
        <v>3618.52</v>
      </c>
      <c r="D3" s="3188">
        <f t="shared" ref="D3:D4" si="0">C3-B3</f>
        <v>-406.67999999999984</v>
      </c>
      <c r="F3" s="3527" t="s">
        <v>3001</v>
      </c>
      <c r="G3" s="3187" t="s">
        <v>3004</v>
      </c>
      <c r="H3" s="3188">
        <v>1</v>
      </c>
      <c r="I3" s="3188">
        <v>57.13</v>
      </c>
      <c r="J3" s="3188"/>
    </row>
    <row r="4" spans="1:14">
      <c r="A4" s="3187" t="s">
        <v>2998</v>
      </c>
      <c r="B4" s="3188">
        <v>3629.7</v>
      </c>
      <c r="C4" s="3191">
        <v>4101.03</v>
      </c>
      <c r="D4" s="3188">
        <f t="shared" si="0"/>
        <v>471.32999999999993</v>
      </c>
      <c r="F4" s="3527"/>
      <c r="G4" s="3187" t="s">
        <v>3005</v>
      </c>
      <c r="H4" s="3188">
        <v>5</v>
      </c>
      <c r="I4" s="3188">
        <v>1171.67</v>
      </c>
      <c r="J4" s="3188"/>
    </row>
    <row r="5" spans="1:14">
      <c r="A5" s="3187" t="s">
        <v>2999</v>
      </c>
      <c r="B5" s="3188">
        <f>SUM(B2:B4)</f>
        <v>7987.0999999999995</v>
      </c>
      <c r="C5" s="3188">
        <f>SUM(C2:C4)</f>
        <v>7948.48</v>
      </c>
      <c r="D5" s="3188">
        <f>SUM(D2:D4)</f>
        <v>-38.619999999999891</v>
      </c>
      <c r="F5" s="3527"/>
      <c r="G5" s="3187" t="s">
        <v>3006</v>
      </c>
      <c r="H5" s="3188">
        <v>3</v>
      </c>
      <c r="I5" s="3188">
        <f>1071.99+10.61+10.61</f>
        <v>1093.2099999999998</v>
      </c>
      <c r="J5" s="3188"/>
    </row>
    <row r="6" spans="1:14">
      <c r="A6" s="3187"/>
      <c r="B6" s="3188"/>
      <c r="C6" s="3188"/>
      <c r="D6" s="3188"/>
      <c r="F6" s="3527"/>
      <c r="G6" s="3187" t="s">
        <v>3007</v>
      </c>
      <c r="H6" s="3188">
        <v>5</v>
      </c>
      <c r="I6" s="3188">
        <f>1278.35+4.54+4.54+4.54+4.54</f>
        <v>1296.5099999999998</v>
      </c>
      <c r="J6" s="3188"/>
    </row>
    <row r="7" spans="1:14">
      <c r="A7" s="3187" t="s">
        <v>3032</v>
      </c>
      <c r="B7" s="3188">
        <v>2245.0100000000002</v>
      </c>
      <c r="C7" s="3191">
        <v>2245.0100000000002</v>
      </c>
      <c r="D7" s="3188"/>
      <c r="F7" s="3527"/>
      <c r="G7" s="3189" t="s">
        <v>3008</v>
      </c>
      <c r="H7" s="3189">
        <f>SUM(H3:H6)</f>
        <v>14</v>
      </c>
      <c r="I7" s="3189">
        <f>SUM(I3:I6)</f>
        <v>3618.52</v>
      </c>
      <c r="J7" s="3189">
        <v>1063.73</v>
      </c>
    </row>
    <row r="8" spans="1:14">
      <c r="A8" s="3187" t="s">
        <v>3033</v>
      </c>
      <c r="B8" s="3188">
        <f>B5/B7</f>
        <v>3.5577124378065124</v>
      </c>
      <c r="C8" s="3188">
        <f>C5/C7</f>
        <v>3.5405098418269847</v>
      </c>
      <c r="D8" s="3188"/>
      <c r="F8" s="3187" t="s">
        <v>2998</v>
      </c>
      <c r="G8" s="3187" t="s">
        <v>3010</v>
      </c>
      <c r="H8" s="3188">
        <v>83</v>
      </c>
      <c r="I8" s="3188">
        <v>4101.03</v>
      </c>
      <c r="J8" s="3188">
        <v>1205.58</v>
      </c>
      <c r="K8" s="3186" t="s">
        <v>3009</v>
      </c>
      <c r="N8">
        <f>I8/H8</f>
        <v>49.41</v>
      </c>
    </row>
    <row r="9" spans="1:14">
      <c r="F9" s="3187" t="s">
        <v>2999</v>
      </c>
      <c r="G9" s="3188"/>
      <c r="H9" s="3188"/>
      <c r="I9" s="3188"/>
      <c r="J9" s="3188"/>
    </row>
  </sheetData>
  <mergeCells count="1">
    <mergeCell ref="F3:F7"/>
  </mergeCells>
  <phoneticPr fontId="233"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abSelected="1" topLeftCell="A10" workbookViewId="0">
      <selection activeCell="F28" sqref="F28"/>
    </sheetView>
  </sheetViews>
  <sheetFormatPr defaultRowHeight="13.5"/>
  <cols>
    <col min="1" max="1" width="23.625" customWidth="1"/>
    <col min="2" max="2" width="12.75" customWidth="1"/>
    <col min="3" max="4" width="12.25" customWidth="1"/>
    <col min="5" max="5" width="11.625" customWidth="1"/>
    <col min="6" max="6" width="11.375" bestFit="1" customWidth="1"/>
  </cols>
  <sheetData>
    <row r="1" spans="1:9" ht="29.25" customHeight="1">
      <c r="A1" s="3188"/>
      <c r="B1" s="3528" t="s">
        <v>3040</v>
      </c>
      <c r="C1" s="3528"/>
      <c r="D1" s="3528" t="s">
        <v>3041</v>
      </c>
      <c r="E1" s="3528"/>
      <c r="F1" s="3529" t="s">
        <v>3045</v>
      </c>
    </row>
    <row r="2" spans="1:9" ht="28.5" customHeight="1">
      <c r="A2" s="3188"/>
      <c r="B2" s="3197" t="s">
        <v>3043</v>
      </c>
      <c r="C2" s="3197" t="s">
        <v>3044</v>
      </c>
      <c r="D2" s="3197" t="s">
        <v>3043</v>
      </c>
      <c r="E2" s="3197" t="s">
        <v>3044</v>
      </c>
      <c r="F2" s="3530"/>
    </row>
    <row r="3" spans="1:9" ht="14.25">
      <c r="A3" s="3221" t="s">
        <v>3042</v>
      </c>
      <c r="B3" s="3220">
        <f ca="1">基准地价!C29</f>
        <v>12588</v>
      </c>
      <c r="C3" s="3220">
        <v>0.4</v>
      </c>
      <c r="D3" s="3220">
        <f ca="1">'剩余法-待开发'!C36</f>
        <v>21763</v>
      </c>
      <c r="E3" s="3220">
        <f>1-C3</f>
        <v>0.6</v>
      </c>
      <c r="F3" s="3220">
        <f ca="1">ROUND(B3*C3+D3*E3,0)</f>
        <v>18093</v>
      </c>
      <c r="G3">
        <f ca="1">D3/B3-1</f>
        <v>0.72886876390212896</v>
      </c>
      <c r="H3">
        <f>-103.27</f>
        <v>-103.27</v>
      </c>
      <c r="I3">
        <f ca="1">F3*H3</f>
        <v>-1868464.1099999999</v>
      </c>
    </row>
    <row r="4" spans="1:9" ht="17.25" customHeight="1">
      <c r="A4" s="3187" t="s">
        <v>3130</v>
      </c>
      <c r="B4" s="3188">
        <f ca="1">基准地价住宅!C38</f>
        <v>3176</v>
      </c>
      <c r="C4" s="3188">
        <v>0.4</v>
      </c>
      <c r="D4" s="3188">
        <f ca="1">剩余法待开发住宅!C36*基准地价住宅!F38</f>
        <v>10407.25</v>
      </c>
      <c r="E4" s="3188">
        <f t="shared" ref="E4:E7" si="0">1-C4</f>
        <v>0.6</v>
      </c>
      <c r="F4" s="3188">
        <f t="shared" ref="F4:F7" ca="1" si="1">ROUND(B4*C4+D4*E4,0)</f>
        <v>7515</v>
      </c>
    </row>
    <row r="5" spans="1:9" ht="25.5" customHeight="1">
      <c r="A5" s="3187" t="s">
        <v>3126</v>
      </c>
      <c r="B5" s="3188">
        <f ca="1">基准地价住宅!C39</f>
        <v>2540</v>
      </c>
      <c r="C5" s="3188">
        <v>0.4</v>
      </c>
      <c r="D5" s="3188">
        <f ca="1">剩余法待开发住宅!C36*基准地价住宅!F39</f>
        <v>8325.8000000000011</v>
      </c>
      <c r="E5" s="3188">
        <f t="shared" si="0"/>
        <v>0.6</v>
      </c>
      <c r="F5" s="3188">
        <f t="shared" ca="1" si="1"/>
        <v>6011</v>
      </c>
      <c r="H5">
        <f>471.33-406.68</f>
        <v>64.649999999999977</v>
      </c>
      <c r="I5" t="e">
        <f>#REF!*H5</f>
        <v>#REF!</v>
      </c>
    </row>
    <row r="6" spans="1:9" ht="25.5" customHeight="1">
      <c r="A6" s="3218" t="s">
        <v>3131</v>
      </c>
      <c r="B6" s="3219">
        <f ca="1">基准地价住宅50!C38</f>
        <v>3217</v>
      </c>
      <c r="C6" s="3220">
        <v>0.4</v>
      </c>
      <c r="D6" s="3219">
        <f ca="1">剩余法待开发住宅50!C36*基准地价住宅50!F38</f>
        <v>10542.25</v>
      </c>
      <c r="E6" s="3220">
        <f t="shared" si="0"/>
        <v>0.6</v>
      </c>
      <c r="F6" s="3220">
        <f t="shared" ca="1" si="1"/>
        <v>7612</v>
      </c>
    </row>
    <row r="7" spans="1:9" ht="41.25" customHeight="1">
      <c r="A7" s="3218" t="s">
        <v>3132</v>
      </c>
      <c r="B7" s="3219">
        <f ca="1">基准地价住宅50!C39</f>
        <v>2573</v>
      </c>
      <c r="C7" s="3220">
        <v>0.4</v>
      </c>
      <c r="D7" s="3219">
        <f ca="1">ROUND(剩余法待开发住宅50!C36*基准地价住宅50!F39,0)</f>
        <v>8434</v>
      </c>
      <c r="E7" s="3220">
        <f t="shared" si="0"/>
        <v>0.6</v>
      </c>
      <c r="F7" s="3220">
        <f t="shared" ca="1" si="1"/>
        <v>6090</v>
      </c>
    </row>
    <row r="8" spans="1:9" ht="36" hidden="1" customHeight="1">
      <c r="A8" s="3206" t="s">
        <v>3127</v>
      </c>
      <c r="C8" s="3188"/>
      <c r="E8" s="3188"/>
      <c r="F8" s="3188">
        <f ca="1">F6-F7</f>
        <v>1522</v>
      </c>
      <c r="H8">
        <v>-406.68</v>
      </c>
      <c r="I8">
        <f ca="1">H8*F8</f>
        <v>-618966.96</v>
      </c>
    </row>
    <row r="9" spans="1:9" ht="46.5" customHeight="1"/>
    <row r="10" spans="1:9" ht="15" customHeight="1">
      <c r="A10" s="3186" t="s">
        <v>3180</v>
      </c>
    </row>
    <row r="11" spans="1:9" s="2" customFormat="1" ht="50.25" customHeight="1">
      <c r="A11" s="3223" t="s">
        <v>3169</v>
      </c>
      <c r="B11" s="3223" t="s">
        <v>3170</v>
      </c>
      <c r="C11" s="3223" t="s">
        <v>3031</v>
      </c>
      <c r="D11" s="3223" t="s">
        <v>3171</v>
      </c>
      <c r="E11" s="3223" t="s">
        <v>3172</v>
      </c>
      <c r="F11" s="3224" t="s">
        <v>3173</v>
      </c>
    </row>
    <row r="12" spans="1:9" ht="20.25" customHeight="1">
      <c r="A12" s="3532" t="s">
        <v>3174</v>
      </c>
      <c r="B12" s="3225" t="s">
        <v>3175</v>
      </c>
      <c r="C12" s="3532" t="s">
        <v>3177</v>
      </c>
      <c r="D12" s="3226">
        <v>332.2</v>
      </c>
      <c r="E12" s="3535">
        <f ca="1">F3</f>
        <v>18093</v>
      </c>
      <c r="F12" s="3226">
        <f ca="1">ROUND(D12*E12/10000,4)</f>
        <v>601.04949999999997</v>
      </c>
    </row>
    <row r="13" spans="1:9" ht="15">
      <c r="A13" s="3533"/>
      <c r="B13" s="3225" t="s">
        <v>3176</v>
      </c>
      <c r="C13" s="3534"/>
      <c r="D13" s="3226">
        <v>228.93</v>
      </c>
      <c r="E13" s="3536"/>
      <c r="F13" s="3226">
        <f ca="1">ROUND(D13*E12/10000,4)</f>
        <v>414.20299999999997</v>
      </c>
    </row>
    <row r="14" spans="1:9" ht="15.75">
      <c r="A14" s="3534"/>
      <c r="B14" s="3531" t="s">
        <v>3187</v>
      </c>
      <c r="C14" s="3531"/>
      <c r="D14" s="3228" t="s">
        <v>3186</v>
      </c>
      <c r="E14" s="3228" t="s">
        <v>3186</v>
      </c>
      <c r="F14" s="3227">
        <f ca="1">F12-F13</f>
        <v>186.84649999999999</v>
      </c>
    </row>
    <row r="15" spans="1:9" ht="15">
      <c r="A15" s="3537" t="s">
        <v>3179</v>
      </c>
      <c r="B15" s="3538" t="s">
        <v>3184</v>
      </c>
      <c r="C15" s="3226" t="s">
        <v>3185</v>
      </c>
      <c r="D15" s="3226">
        <v>4025.2</v>
      </c>
      <c r="E15" s="3226">
        <f ca="1">F6</f>
        <v>7612</v>
      </c>
      <c r="F15" s="3226">
        <f ca="1">ROUND(D15*E15/10000,4)</f>
        <v>3063.9821999999999</v>
      </c>
    </row>
    <row r="16" spans="1:9" ht="18.75" customHeight="1">
      <c r="A16" s="3537"/>
      <c r="B16" s="3539"/>
      <c r="C16" s="3226" t="s">
        <v>3181</v>
      </c>
      <c r="D16" s="3226">
        <v>3629.7</v>
      </c>
      <c r="E16" s="3226">
        <f ca="1">F7</f>
        <v>6090</v>
      </c>
      <c r="F16" s="3226">
        <f t="shared" ref="F16:F19" ca="1" si="2">ROUND(D16*E16/10000,4)</f>
        <v>2210.4872999999998</v>
      </c>
    </row>
    <row r="17" spans="1:6" ht="18.75" customHeight="1">
      <c r="A17" s="3537"/>
      <c r="B17" s="3540"/>
      <c r="C17" s="3224" t="s">
        <v>3178</v>
      </c>
      <c r="D17" s="3227">
        <f>D15+D16</f>
        <v>7654.9</v>
      </c>
      <c r="E17" s="3228" t="s">
        <v>3186</v>
      </c>
      <c r="F17" s="3227">
        <f ca="1">F15+F16</f>
        <v>5274.4694999999992</v>
      </c>
    </row>
    <row r="18" spans="1:6" ht="15">
      <c r="A18" s="3537"/>
      <c r="B18" s="3538" t="s">
        <v>3182</v>
      </c>
      <c r="C18" s="3226" t="s">
        <v>3183</v>
      </c>
      <c r="D18" s="3226">
        <v>3618.52</v>
      </c>
      <c r="E18" s="3226">
        <f ca="1">E15</f>
        <v>7612</v>
      </c>
      <c r="F18" s="3226">
        <f t="shared" ca="1" si="2"/>
        <v>2754.4173999999998</v>
      </c>
    </row>
    <row r="19" spans="1:6" ht="15">
      <c r="A19" s="3537"/>
      <c r="B19" s="3539"/>
      <c r="C19" s="3226" t="s">
        <v>3181</v>
      </c>
      <c r="D19" s="3226">
        <v>4101.03</v>
      </c>
      <c r="E19" s="3226">
        <f ca="1">E16</f>
        <v>6090</v>
      </c>
      <c r="F19" s="3226">
        <f t="shared" ca="1" si="2"/>
        <v>2497.5273000000002</v>
      </c>
    </row>
    <row r="20" spans="1:6" ht="15.75">
      <c r="A20" s="3537"/>
      <c r="B20" s="3540"/>
      <c r="C20" s="3224" t="s">
        <v>3178</v>
      </c>
      <c r="D20" s="3227">
        <f>D18+D19</f>
        <v>7719.5499999999993</v>
      </c>
      <c r="E20" s="3228" t="s">
        <v>3186</v>
      </c>
      <c r="F20" s="3227">
        <f ca="1">F18+F19</f>
        <v>5251.9447</v>
      </c>
    </row>
    <row r="21" spans="1:6" ht="15.75">
      <c r="A21" s="3537"/>
      <c r="B21" s="3531" t="s">
        <v>3187</v>
      </c>
      <c r="C21" s="3531"/>
      <c r="D21" s="3228" t="s">
        <v>3186</v>
      </c>
      <c r="E21" s="3228" t="s">
        <v>3186</v>
      </c>
      <c r="F21" s="3227">
        <f ca="1">F17-F20</f>
        <v>22.524799999999232</v>
      </c>
    </row>
    <row r="22" spans="1:6" ht="14.25">
      <c r="A22" s="3215"/>
      <c r="B22" s="3215"/>
      <c r="C22" s="3215"/>
      <c r="D22" s="3215"/>
      <c r="E22" s="3215"/>
      <c r="F22" s="3215"/>
    </row>
    <row r="23" spans="1:6" ht="14.25">
      <c r="A23" s="3215"/>
      <c r="B23" s="3215"/>
      <c r="C23" s="3215"/>
      <c r="D23" s="3215"/>
      <c r="E23" s="3215"/>
      <c r="F23" s="3215"/>
    </row>
    <row r="24" spans="1:6" ht="15" customHeight="1">
      <c r="A24" s="3215"/>
      <c r="B24" s="3215"/>
      <c r="C24" s="3215"/>
      <c r="D24" s="3215"/>
      <c r="E24" s="3215"/>
      <c r="F24" s="3215"/>
    </row>
    <row r="25" spans="1:6" ht="14.25">
      <c r="A25" s="3215"/>
      <c r="B25" s="3215"/>
      <c r="C25" s="3215"/>
      <c r="D25" s="3215"/>
      <c r="E25" s="3215"/>
      <c r="F25" s="3215"/>
    </row>
    <row r="26" spans="1:6" ht="14.25">
      <c r="A26" s="3222"/>
      <c r="B26" s="3222"/>
      <c r="C26" s="3222"/>
      <c r="D26" s="3222"/>
      <c r="E26" s="3222"/>
      <c r="F26" s="3222"/>
    </row>
    <row r="27" spans="1:6" ht="14.25">
      <c r="A27" s="3222"/>
      <c r="B27" s="3222"/>
      <c r="C27" s="3222"/>
      <c r="D27" s="3222"/>
      <c r="E27" s="3222"/>
      <c r="F27" s="3222"/>
    </row>
    <row r="31" spans="1:6" ht="14.25" customHeight="1"/>
    <row r="32" spans="1:6" ht="14.25" customHeight="1"/>
  </sheetData>
  <mergeCells count="11">
    <mergeCell ref="B21:C21"/>
    <mergeCell ref="E12:E13"/>
    <mergeCell ref="A15:A21"/>
    <mergeCell ref="B15:B17"/>
    <mergeCell ref="B18:B20"/>
    <mergeCell ref="B1:C1"/>
    <mergeCell ref="D1:E1"/>
    <mergeCell ref="F1:F2"/>
    <mergeCell ref="B14:C14"/>
    <mergeCell ref="A12:A14"/>
    <mergeCell ref="C12:C13"/>
  </mergeCells>
  <phoneticPr fontId="23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2041</v>
      </c>
      <c r="B1" s="3234"/>
      <c r="C1" s="3234"/>
      <c r="D1" s="3234"/>
      <c r="E1" s="3234"/>
      <c r="F1" s="3234"/>
      <c r="G1" s="3234"/>
      <c r="H1" s="3234"/>
      <c r="I1" s="3234"/>
      <c r="J1" s="3234"/>
      <c r="K1" s="3234"/>
      <c r="L1" s="3234"/>
      <c r="M1" s="3234"/>
      <c r="N1" s="3234"/>
      <c r="O1" s="3234"/>
      <c r="P1" s="3234"/>
      <c r="Q1" s="3234"/>
      <c r="R1" s="3234"/>
    </row>
    <row r="2" spans="1:18">
      <c r="A2" s="1808" t="s">
        <v>2043</v>
      </c>
      <c r="B2" s="1808"/>
      <c r="C2" s="1808"/>
      <c r="D2" s="1808"/>
      <c r="E2" s="1808"/>
      <c r="F2" s="1808"/>
      <c r="G2" s="1808"/>
      <c r="H2" s="1808"/>
      <c r="I2" s="1809"/>
      <c r="J2" s="1809"/>
      <c r="K2" s="1810" t="str">
        <f>"估价期日："&amp;TEXT(项目基本情况!D3,"yyyy年m月d日;;")</f>
        <v>估价期日：2018年6月22日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5" t="s">
        <v>2032</v>
      </c>
      <c r="B3" s="3235" t="s">
        <v>2734</v>
      </c>
      <c r="C3" s="3236" t="s">
        <v>2033</v>
      </c>
      <c r="D3" s="3235" t="s">
        <v>2738</v>
      </c>
      <c r="E3" s="3230" t="s">
        <v>2034</v>
      </c>
      <c r="F3" s="3230"/>
      <c r="G3" s="3230"/>
      <c r="H3" s="3230" t="s">
        <v>2035</v>
      </c>
      <c r="I3" s="3230"/>
      <c r="J3" s="3230"/>
      <c r="K3" s="3236" t="s">
        <v>2036</v>
      </c>
      <c r="L3" s="3236" t="s">
        <v>2037</v>
      </c>
      <c r="M3" s="3235" t="s">
        <v>2735</v>
      </c>
      <c r="N3" s="3237" t="str">
        <f>"（分摊）"&amp;项目基本情况!B16&amp;"国有建设用地使用权面积/㎡"</f>
        <v>（分摊）出让国有建设用地使用权面积/㎡</v>
      </c>
      <c r="O3" s="3235" t="s">
        <v>2066</v>
      </c>
      <c r="P3" s="3236" t="s">
        <v>2046</v>
      </c>
      <c r="Q3" s="3236" t="s">
        <v>2067</v>
      </c>
      <c r="R3" s="3236" t="s">
        <v>2038</v>
      </c>
    </row>
    <row r="4" spans="1:18" ht="36.75" customHeight="1">
      <c r="A4" s="3235"/>
      <c r="B4" s="3235"/>
      <c r="C4" s="3236"/>
      <c r="D4" s="3235"/>
      <c r="E4" s="2650" t="s">
        <v>2045</v>
      </c>
      <c r="F4" s="2650" t="s">
        <v>2747</v>
      </c>
      <c r="G4" s="2650" t="s">
        <v>2039</v>
      </c>
      <c r="H4" s="2650" t="s">
        <v>2040</v>
      </c>
      <c r="I4" s="2650" t="s">
        <v>2748</v>
      </c>
      <c r="J4" s="2650" t="s">
        <v>2039</v>
      </c>
      <c r="K4" s="3236"/>
      <c r="L4" s="3236"/>
      <c r="M4" s="3235"/>
      <c r="N4" s="3237"/>
      <c r="O4" s="3235"/>
      <c r="P4" s="3236"/>
      <c r="Q4" s="3236"/>
      <c r="R4" s="3236"/>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2245</v>
      </c>
      <c r="O5" s="1811">
        <f>项目基本情况!C21</f>
        <v>27719.55</v>
      </c>
      <c r="P5" s="1811" t="e">
        <f ca="1">结果表!E42</f>
        <v>#DIV/0!</v>
      </c>
      <c r="Q5" s="1811" t="e">
        <f ca="1">结果表!D42</f>
        <v>#DIV/0!</v>
      </c>
      <c r="R5" s="1812" t="e">
        <f ca="1">结果表!C42</f>
        <v>#DIV/0!</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813" t="str">
        <f>结果表!O39</f>
        <v>——</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813" t="str">
        <f>结果表!O40</f>
        <v>——</v>
      </c>
    </row>
    <row r="8" spans="1:18">
      <c r="A8" s="3231">
        <f>IF(项目基本情况!B9="市场价格","——",项目基本情况!E9)</f>
        <v>0</v>
      </c>
      <c r="B8" s="3232"/>
      <c r="C8" s="3232"/>
      <c r="D8" s="3232"/>
      <c r="E8" s="3232"/>
      <c r="F8" s="3232"/>
      <c r="G8" s="3232"/>
      <c r="H8" s="3232"/>
      <c r="I8" s="3232"/>
      <c r="J8" s="3232"/>
      <c r="K8" s="3232"/>
      <c r="L8" s="3232"/>
      <c r="M8" s="3232"/>
      <c r="N8" s="3232"/>
      <c r="O8" s="3232"/>
      <c r="P8" s="3232"/>
      <c r="Q8" s="3233"/>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38" t="s">
        <v>2068</v>
      </c>
      <c r="B1" s="3238"/>
      <c r="C1" s="3238"/>
      <c r="D1" s="3238"/>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8"/>
      <c r="C3" s="3238"/>
      <c r="D3" s="3238"/>
    </row>
    <row r="4" spans="1:4" ht="36.75" customHeight="1">
      <c r="A4" s="3238" t="str">
        <f>"3.估价规划限制条件：详见"&amp;项目基本情况!E21&amp;"。"</f>
        <v>3.估价规划限制条件：详见《建设工程规划许可证》[]、《出让合同》[]。</v>
      </c>
      <c r="B4" s="3238"/>
      <c r="C4" s="3238"/>
      <c r="D4" s="3238"/>
    </row>
    <row r="5" spans="1:4">
      <c r="A5" s="3241" t="s">
        <v>2069</v>
      </c>
      <c r="B5" s="3241"/>
      <c r="C5" s="3241"/>
      <c r="D5" s="3241"/>
    </row>
    <row r="6" spans="1:4">
      <c r="A6" s="3238" t="s">
        <v>2047</v>
      </c>
      <c r="B6" s="3238"/>
      <c r="C6" s="3238"/>
      <c r="D6" s="3238"/>
    </row>
    <row r="7" spans="1:4" ht="33" customHeight="1">
      <c r="A7" s="3238" t="s">
        <v>2578</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8"/>
      <c r="C8" s="3238"/>
      <c r="D8" s="3238"/>
    </row>
    <row r="9" spans="1:4" ht="33.75" customHeight="1">
      <c r="A9" s="3238" t="str">
        <f>IF(项目基本情况!B8="抵押","3.抵押双方在办理抵押登记手续时，应使用本公司出具的正式《土地估价报告》，特提请报告使用者注意。","——")</f>
        <v>——</v>
      </c>
      <c r="B9" s="3238"/>
      <c r="C9" s="3238"/>
      <c r="D9" s="3238"/>
    </row>
    <row r="10" spans="1:4">
      <c r="A10" s="3238" t="str">
        <f>IF(项目基本情况!B8="抵押","4.估价师所知悉的法定优先受偿款情况为：","——")</f>
        <v>——</v>
      </c>
      <c r="B10" s="3238"/>
      <c r="C10" s="3238"/>
      <c r="D10" s="3238"/>
    </row>
    <row r="11" spans="1:4" ht="37.5" customHeight="1">
      <c r="A11" s="3240" t="str">
        <f>IF(项目基本情况!B8="抵押","（1）"&amp;CONCATENATE(项目基本情况!L24,项目基本情况!L25,项目基本情况!L26),"——")</f>
        <v>——</v>
      </c>
      <c r="B11" s="3240"/>
      <c r="C11" s="3240"/>
      <c r="D11" s="3240"/>
    </row>
    <row r="12" spans="1:4" ht="168" customHeight="1">
      <c r="A12" s="3241" t="s">
        <v>2071</v>
      </c>
      <c r="B12" s="3241"/>
      <c r="C12" s="3241"/>
      <c r="D12" s="3241"/>
    </row>
    <row r="13" spans="1:4">
      <c r="A13" s="3239" t="s">
        <v>2749</v>
      </c>
      <c r="B13" s="3239"/>
      <c r="C13" s="3239"/>
      <c r="D13" s="3239"/>
    </row>
    <row r="14" spans="1:4">
      <c r="A14" s="3240" t="str">
        <f>IF(项目基本情况!B8="抵押","综上，"&amp;结果表!K47,"——")</f>
        <v>——</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2705</v>
      </c>
      <c r="B17" s="3238"/>
      <c r="C17" s="3238"/>
      <c r="D17" s="3238"/>
    </row>
    <row r="18" spans="1:4">
      <c r="A18" s="3238" t="s">
        <v>2697</v>
      </c>
      <c r="B18" s="3238"/>
      <c r="C18" s="3238"/>
      <c r="D18" s="3238"/>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38" t="s">
        <v>2702</v>
      </c>
      <c r="B23" s="3238"/>
      <c r="C23" s="3238"/>
      <c r="D23" s="3238"/>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0" t="s">
        <v>53</v>
      </c>
      <c r="B15" s="3251" t="s">
        <v>846</v>
      </c>
      <c r="C15" s="3247"/>
    </row>
    <row r="16" spans="1:7" ht="14.25">
      <c r="A16" s="3250"/>
      <c r="B16" s="3248" t="s">
        <v>54</v>
      </c>
      <c r="C16" s="1172" t="s">
        <v>53</v>
      </c>
    </row>
    <row r="17" spans="1:3" ht="14.25">
      <c r="A17" s="3250"/>
      <c r="B17" s="3248"/>
      <c r="C17" s="1172" t="s">
        <v>55</v>
      </c>
    </row>
    <row r="18" spans="1:3" ht="14.25">
      <c r="A18" s="3250"/>
      <c r="B18" s="3248"/>
      <c r="C18" s="1172" t="s">
        <v>56</v>
      </c>
    </row>
    <row r="19" spans="1:3" ht="14.25">
      <c r="A19" s="3250"/>
      <c r="B19" s="3246" t="s">
        <v>57</v>
      </c>
      <c r="C19" s="3247"/>
    </row>
    <row r="20" spans="1:3" ht="14.25">
      <c r="A20" s="1173" t="s">
        <v>58</v>
      </c>
      <c r="B20" s="1174"/>
      <c r="C20" s="1175"/>
    </row>
    <row r="21" spans="1:3" ht="14.25">
      <c r="A21" s="3249" t="s">
        <v>59</v>
      </c>
      <c r="B21" s="3246" t="s">
        <v>60</v>
      </c>
      <c r="C21" s="3247"/>
    </row>
    <row r="22" spans="1:3" ht="14.25">
      <c r="A22" s="3249"/>
      <c r="B22" s="3246" t="s">
        <v>61</v>
      </c>
      <c r="C22" s="3247"/>
    </row>
    <row r="23" spans="1:3" ht="14.25">
      <c r="A23" s="3249"/>
      <c r="B23" s="3246" t="s">
        <v>62</v>
      </c>
      <c r="C23" s="3247"/>
    </row>
    <row r="24" spans="1:3" ht="14.25">
      <c r="A24" s="3249"/>
      <c r="B24" s="3252" t="s">
        <v>63</v>
      </c>
      <c r="C24" s="1176" t="s">
        <v>837</v>
      </c>
    </row>
    <row r="25" spans="1:3" ht="14.25">
      <c r="A25" s="3249"/>
      <c r="B25" s="3253"/>
      <c r="C25" s="1176" t="s">
        <v>838</v>
      </c>
    </row>
    <row r="26" spans="1:3" ht="14.25">
      <c r="A26" s="3249"/>
      <c r="B26" s="3253"/>
      <c r="C26" s="1176" t="s">
        <v>839</v>
      </c>
    </row>
    <row r="27" spans="1:3" ht="14.25">
      <c r="A27" s="3249"/>
      <c r="B27" s="3253"/>
      <c r="C27" s="1176" t="s">
        <v>840</v>
      </c>
    </row>
    <row r="28" spans="1:3" ht="14.25">
      <c r="A28" s="3249"/>
      <c r="B28" s="3253"/>
      <c r="C28" s="1176" t="s">
        <v>841</v>
      </c>
    </row>
    <row r="29" spans="1:3" ht="14.25">
      <c r="A29" s="3249"/>
      <c r="B29" s="3253"/>
      <c r="C29" s="1176" t="s">
        <v>842</v>
      </c>
    </row>
    <row r="30" spans="1:3" ht="14.25">
      <c r="A30" s="3249"/>
      <c r="B30" s="3253"/>
      <c r="C30" s="1176" t="s">
        <v>843</v>
      </c>
    </row>
    <row r="31" spans="1:3" ht="14.25">
      <c r="A31" s="3249"/>
      <c r="B31" s="3253"/>
      <c r="C31" s="1176" t="s">
        <v>844</v>
      </c>
    </row>
    <row r="32" spans="1:3" ht="14.25">
      <c r="A32" s="3249"/>
      <c r="B32" s="3253"/>
      <c r="C32" s="1176" t="s">
        <v>1647</v>
      </c>
    </row>
    <row r="33" spans="1:3" ht="14.25">
      <c r="A33" s="3249"/>
      <c r="B33" s="3243" t="s">
        <v>1653</v>
      </c>
      <c r="C33" s="1176" t="s">
        <v>1648</v>
      </c>
    </row>
    <row r="34" spans="1:3" ht="14.25">
      <c r="A34" s="3249"/>
      <c r="B34" s="3244"/>
      <c r="C34" s="1181" t="s">
        <v>1649</v>
      </c>
    </row>
    <row r="35" spans="1:3" ht="14.25">
      <c r="A35" s="3249"/>
      <c r="B35" s="3244"/>
      <c r="C35" s="1182" t="s">
        <v>1650</v>
      </c>
    </row>
    <row r="36" spans="1:3" ht="14.25">
      <c r="A36" s="3249"/>
      <c r="B36" s="3244"/>
      <c r="C36" s="1182" t="s">
        <v>1651</v>
      </c>
    </row>
    <row r="37" spans="1:3" ht="14.25">
      <c r="A37" s="3249"/>
      <c r="B37" s="324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43353</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2981</v>
      </c>
      <c r="B12" s="2344">
        <v>1120110054</v>
      </c>
      <c r="C12" s="3007">
        <v>43937</v>
      </c>
      <c r="D12" s="2344" t="s">
        <v>2981</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54" t="s">
        <v>1929</v>
      </c>
      <c r="B25" s="3254"/>
      <c r="C25" s="3254"/>
      <c r="D25" s="3254"/>
      <c r="E25" s="3254"/>
      <c r="F25" s="3254"/>
      <c r="G25" s="3254"/>
    </row>
    <row r="26" spans="1:7" ht="20.25" customHeight="1">
      <c r="A26" s="3255" t="s">
        <v>1930</v>
      </c>
      <c r="B26" s="3255"/>
      <c r="C26" s="3255"/>
      <c r="D26" s="3255" t="s">
        <v>1931</v>
      </c>
      <c r="E26" s="3255"/>
      <c r="F26" s="3255"/>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3" priority="90">
      <formula>AND($C24-TODAY()&lt;30,TODAY()&lt;$C24)</formula>
    </cfRule>
  </conditionalFormatting>
  <conditionalFormatting sqref="C28">
    <cfRule type="expression" dxfId="202" priority="89">
      <formula>AND($C28-TODAY()&lt;30,TODAY()&lt;$C28)</formula>
    </cfRule>
  </conditionalFormatting>
  <conditionalFormatting sqref="C28 F4">
    <cfRule type="cellIs" dxfId="201" priority="91" stopIfTrue="1" operator="lessThan">
      <formula>$B$2</formula>
    </cfRule>
  </conditionalFormatting>
  <conditionalFormatting sqref="F5">
    <cfRule type="cellIs" dxfId="200" priority="87" stopIfTrue="1" operator="lessThan">
      <formula>$B$2</formula>
    </cfRule>
  </conditionalFormatting>
  <conditionalFormatting sqref="F6 F8 F10">
    <cfRule type="cellIs" dxfId="199" priority="85" stopIfTrue="1" operator="lessThan">
      <formula>$B$2</formula>
    </cfRule>
  </conditionalFormatting>
  <conditionalFormatting sqref="C24:D24">
    <cfRule type="expression" dxfId="198" priority="83">
      <formula>AND($C24-TODAY()&lt;30,TODAY()&lt;$C24)</formula>
    </cfRule>
  </conditionalFormatting>
  <conditionalFormatting sqref="F7 F9 F11 C24:D24">
    <cfRule type="cellIs" dxfId="197" priority="84" stopIfTrue="1" operator="lessThan">
      <formula>$B$2</formula>
    </cfRule>
  </conditionalFormatting>
  <conditionalFormatting sqref="F16">
    <cfRule type="cellIs" dxfId="196" priority="57" stopIfTrue="1" operator="lessThan">
      <formula>$B$2</formula>
    </cfRule>
  </conditionalFormatting>
  <conditionalFormatting sqref="F18">
    <cfRule type="cellIs" dxfId="195" priority="56" stopIfTrue="1" operator="lessThan">
      <formula>$B$2</formula>
    </cfRule>
  </conditionalFormatting>
  <conditionalFormatting sqref="F22">
    <cfRule type="cellIs" dxfId="194" priority="55" stopIfTrue="1" operator="lessThan">
      <formula>$B$2</formula>
    </cfRule>
  </conditionalFormatting>
  <conditionalFormatting sqref="F21">
    <cfRule type="cellIs" dxfId="193" priority="54" stopIfTrue="1" operator="lessThan">
      <formula>$B$2</formula>
    </cfRule>
  </conditionalFormatting>
  <conditionalFormatting sqref="F17">
    <cfRule type="cellIs" dxfId="192" priority="53" stopIfTrue="1" operator="lessThan">
      <formula>$B$2</formula>
    </cfRule>
  </conditionalFormatting>
  <conditionalFormatting sqref="B4:B11 E4:E11 E16:E23 B16:B23 B13:B14 E13:E14">
    <cfRule type="cellIs" dxfId="191" priority="52" stopIfTrue="1" operator="equal">
      <formula>"已过期"</formula>
    </cfRule>
  </conditionalFormatting>
  <conditionalFormatting sqref="F28">
    <cfRule type="cellIs" dxfId="190" priority="49" stopIfTrue="1" operator="lessThan">
      <formula>$B$2</formula>
    </cfRule>
  </conditionalFormatting>
  <conditionalFormatting sqref="F29">
    <cfRule type="cellIs" dxfId="189" priority="47" stopIfTrue="1" operator="lessThan">
      <formula>$B$2</formula>
    </cfRule>
  </conditionalFormatting>
  <conditionalFormatting sqref="F28">
    <cfRule type="expression" dxfId="188" priority="93">
      <formula>AND($E28-TODAY()&lt;30,TODAY()&lt;$E28)</formula>
    </cfRule>
  </conditionalFormatting>
  <conditionalFormatting sqref="F29">
    <cfRule type="expression" dxfId="187" priority="94" stopIfTrue="1">
      <formula>AND($E29-TODAY()&lt;30,TODAY()&lt;$E29)</formula>
    </cfRule>
  </conditionalFormatting>
  <conditionalFormatting sqref="C5">
    <cfRule type="expression" dxfId="186" priority="44">
      <formula>AND($C5-TODAY()&lt;30,TODAY()&lt;$C5)</formula>
    </cfRule>
  </conditionalFormatting>
  <conditionalFormatting sqref="C5">
    <cfRule type="cellIs" dxfId="185" priority="45" stopIfTrue="1" operator="lessThan">
      <formula>$B$2</formula>
    </cfRule>
  </conditionalFormatting>
  <conditionalFormatting sqref="C4:C6">
    <cfRule type="expression" dxfId="184" priority="42">
      <formula>AND($C4-TODAY()&lt;30,TODAY()&lt;$C4)</formula>
    </cfRule>
  </conditionalFormatting>
  <conditionalFormatting sqref="C4:C6">
    <cfRule type="cellIs" dxfId="183" priority="43" stopIfTrue="1" operator="lessThan">
      <formula>$B$2</formula>
    </cfRule>
  </conditionalFormatting>
  <conditionalFormatting sqref="C8:C9">
    <cfRule type="expression" dxfId="182" priority="40">
      <formula>AND($C8-TODAY()&lt;30,TODAY()&lt;$C8)</formula>
    </cfRule>
  </conditionalFormatting>
  <conditionalFormatting sqref="C8:C9">
    <cfRule type="cellIs" dxfId="181" priority="41" stopIfTrue="1" operator="lessThan">
      <formula>$B$2</formula>
    </cfRule>
  </conditionalFormatting>
  <conditionalFormatting sqref="B15 E15">
    <cfRule type="cellIs" dxfId="180" priority="28" stopIfTrue="1" operator="equal">
      <formula>"已过期"</formula>
    </cfRule>
  </conditionalFormatting>
  <conditionalFormatting sqref="F15">
    <cfRule type="cellIs" dxfId="179" priority="25" stopIfTrue="1" operator="lessThan">
      <formula>$B$2</formula>
    </cfRule>
  </conditionalFormatting>
  <conditionalFormatting sqref="C7">
    <cfRule type="expression" dxfId="178" priority="23">
      <formula>AND($C7-TODAY()&lt;30,TODAY()&lt;$C7)</formula>
    </cfRule>
  </conditionalFormatting>
  <conditionalFormatting sqref="C7">
    <cfRule type="cellIs" dxfId="177" priority="24" stopIfTrue="1" operator="lessThan">
      <formula>$B$2</formula>
    </cfRule>
  </conditionalFormatting>
  <conditionalFormatting sqref="C10:C11 C13:C21 C23">
    <cfRule type="expression" dxfId="176" priority="21">
      <formula>AND($C10-TODAY()&lt;30,TODAY()&lt;$C10)</formula>
    </cfRule>
  </conditionalFormatting>
  <conditionalFormatting sqref="C10:C11 C13:C21 C23">
    <cfRule type="cellIs" dxfId="175" priority="22" stopIfTrue="1" operator="lessThan">
      <formula>$B$2</formula>
    </cfRule>
  </conditionalFormatting>
  <conditionalFormatting sqref="F13">
    <cfRule type="cellIs" dxfId="174" priority="20" stopIfTrue="1" operator="lessThan">
      <formula>$B$2</formula>
    </cfRule>
  </conditionalFormatting>
  <conditionalFormatting sqref="F12">
    <cfRule type="cellIs" dxfId="173" priority="12" stopIfTrue="1" operator="lessThan">
      <formula>$B$2</formula>
    </cfRule>
  </conditionalFormatting>
  <conditionalFormatting sqref="B12 E12">
    <cfRule type="cellIs" dxfId="172" priority="11" stopIfTrue="1" operator="equal">
      <formula>"已过期"</formula>
    </cfRule>
  </conditionalFormatting>
  <conditionalFormatting sqref="C12">
    <cfRule type="expression" dxfId="171" priority="9">
      <formula>AND($C12-TODAY()&lt;30,TODAY()&lt;$C12)</formula>
    </cfRule>
  </conditionalFormatting>
  <conditionalFormatting sqref="C12">
    <cfRule type="cellIs" dxfId="170" priority="10" stopIfTrue="1" operator="lessThan">
      <formula>$B$2</formula>
    </cfRule>
  </conditionalFormatting>
  <conditionalFormatting sqref="C22">
    <cfRule type="expression" dxfId="169" priority="1">
      <formula>AND($C22-TODAY()&lt;30,TODAY()&lt;$C22)</formula>
    </cfRule>
  </conditionalFormatting>
  <conditionalFormatting sqref="C22">
    <cfRule type="cellIs" dxfId="16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B25" sqref="B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2959</v>
      </c>
      <c r="C18" s="1554"/>
    </row>
    <row r="19" spans="1:3">
      <c r="A19" s="8" t="s">
        <v>120</v>
      </c>
      <c r="B19" s="3114" t="s">
        <v>2967</v>
      </c>
      <c r="C19" s="1554"/>
    </row>
    <row r="20" spans="1:3">
      <c r="A20" s="8" t="s">
        <v>121</v>
      </c>
      <c r="B20" s="8" t="s">
        <v>2986</v>
      </c>
      <c r="C20" s="1554"/>
    </row>
    <row r="21" spans="1:3">
      <c r="A21" s="8" t="s">
        <v>122</v>
      </c>
      <c r="B21" s="3114" t="s">
        <v>3027</v>
      </c>
      <c r="C21" s="1554"/>
    </row>
    <row r="22" spans="1:3">
      <c r="A22" s="8" t="s">
        <v>123</v>
      </c>
      <c r="B22" s="3114" t="s">
        <v>3030</v>
      </c>
      <c r="C22" s="1554"/>
    </row>
    <row r="23" spans="1:3">
      <c r="A23" s="8" t="s">
        <v>124</v>
      </c>
      <c r="B23" s="8" t="s">
        <v>3128</v>
      </c>
      <c r="C23" s="1554"/>
    </row>
    <row r="24" spans="1:3">
      <c r="A24" s="8" t="s">
        <v>12</v>
      </c>
      <c r="B24" s="8" t="s">
        <v>3129</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56"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c r="D53" s="1768"/>
      <c r="E53" s="1768"/>
    </row>
    <row r="54" spans="1:5">
      <c r="A54" s="3256"/>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6"/>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6"/>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6"/>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剩余法-四合院</vt:lpstr>
      <vt:lpstr>基准地价</vt:lpstr>
      <vt:lpstr>剩余法待开发住宅</vt:lpstr>
      <vt:lpstr>比较法-住宅、综合</vt:lpstr>
      <vt:lpstr>比较法-工业</vt:lpstr>
      <vt:lpstr>基准地价住宅</vt:lpstr>
      <vt:lpstr>修正</vt:lpstr>
      <vt:lpstr>区片价</vt:lpstr>
      <vt:lpstr>容积率修正</vt:lpstr>
      <vt:lpstr>因素修正幅度</vt:lpstr>
      <vt:lpstr>基准地价（汇总）</vt:lpstr>
      <vt:lpstr>收益还原法</vt:lpstr>
      <vt:lpstr>剩余法待开发住宅50</vt:lpstr>
      <vt:lpstr>基准地价住宅50</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案例贴图</vt:lpstr>
      <vt:lpstr>面积表</vt:lpstr>
      <vt:lpstr>结果一览表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基准地价住宅!季度</vt:lpstr>
      <vt:lpstr>基准地价住宅50!季度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2018-09-09T07:40:03Z</cp:lastPrinted>
  <dcterms:created xsi:type="dcterms:W3CDTF">2015-07-13T07:17:23Z</dcterms:created>
  <dcterms:modified xsi:type="dcterms:W3CDTF">2018-09-10T06:36:30Z</dcterms:modified>
</cp:coreProperties>
</file>