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商住" sheetId="77" r:id="rId22"/>
    <sheet name="收益法-底商" sheetId="15" r:id="rId23"/>
    <sheet name="收益法 (元)" sheetId="67" state="hidden" r:id="rId24"/>
    <sheet name="典型户型修正（汇总）" sheetId="82" r:id="rId25"/>
    <sheet name="收益法（汇总）" sheetId="70" r:id="rId26"/>
    <sheet name="酒店收入计算" sheetId="66" state="hidden" r:id="rId27"/>
    <sheet name="比较法-住宅" sheetId="21"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底商" sheetId="80" r:id="rId41"/>
    <sheet name="典型户型修正-商住"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商住案例" sheetId="78" r:id="rId48"/>
    <sheet name="底商案例" sheetId="79"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'收益法-底商'!$A$1:$AK$69</definedName>
    <definedName name="_xlnm.Print_Area" localSheetId="21">'收益法-商住'!$A$1:$AK$69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0">'典型户型修正-底商'!$5:$5</definedName>
    <definedName name="一修多修正项2">'典型户型修正-商住'!$5:$5</definedName>
    <definedName name="一修多修正项3" localSheetId="40">'典型户型修正-底商'!$7:$7</definedName>
    <definedName name="一修多修正项3">'典型户型修正-商住'!$7:$7</definedName>
    <definedName name="一修多修正项4" localSheetId="40">'典型户型修正-底商'!$9:$9</definedName>
    <definedName name="一修多修正项4">'典型户型修正-商住'!$9:$9</definedName>
    <definedName name="一修多修正项5" localSheetId="40">'典型户型修正-底商'!$11:$11</definedName>
    <definedName name="一修多修正项5">'典型户型修正-商住'!$11:$11</definedName>
    <definedName name="一修多修正项6" localSheetId="40">'典型户型修正-底商'!$13:$13</definedName>
    <definedName name="一修多修正项6">'典型户型修正-商住'!$13:$13</definedName>
    <definedName name="一修多修正项7" localSheetId="40">'典型户型修正-底商'!$15:$15</definedName>
    <definedName name="一修多修正项7">'典型户型修正-商住'!$15:$15</definedName>
    <definedName name="一修多修正项8" localSheetId="40">'典型户型修正-底商'!$17:$17</definedName>
    <definedName name="一修多修正项8">'典型户型修正-商住'!$17:$17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 i="49" l="1"/>
  <c r="B11" i="49"/>
  <c r="E4" i="4"/>
  <c r="B5" i="62"/>
  <c r="B8" i="49"/>
  <c r="C4" i="4"/>
  <c r="B4" i="62"/>
  <c r="F6" i="77"/>
  <c r="F8" i="77"/>
  <c r="F7" i="77"/>
  <c r="F9" i="77"/>
  <c r="C6" i="77"/>
  <c r="F4" i="73"/>
  <c r="I1" i="73"/>
  <c r="B39" i="1"/>
  <c r="F11" i="77"/>
  <c r="C10" i="77"/>
  <c r="C5" i="77"/>
  <c r="C32" i="77"/>
  <c r="C33" i="77"/>
  <c r="R6" i="1"/>
  <c r="F35" i="77"/>
  <c r="C34" i="77"/>
  <c r="C31" i="77"/>
  <c r="C14" i="77"/>
  <c r="C15" i="77"/>
  <c r="F16" i="77"/>
  <c r="C16" i="77"/>
  <c r="F43" i="77"/>
  <c r="C17" i="77"/>
  <c r="C18" i="77"/>
  <c r="C19" i="77"/>
  <c r="C20" i="77"/>
  <c r="D5" i="73"/>
  <c r="G1" i="73"/>
  <c r="B40" i="1"/>
  <c r="F24" i="77"/>
  <c r="C23" i="77"/>
  <c r="F26" i="77"/>
  <c r="C26" i="77"/>
  <c r="C24" i="77"/>
  <c r="C27" i="77"/>
  <c r="C29" i="77"/>
  <c r="F36" i="77"/>
  <c r="C36" i="77"/>
  <c r="F13" i="77"/>
  <c r="C13" i="77"/>
  <c r="F37" i="77"/>
  <c r="C37" i="77"/>
  <c r="F38" i="77"/>
  <c r="C38" i="77"/>
  <c r="C30" i="77"/>
  <c r="C39" i="77"/>
  <c r="F42" i="77"/>
  <c r="F40" i="77"/>
  <c r="L48" i="77"/>
  <c r="J53" i="77"/>
  <c r="F1" i="77"/>
  <c r="AE6" i="1"/>
  <c r="F41" i="77"/>
  <c r="C40" i="77"/>
  <c r="M6" i="77"/>
  <c r="M8" i="77"/>
  <c r="M7" i="77"/>
  <c r="M9" i="77"/>
  <c r="J6" i="77"/>
  <c r="M11" i="77"/>
  <c r="J10" i="77"/>
  <c r="J5" i="77"/>
  <c r="J26" i="77"/>
  <c r="J29" i="77"/>
  <c r="J60" i="77"/>
  <c r="L46" i="77"/>
  <c r="B2" i="77"/>
  <c r="AO6" i="1"/>
  <c r="B6" i="70"/>
  <c r="F6" i="15"/>
  <c r="F8" i="15"/>
  <c r="F7" i="15"/>
  <c r="F9" i="15"/>
  <c r="C6" i="15"/>
  <c r="F11" i="15"/>
  <c r="C10" i="15"/>
  <c r="C5" i="15"/>
  <c r="C32" i="15"/>
  <c r="C33" i="15"/>
  <c r="R7"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AO7" i="1"/>
  <c r="B7" i="70"/>
  <c r="AO8" i="1"/>
  <c r="B8" i="70"/>
  <c r="AO9" i="1"/>
  <c r="B9" i="70"/>
  <c r="AO10" i="1"/>
  <c r="B10" i="70"/>
  <c r="AO11" i="1"/>
  <c r="B11" i="70"/>
  <c r="AO12" i="1"/>
  <c r="B12" i="70"/>
  <c r="AO13" i="1"/>
  <c r="B13" i="70"/>
  <c r="B2" i="70"/>
  <c r="C19" i="9"/>
  <c r="B8" i="82"/>
  <c r="B9" i="82"/>
  <c r="B10" i="82"/>
  <c r="B11" i="82"/>
  <c r="B12" i="82"/>
  <c r="B13" i="82"/>
  <c r="B2" i="82"/>
  <c r="D19" i="9"/>
  <c r="G19" i="9"/>
  <c r="C32" i="9"/>
  <c r="D9" i="68"/>
  <c r="D10" i="68"/>
  <c r="D19" i="68"/>
  <c r="C19" i="68"/>
  <c r="C20" i="68"/>
  <c r="F22" i="68"/>
  <c r="C23" i="68"/>
  <c r="C24" i="68"/>
  <c r="C25" i="68"/>
  <c r="C22" i="68"/>
  <c r="F27" i="68"/>
  <c r="C28" i="68"/>
  <c r="C27" i="68"/>
  <c r="C26" i="68"/>
  <c r="D22" i="68"/>
  <c r="C29" i="68"/>
  <c r="D27" i="68"/>
  <c r="C31" i="68"/>
  <c r="F34" i="68"/>
  <c r="C34" i="68"/>
  <c r="C35" i="68"/>
  <c r="C36" i="68"/>
  <c r="D37" i="68"/>
  <c r="C37" i="68"/>
  <c r="C38" i="68"/>
  <c r="C33" i="68"/>
  <c r="C39" i="68"/>
  <c r="C42" i="68"/>
  <c r="C43" i="68"/>
  <c r="C41" i="68"/>
  <c r="C46" i="68"/>
  <c r="C45" i="68"/>
  <c r="C44" i="68"/>
  <c r="D41" i="68"/>
  <c r="C47" i="68"/>
  <c r="D45" i="68"/>
  <c r="C49" i="68"/>
  <c r="C51" i="68"/>
  <c r="C52" i="68"/>
  <c r="B2" i="68"/>
  <c r="B3" i="68"/>
  <c r="C57" i="68"/>
  <c r="D35" i="9"/>
  <c r="C35" i="9"/>
  <c r="F118" i="9"/>
  <c r="F119" i="9"/>
  <c r="F5" i="52"/>
  <c r="G118" i="9"/>
  <c r="G4" i="52"/>
  <c r="F4" i="52"/>
  <c r="C34" i="9"/>
  <c r="D118" i="9"/>
  <c r="D119" i="9"/>
  <c r="D5" i="52"/>
  <c r="H118" i="9"/>
  <c r="I118" i="9"/>
  <c r="E118" i="9"/>
  <c r="E4" i="52"/>
  <c r="D4" i="52"/>
  <c r="H101" i="9"/>
  <c r="H107" i="9"/>
  <c r="D13" i="53"/>
  <c r="D14" i="53"/>
  <c r="H108" i="9"/>
  <c r="D15" i="53"/>
  <c r="D5" i="53"/>
  <c r="D6" i="53"/>
  <c r="H102" i="9"/>
  <c r="D7" i="53"/>
  <c r="A13" i="51"/>
  <c r="A10" i="51"/>
  <c r="A7" i="51"/>
  <c r="K4" i="4"/>
  <c r="B46" i="48"/>
  <c r="B40" i="48"/>
  <c r="E31" i="80"/>
  <c r="R31" i="80"/>
  <c r="S31" i="80"/>
  <c r="E25" i="80"/>
  <c r="R25" i="80"/>
  <c r="S25" i="80"/>
  <c r="E26" i="80"/>
  <c r="R26" i="80"/>
  <c r="S26" i="80"/>
  <c r="E27" i="80"/>
  <c r="R27" i="80"/>
  <c r="S27" i="80"/>
  <c r="E28" i="80"/>
  <c r="R28" i="80"/>
  <c r="S28" i="80"/>
  <c r="E29" i="80"/>
  <c r="R29" i="80"/>
  <c r="S29" i="80"/>
  <c r="E30" i="80"/>
  <c r="R30" i="80"/>
  <c r="S30" i="80"/>
  <c r="E32" i="80"/>
  <c r="R32" i="80"/>
  <c r="S32" i="80"/>
  <c r="E33" i="80"/>
  <c r="R33" i="80"/>
  <c r="S33" i="80"/>
  <c r="E34" i="80"/>
  <c r="R34" i="80"/>
  <c r="S34" i="80"/>
  <c r="E35" i="80"/>
  <c r="R35" i="80"/>
  <c r="S35" i="80"/>
  <c r="E36" i="80"/>
  <c r="R36" i="80"/>
  <c r="S36" i="80"/>
  <c r="E37" i="80"/>
  <c r="R37" i="80"/>
  <c r="S37" i="80"/>
  <c r="E38" i="80"/>
  <c r="R38" i="80"/>
  <c r="S38" i="80"/>
  <c r="E39" i="80"/>
  <c r="R39" i="80"/>
  <c r="S39" i="80"/>
  <c r="E40" i="80"/>
  <c r="R40" i="80"/>
  <c r="S40" i="80"/>
  <c r="E41" i="80"/>
  <c r="R41" i="80"/>
  <c r="S41" i="80"/>
  <c r="E42" i="80"/>
  <c r="R42" i="80"/>
  <c r="S42" i="80"/>
  <c r="E43" i="80"/>
  <c r="R43" i="80"/>
  <c r="S43" i="80"/>
  <c r="E44" i="80"/>
  <c r="R44" i="80"/>
  <c r="S44" i="80"/>
  <c r="E45" i="80"/>
  <c r="R45" i="80"/>
  <c r="S45" i="80"/>
  <c r="E46" i="80"/>
  <c r="R46" i="80"/>
  <c r="S46" i="80"/>
  <c r="E47" i="80"/>
  <c r="R47" i="80"/>
  <c r="S47" i="80"/>
  <c r="E48" i="80"/>
  <c r="R48" i="80"/>
  <c r="S48" i="80"/>
  <c r="E49" i="80"/>
  <c r="R49" i="80"/>
  <c r="S49" i="80"/>
  <c r="E50" i="80"/>
  <c r="R50" i="80"/>
  <c r="S50" i="80"/>
  <c r="E51" i="80"/>
  <c r="R51" i="80"/>
  <c r="S51" i="80"/>
  <c r="E52" i="80"/>
  <c r="R52" i="80"/>
  <c r="S52" i="80"/>
  <c r="E53" i="80"/>
  <c r="R53" i="80"/>
  <c r="S53" i="80"/>
  <c r="E54" i="80"/>
  <c r="R54" i="80"/>
  <c r="S54" i="80"/>
  <c r="E55" i="80"/>
  <c r="R55" i="80"/>
  <c r="S55" i="80"/>
  <c r="E56" i="80"/>
  <c r="R56" i="80"/>
  <c r="S56" i="80"/>
  <c r="E57" i="80"/>
  <c r="R57" i="80"/>
  <c r="S57" i="80"/>
  <c r="E58" i="80"/>
  <c r="R58" i="80"/>
  <c r="S58" i="80"/>
  <c r="E59" i="80"/>
  <c r="R59" i="80"/>
  <c r="S59" i="80"/>
  <c r="E60" i="80"/>
  <c r="R60" i="80"/>
  <c r="S60" i="80"/>
  <c r="E61" i="80"/>
  <c r="R61" i="80"/>
  <c r="S61" i="80"/>
  <c r="R62" i="80"/>
  <c r="S62" i="80"/>
  <c r="R63" i="80"/>
  <c r="S63" i="80"/>
  <c r="R64" i="80"/>
  <c r="S64" i="80"/>
  <c r="R65" i="80"/>
  <c r="S65" i="80"/>
  <c r="R66" i="80"/>
  <c r="S66" i="80"/>
  <c r="R67" i="80"/>
  <c r="S67" i="80"/>
  <c r="R68" i="80"/>
  <c r="S68" i="80"/>
  <c r="R69" i="80"/>
  <c r="S69" i="80"/>
  <c r="R70" i="80"/>
  <c r="S70" i="80"/>
  <c r="R71" i="80"/>
  <c r="S71" i="80"/>
  <c r="R72" i="80"/>
  <c r="S72" i="80"/>
  <c r="R73" i="80"/>
  <c r="S73" i="80"/>
  <c r="R74" i="80"/>
  <c r="S74" i="80"/>
  <c r="R75" i="80"/>
  <c r="S75" i="80"/>
  <c r="R76" i="80"/>
  <c r="S76" i="80"/>
  <c r="R77" i="80"/>
  <c r="S77" i="80"/>
  <c r="R78" i="80"/>
  <c r="S78" i="80"/>
  <c r="R79" i="80"/>
  <c r="S79" i="80"/>
  <c r="R80" i="80"/>
  <c r="S80" i="80"/>
  <c r="R81" i="80"/>
  <c r="S81" i="80"/>
  <c r="R82" i="80"/>
  <c r="S82" i="80"/>
  <c r="R83" i="80"/>
  <c r="S83" i="80"/>
  <c r="R84" i="80"/>
  <c r="S84" i="80"/>
  <c r="R85" i="80"/>
  <c r="S85" i="80"/>
  <c r="R86" i="80"/>
  <c r="S86" i="80"/>
  <c r="R87" i="80"/>
  <c r="S87" i="80"/>
  <c r="R88" i="80"/>
  <c r="S88" i="80"/>
  <c r="R89" i="80"/>
  <c r="S89" i="80"/>
  <c r="R90" i="80"/>
  <c r="S90" i="80"/>
  <c r="R91" i="80"/>
  <c r="S91" i="80"/>
  <c r="R92" i="80"/>
  <c r="S92" i="80"/>
  <c r="R93" i="80"/>
  <c r="S93" i="80"/>
  <c r="R94" i="80"/>
  <c r="S94" i="80"/>
  <c r="R95" i="80"/>
  <c r="S95" i="80"/>
  <c r="R96" i="80"/>
  <c r="S96" i="80"/>
  <c r="R97" i="80"/>
  <c r="S97" i="80"/>
  <c r="R98" i="80"/>
  <c r="S98" i="80"/>
  <c r="R99" i="80"/>
  <c r="S99" i="80"/>
  <c r="R100" i="80"/>
  <c r="S100" i="80"/>
  <c r="R101" i="80"/>
  <c r="S101" i="80"/>
  <c r="R102" i="80"/>
  <c r="S102" i="80"/>
  <c r="R103" i="80"/>
  <c r="S103" i="80"/>
  <c r="R104" i="80"/>
  <c r="S104" i="80"/>
  <c r="R105" i="80"/>
  <c r="S105" i="80"/>
  <c r="R106" i="80"/>
  <c r="S106" i="80"/>
  <c r="R107" i="80"/>
  <c r="S107" i="80"/>
  <c r="R108" i="80"/>
  <c r="S108" i="80"/>
  <c r="R109" i="80"/>
  <c r="S109" i="80"/>
  <c r="R110" i="80"/>
  <c r="S110" i="80"/>
  <c r="R111" i="80"/>
  <c r="S111" i="80"/>
  <c r="R112" i="80"/>
  <c r="S112" i="80"/>
  <c r="R113" i="80"/>
  <c r="S113" i="80"/>
  <c r="R114" i="80"/>
  <c r="S114" i="80"/>
  <c r="R115" i="80"/>
  <c r="S115" i="80"/>
  <c r="R116" i="80"/>
  <c r="S116" i="80"/>
  <c r="R117" i="80"/>
  <c r="S117" i="80"/>
  <c r="R118" i="80"/>
  <c r="S118" i="80"/>
  <c r="R119" i="80"/>
  <c r="S119" i="80"/>
  <c r="R120" i="80"/>
  <c r="S120" i="80"/>
  <c r="R121" i="80"/>
  <c r="S121" i="80"/>
  <c r="R122" i="80"/>
  <c r="S122" i="80"/>
  <c r="R123" i="80"/>
  <c r="S123" i="80"/>
  <c r="R124" i="80"/>
  <c r="S124" i="80"/>
  <c r="R125" i="80"/>
  <c r="S125" i="80"/>
  <c r="R126" i="80"/>
  <c r="S126" i="80"/>
  <c r="R127" i="80"/>
  <c r="S127" i="80"/>
  <c r="R128" i="80"/>
  <c r="S128" i="80"/>
  <c r="R129" i="80"/>
  <c r="S129" i="80"/>
  <c r="R130" i="80"/>
  <c r="S130" i="80"/>
  <c r="R131" i="80"/>
  <c r="S131" i="80"/>
  <c r="R132" i="80"/>
  <c r="S132" i="80"/>
  <c r="R133" i="80"/>
  <c r="S133" i="80"/>
  <c r="R134" i="80"/>
  <c r="S134" i="80"/>
  <c r="R135" i="80"/>
  <c r="S135" i="80"/>
  <c r="R136" i="80"/>
  <c r="S136" i="80"/>
  <c r="R137" i="80"/>
  <c r="S137" i="80"/>
  <c r="R138" i="80"/>
  <c r="S138" i="80"/>
  <c r="R139" i="80"/>
  <c r="S139" i="80"/>
  <c r="R140" i="80"/>
  <c r="S140" i="80"/>
  <c r="R141" i="80"/>
  <c r="S141" i="80"/>
  <c r="R142" i="80"/>
  <c r="S142" i="80"/>
  <c r="R143" i="80"/>
  <c r="S143" i="80"/>
  <c r="R144" i="80"/>
  <c r="S144" i="80"/>
  <c r="R145" i="80"/>
  <c r="S145" i="80"/>
  <c r="R146" i="80"/>
  <c r="S146" i="80"/>
  <c r="R147" i="80"/>
  <c r="S147" i="80"/>
  <c r="R148" i="80"/>
  <c r="S148" i="80"/>
  <c r="R149" i="80"/>
  <c r="S149" i="80"/>
  <c r="R150" i="80"/>
  <c r="S150" i="80"/>
  <c r="R151" i="80"/>
  <c r="S151" i="80"/>
  <c r="R152" i="80"/>
  <c r="S152" i="80"/>
  <c r="R153" i="80"/>
  <c r="S153" i="80"/>
  <c r="R154" i="80"/>
  <c r="S154" i="80"/>
  <c r="R155" i="80"/>
  <c r="S155" i="80"/>
  <c r="R156" i="80"/>
  <c r="S156" i="80"/>
  <c r="R157" i="80"/>
  <c r="S157" i="80"/>
  <c r="R158" i="80"/>
  <c r="S158" i="80"/>
  <c r="R159" i="80"/>
  <c r="S159" i="80"/>
  <c r="R160" i="80"/>
  <c r="S160" i="80"/>
  <c r="R161" i="80"/>
  <c r="S161" i="80"/>
  <c r="R162" i="80"/>
  <c r="S162" i="80"/>
  <c r="R163" i="80"/>
  <c r="S163" i="80"/>
  <c r="R164" i="80"/>
  <c r="S164" i="80"/>
  <c r="R165" i="80"/>
  <c r="S165" i="80"/>
  <c r="R166" i="80"/>
  <c r="S166" i="80"/>
  <c r="R167" i="80"/>
  <c r="S167" i="80"/>
  <c r="R168" i="80"/>
  <c r="S168" i="80"/>
  <c r="R169" i="80"/>
  <c r="S169" i="80"/>
  <c r="R170" i="80"/>
  <c r="S170" i="80"/>
  <c r="R171" i="80"/>
  <c r="S171" i="80"/>
  <c r="R172" i="80"/>
  <c r="S172" i="80"/>
  <c r="R173" i="80"/>
  <c r="S173" i="80"/>
  <c r="R174" i="80"/>
  <c r="S174" i="80"/>
  <c r="R175" i="80"/>
  <c r="S175" i="80"/>
  <c r="R176" i="80"/>
  <c r="S176" i="80"/>
  <c r="R177" i="80"/>
  <c r="S177" i="80"/>
  <c r="R178" i="80"/>
  <c r="S178" i="80"/>
  <c r="R179" i="80"/>
  <c r="S179" i="80"/>
  <c r="R180" i="80"/>
  <c r="S180" i="80"/>
  <c r="R181" i="80"/>
  <c r="S181" i="80"/>
  <c r="R182" i="80"/>
  <c r="S182" i="80"/>
  <c r="R183" i="80"/>
  <c r="S183" i="80"/>
  <c r="R184" i="80"/>
  <c r="S184" i="80"/>
  <c r="R185" i="80"/>
  <c r="S185" i="80"/>
  <c r="R186" i="80"/>
  <c r="S186" i="80"/>
  <c r="R187" i="80"/>
  <c r="S187" i="80"/>
  <c r="R188" i="80"/>
  <c r="S188" i="80"/>
  <c r="R189" i="80"/>
  <c r="S189" i="80"/>
  <c r="R190" i="80"/>
  <c r="S190" i="80"/>
  <c r="R191" i="80"/>
  <c r="S191" i="80"/>
  <c r="R192" i="80"/>
  <c r="S192" i="80"/>
  <c r="R193" i="80"/>
  <c r="S193" i="80"/>
  <c r="R194" i="80"/>
  <c r="S194" i="80"/>
  <c r="R195" i="80"/>
  <c r="S195" i="80"/>
  <c r="R196" i="80"/>
  <c r="S196" i="80"/>
  <c r="R197" i="80"/>
  <c r="S197" i="80"/>
  <c r="R198" i="80"/>
  <c r="S198" i="80"/>
  <c r="R199" i="80"/>
  <c r="S199" i="80"/>
  <c r="R200" i="80"/>
  <c r="S200" i="80"/>
  <c r="R201" i="80"/>
  <c r="S201" i="80"/>
  <c r="R202" i="80"/>
  <c r="S202" i="80"/>
  <c r="R203" i="80"/>
  <c r="S203" i="80"/>
  <c r="R204" i="80"/>
  <c r="S204" i="80"/>
  <c r="R205" i="80"/>
  <c r="S205" i="80"/>
  <c r="R206" i="80"/>
  <c r="S206" i="80"/>
  <c r="R207" i="80"/>
  <c r="S207" i="80"/>
  <c r="R208" i="80"/>
  <c r="S208" i="80"/>
  <c r="R209" i="80"/>
  <c r="S209" i="80"/>
  <c r="R210" i="80"/>
  <c r="S210" i="80"/>
  <c r="R211" i="80"/>
  <c r="S211" i="80"/>
  <c r="R212" i="80"/>
  <c r="S212" i="80"/>
  <c r="R213" i="80"/>
  <c r="S213" i="80"/>
  <c r="R214" i="80"/>
  <c r="S214" i="80"/>
  <c r="R215" i="80"/>
  <c r="S215" i="80"/>
  <c r="R216" i="80"/>
  <c r="S216" i="80"/>
  <c r="R217" i="80"/>
  <c r="S217" i="80"/>
  <c r="R218" i="80"/>
  <c r="S218" i="80"/>
  <c r="R219" i="80"/>
  <c r="S219" i="80"/>
  <c r="R220" i="80"/>
  <c r="S220" i="80"/>
  <c r="R221" i="80"/>
  <c r="S221" i="80"/>
  <c r="R222" i="80"/>
  <c r="S222" i="80"/>
  <c r="R223" i="80"/>
  <c r="S223" i="80"/>
  <c r="R224" i="80"/>
  <c r="S224" i="80"/>
  <c r="R225" i="80"/>
  <c r="S225" i="80"/>
  <c r="R226" i="80"/>
  <c r="S226" i="80"/>
  <c r="R227" i="80"/>
  <c r="S227" i="80"/>
  <c r="R228" i="80"/>
  <c r="S228" i="80"/>
  <c r="R229" i="80"/>
  <c r="S229" i="80"/>
  <c r="R230" i="80"/>
  <c r="S230" i="80"/>
  <c r="R231" i="80"/>
  <c r="S231" i="80"/>
  <c r="R232" i="80"/>
  <c r="S232" i="80"/>
  <c r="R233" i="80"/>
  <c r="S233" i="80"/>
  <c r="R234" i="80"/>
  <c r="S234" i="80"/>
  <c r="R235" i="80"/>
  <c r="S235" i="80"/>
  <c r="R236" i="80"/>
  <c r="S236" i="80"/>
  <c r="R237" i="80"/>
  <c r="S237" i="80"/>
  <c r="R238" i="80"/>
  <c r="S238" i="80"/>
  <c r="R239" i="80"/>
  <c r="S239" i="80"/>
  <c r="R240" i="80"/>
  <c r="S240" i="80"/>
  <c r="R241" i="80"/>
  <c r="S241" i="80"/>
  <c r="R242" i="80"/>
  <c r="S242" i="80"/>
  <c r="R243" i="80"/>
  <c r="S243" i="80"/>
  <c r="R244" i="80"/>
  <c r="S244" i="80"/>
  <c r="R245" i="80"/>
  <c r="S245" i="80"/>
  <c r="R246" i="80"/>
  <c r="S246" i="80"/>
  <c r="R247" i="80"/>
  <c r="S247" i="80"/>
  <c r="R248" i="80"/>
  <c r="S248" i="80"/>
  <c r="R249" i="80"/>
  <c r="S249" i="80"/>
  <c r="R250" i="80"/>
  <c r="S250" i="80"/>
  <c r="R251" i="80"/>
  <c r="S251" i="80"/>
  <c r="R252" i="80"/>
  <c r="S252" i="80"/>
  <c r="R253" i="80"/>
  <c r="S253" i="80"/>
  <c r="R254" i="80"/>
  <c r="S254" i="80"/>
  <c r="R255" i="80"/>
  <c r="S255" i="80"/>
  <c r="R256" i="80"/>
  <c r="S256" i="80"/>
  <c r="R257" i="80"/>
  <c r="S257" i="80"/>
  <c r="R258" i="80"/>
  <c r="S258" i="80"/>
  <c r="R259" i="80"/>
  <c r="S259" i="80"/>
  <c r="R260" i="80"/>
  <c r="S260" i="80"/>
  <c r="R261" i="80"/>
  <c r="S261" i="80"/>
  <c r="R262" i="80"/>
  <c r="S262" i="80"/>
  <c r="R263" i="80"/>
  <c r="S263" i="80"/>
  <c r="R264" i="80"/>
  <c r="S264" i="80"/>
  <c r="R265" i="80"/>
  <c r="S265" i="80"/>
  <c r="R266" i="80"/>
  <c r="S266" i="80"/>
  <c r="R267" i="80"/>
  <c r="S267" i="80"/>
  <c r="R268" i="80"/>
  <c r="S268" i="80"/>
  <c r="R269" i="80"/>
  <c r="S269" i="80"/>
  <c r="R270" i="80"/>
  <c r="S270" i="80"/>
  <c r="R271" i="80"/>
  <c r="S271" i="80"/>
  <c r="R272" i="80"/>
  <c r="S272" i="80"/>
  <c r="R273" i="80"/>
  <c r="S273" i="80"/>
  <c r="R274" i="80"/>
  <c r="S274" i="80"/>
  <c r="R275" i="80"/>
  <c r="S275" i="80"/>
  <c r="R276" i="80"/>
  <c r="S276" i="80"/>
  <c r="R277" i="80"/>
  <c r="S277" i="80"/>
  <c r="R278" i="80"/>
  <c r="S278" i="80"/>
  <c r="R279" i="80"/>
  <c r="S279" i="80"/>
  <c r="R280" i="80"/>
  <c r="S280" i="80"/>
  <c r="R281" i="80"/>
  <c r="S281" i="80"/>
  <c r="R282" i="80"/>
  <c r="S282" i="80"/>
  <c r="R283" i="80"/>
  <c r="S283" i="80"/>
  <c r="R284" i="80"/>
  <c r="S284" i="80"/>
  <c r="R285" i="80"/>
  <c r="S285" i="80"/>
  <c r="R286" i="80"/>
  <c r="S286" i="80"/>
  <c r="R287" i="80"/>
  <c r="S287" i="80"/>
  <c r="R288" i="80"/>
  <c r="S288" i="80"/>
  <c r="R289" i="80"/>
  <c r="S289" i="80"/>
  <c r="R290" i="80"/>
  <c r="S290" i="80"/>
  <c r="R291" i="80"/>
  <c r="S291" i="80"/>
  <c r="R292" i="80"/>
  <c r="S292" i="80"/>
  <c r="R293" i="80"/>
  <c r="S293" i="80"/>
  <c r="R294" i="80"/>
  <c r="S294" i="80"/>
  <c r="R295" i="80"/>
  <c r="S295" i="80"/>
  <c r="R296" i="80"/>
  <c r="S296" i="80"/>
  <c r="R297" i="80"/>
  <c r="S297" i="80"/>
  <c r="R298" i="80"/>
  <c r="S298" i="80"/>
  <c r="R299" i="80"/>
  <c r="S299" i="80"/>
  <c r="R300" i="80"/>
  <c r="S300" i="80"/>
  <c r="R301" i="80"/>
  <c r="S301" i="80"/>
  <c r="R302" i="80"/>
  <c r="S302" i="80"/>
  <c r="R303" i="80"/>
  <c r="S303" i="80"/>
  <c r="R304" i="80"/>
  <c r="S304" i="80"/>
  <c r="R305" i="80"/>
  <c r="S305" i="80"/>
  <c r="R306" i="80"/>
  <c r="S306" i="80"/>
  <c r="R307" i="80"/>
  <c r="S307" i="80"/>
  <c r="R308" i="80"/>
  <c r="S308" i="80"/>
  <c r="R309" i="80"/>
  <c r="S309" i="80"/>
  <c r="R310" i="80"/>
  <c r="S310" i="80"/>
  <c r="R311" i="80"/>
  <c r="S311" i="80"/>
  <c r="R312" i="80"/>
  <c r="S312" i="80"/>
  <c r="R313" i="80"/>
  <c r="S313" i="80"/>
  <c r="R314" i="80"/>
  <c r="S314" i="80"/>
  <c r="R315" i="80"/>
  <c r="S315" i="80"/>
  <c r="R316" i="80"/>
  <c r="S316" i="80"/>
  <c r="R317" i="80"/>
  <c r="S317" i="80"/>
  <c r="R318" i="80"/>
  <c r="S318" i="80"/>
  <c r="R319" i="80"/>
  <c r="S319" i="80"/>
  <c r="R320" i="80"/>
  <c r="S320" i="80"/>
  <c r="R321" i="80"/>
  <c r="S321" i="80"/>
  <c r="R322" i="80"/>
  <c r="S322" i="80"/>
  <c r="R323" i="80"/>
  <c r="S323" i="80"/>
  <c r="R324" i="80"/>
  <c r="S324" i="80"/>
  <c r="R325" i="80"/>
  <c r="S325" i="80"/>
  <c r="R326" i="80"/>
  <c r="S326" i="80"/>
  <c r="R327" i="80"/>
  <c r="S327" i="80"/>
  <c r="R328" i="80"/>
  <c r="S328" i="80"/>
  <c r="R329" i="80"/>
  <c r="S329" i="80"/>
  <c r="R330" i="80"/>
  <c r="S330" i="80"/>
  <c r="R331" i="80"/>
  <c r="S331" i="80"/>
  <c r="R332" i="80"/>
  <c r="S332" i="80"/>
  <c r="R333" i="80"/>
  <c r="S333" i="80"/>
  <c r="R334" i="80"/>
  <c r="S334" i="80"/>
  <c r="R335" i="80"/>
  <c r="S335" i="80"/>
  <c r="R336" i="80"/>
  <c r="S336" i="80"/>
  <c r="R337" i="80"/>
  <c r="S337" i="80"/>
  <c r="R338" i="80"/>
  <c r="S338" i="80"/>
  <c r="R339" i="80"/>
  <c r="S339" i="80"/>
  <c r="R340" i="80"/>
  <c r="S340" i="80"/>
  <c r="R341" i="80"/>
  <c r="S341" i="80"/>
  <c r="R342" i="80"/>
  <c r="S342" i="80"/>
  <c r="R343" i="80"/>
  <c r="S343" i="80"/>
  <c r="R344" i="80"/>
  <c r="S344" i="80"/>
  <c r="R345" i="80"/>
  <c r="S345" i="80"/>
  <c r="R346" i="80"/>
  <c r="S346" i="80"/>
  <c r="R347" i="80"/>
  <c r="S347" i="80"/>
  <c r="R348" i="80"/>
  <c r="S348" i="80"/>
  <c r="R349" i="80"/>
  <c r="S349" i="80"/>
  <c r="R350" i="80"/>
  <c r="S350" i="80"/>
  <c r="R351" i="80"/>
  <c r="S351" i="80"/>
  <c r="R352" i="80"/>
  <c r="S352" i="80"/>
  <c r="R353" i="80"/>
  <c r="S353" i="80"/>
  <c r="R354" i="80"/>
  <c r="S354" i="80"/>
  <c r="R355" i="80"/>
  <c r="S355" i="80"/>
  <c r="R356" i="80"/>
  <c r="S356" i="80"/>
  <c r="R357" i="80"/>
  <c r="S357" i="80"/>
  <c r="R358" i="80"/>
  <c r="S358" i="80"/>
  <c r="R359" i="80"/>
  <c r="S359" i="80"/>
  <c r="R360" i="80"/>
  <c r="S360" i="80"/>
  <c r="R361" i="80"/>
  <c r="S361" i="80"/>
  <c r="R362" i="80"/>
  <c r="S362" i="80"/>
  <c r="R363" i="80"/>
  <c r="S363" i="80"/>
  <c r="R364" i="80"/>
  <c r="S364" i="80"/>
  <c r="R365" i="80"/>
  <c r="S365" i="80"/>
  <c r="R366" i="80"/>
  <c r="S366" i="80"/>
  <c r="R367" i="80"/>
  <c r="S367" i="80"/>
  <c r="R368" i="80"/>
  <c r="S368" i="80"/>
  <c r="R369" i="80"/>
  <c r="S369" i="80"/>
  <c r="R370" i="80"/>
  <c r="S370" i="80"/>
  <c r="R371" i="80"/>
  <c r="S371" i="80"/>
  <c r="R372" i="80"/>
  <c r="S372" i="80"/>
  <c r="R373" i="80"/>
  <c r="S373" i="80"/>
  <c r="R374" i="80"/>
  <c r="S374" i="80"/>
  <c r="R375" i="80"/>
  <c r="S375" i="80"/>
  <c r="R376" i="80"/>
  <c r="S376" i="80"/>
  <c r="R377" i="80"/>
  <c r="S377" i="80"/>
  <c r="R378" i="80"/>
  <c r="S378" i="80"/>
  <c r="R379" i="80"/>
  <c r="S379" i="80"/>
  <c r="R380" i="80"/>
  <c r="S380" i="80"/>
  <c r="R381" i="80"/>
  <c r="S381" i="80"/>
  <c r="R382" i="80"/>
  <c r="S382" i="80"/>
  <c r="R383" i="80"/>
  <c r="S383" i="80"/>
  <c r="R384" i="80"/>
  <c r="S384" i="80"/>
  <c r="R385" i="80"/>
  <c r="S385" i="80"/>
  <c r="R386" i="80"/>
  <c r="S386" i="80"/>
  <c r="R387" i="80"/>
  <c r="S387" i="80"/>
  <c r="R388" i="80"/>
  <c r="S388" i="80"/>
  <c r="R389" i="80"/>
  <c r="S389" i="80"/>
  <c r="R390" i="80"/>
  <c r="S390" i="80"/>
  <c r="R391" i="80"/>
  <c r="S391" i="80"/>
  <c r="R392" i="80"/>
  <c r="S392" i="80"/>
  <c r="R393" i="80"/>
  <c r="S393" i="80"/>
  <c r="R394" i="80"/>
  <c r="S394" i="80"/>
  <c r="R395" i="80"/>
  <c r="S395" i="80"/>
  <c r="R396" i="80"/>
  <c r="S396" i="80"/>
  <c r="R397" i="80"/>
  <c r="S397" i="80"/>
  <c r="R398" i="80"/>
  <c r="S398" i="80"/>
  <c r="R399" i="80"/>
  <c r="S399" i="80"/>
  <c r="R400" i="80"/>
  <c r="S400" i="80"/>
  <c r="R401" i="80"/>
  <c r="S401" i="80"/>
  <c r="R402" i="80"/>
  <c r="S402" i="80"/>
  <c r="R403" i="80"/>
  <c r="S403" i="80"/>
  <c r="R404" i="80"/>
  <c r="S404" i="80"/>
  <c r="R405" i="80"/>
  <c r="S405" i="80"/>
  <c r="R406" i="80"/>
  <c r="S406" i="80"/>
  <c r="R407" i="80"/>
  <c r="S407" i="80"/>
  <c r="R408" i="80"/>
  <c r="S408" i="80"/>
  <c r="R409" i="80"/>
  <c r="S409" i="80"/>
  <c r="R410" i="80"/>
  <c r="S410" i="80"/>
  <c r="R411" i="80"/>
  <c r="S411" i="80"/>
  <c r="R412" i="80"/>
  <c r="S412" i="80"/>
  <c r="R413" i="80"/>
  <c r="S413" i="80"/>
  <c r="R414" i="80"/>
  <c r="S414" i="80"/>
  <c r="R415" i="80"/>
  <c r="S415" i="80"/>
  <c r="R416" i="80"/>
  <c r="S416" i="80"/>
  <c r="R417" i="80"/>
  <c r="S417" i="80"/>
  <c r="R418" i="80"/>
  <c r="S418" i="80"/>
  <c r="R419" i="80"/>
  <c r="S419" i="80"/>
  <c r="R420" i="80"/>
  <c r="S420" i="80"/>
  <c r="R421" i="80"/>
  <c r="S421" i="80"/>
  <c r="R422" i="80"/>
  <c r="S422" i="80"/>
  <c r="R423" i="80"/>
  <c r="S423" i="80"/>
  <c r="R424" i="80"/>
  <c r="S424" i="80"/>
  <c r="R425" i="80"/>
  <c r="S425" i="80"/>
  <c r="R426" i="80"/>
  <c r="S426" i="80"/>
  <c r="R427" i="80"/>
  <c r="S427" i="80"/>
  <c r="R428" i="80"/>
  <c r="S428" i="80"/>
  <c r="R429" i="80"/>
  <c r="S429" i="80"/>
  <c r="R430" i="80"/>
  <c r="S430" i="80"/>
  <c r="R431" i="80"/>
  <c r="S431" i="80"/>
  <c r="R432" i="80"/>
  <c r="S432" i="80"/>
  <c r="R433" i="80"/>
  <c r="S433" i="80"/>
  <c r="R434" i="80"/>
  <c r="S434" i="80"/>
  <c r="R435" i="80"/>
  <c r="S435" i="80"/>
  <c r="R436" i="80"/>
  <c r="S436" i="80"/>
  <c r="R437" i="80"/>
  <c r="S437" i="80"/>
  <c r="R438" i="80"/>
  <c r="S438" i="80"/>
  <c r="R439" i="80"/>
  <c r="S439" i="80"/>
  <c r="R440" i="80"/>
  <c r="S440" i="80"/>
  <c r="R441" i="80"/>
  <c r="S441" i="80"/>
  <c r="R442" i="80"/>
  <c r="S442" i="80"/>
  <c r="R443" i="80"/>
  <c r="S443" i="80"/>
  <c r="R444" i="80"/>
  <c r="S444" i="80"/>
  <c r="R445" i="80"/>
  <c r="S445" i="80"/>
  <c r="R446" i="80"/>
  <c r="S446" i="80"/>
  <c r="R447" i="80"/>
  <c r="S447" i="80"/>
  <c r="R448" i="80"/>
  <c r="S448" i="80"/>
  <c r="R449" i="80"/>
  <c r="S449" i="80"/>
  <c r="R450" i="80"/>
  <c r="S450" i="80"/>
  <c r="R451" i="80"/>
  <c r="S451" i="80"/>
  <c r="R452" i="80"/>
  <c r="S452" i="80"/>
  <c r="R453" i="80"/>
  <c r="S453" i="80"/>
  <c r="R454" i="80"/>
  <c r="S454" i="80"/>
  <c r="R455" i="80"/>
  <c r="S455" i="80"/>
  <c r="R456" i="80"/>
  <c r="S456" i="80"/>
  <c r="R457" i="80"/>
  <c r="S457" i="80"/>
  <c r="R458" i="80"/>
  <c r="S458" i="80"/>
  <c r="R459" i="80"/>
  <c r="S459" i="80"/>
  <c r="R460" i="80"/>
  <c r="S460" i="80"/>
  <c r="R461" i="80"/>
  <c r="S461" i="80"/>
  <c r="R462" i="80"/>
  <c r="S462" i="80"/>
  <c r="R463" i="80"/>
  <c r="S463" i="80"/>
  <c r="R464" i="80"/>
  <c r="S464" i="80"/>
  <c r="R465" i="80"/>
  <c r="S465" i="80"/>
  <c r="R466" i="80"/>
  <c r="S466" i="80"/>
  <c r="R467" i="80"/>
  <c r="S467" i="80"/>
  <c r="R468" i="80"/>
  <c r="S468" i="80"/>
  <c r="R469" i="80"/>
  <c r="S469" i="80"/>
  <c r="R470" i="80"/>
  <c r="S470" i="80"/>
  <c r="R471" i="80"/>
  <c r="S471" i="80"/>
  <c r="R472" i="80"/>
  <c r="S472" i="80"/>
  <c r="R473" i="80"/>
  <c r="S473" i="80"/>
  <c r="R474" i="80"/>
  <c r="S474" i="80"/>
  <c r="R475" i="80"/>
  <c r="S475" i="80"/>
  <c r="R476" i="80"/>
  <c r="S476" i="80"/>
  <c r="R477" i="80"/>
  <c r="S477" i="80"/>
  <c r="R478" i="80"/>
  <c r="S478" i="80"/>
  <c r="R479" i="80"/>
  <c r="S479" i="80"/>
  <c r="R480" i="80"/>
  <c r="S480" i="80"/>
  <c r="R481" i="80"/>
  <c r="S481" i="80"/>
  <c r="R482" i="80"/>
  <c r="S482" i="80"/>
  <c r="R483" i="80"/>
  <c r="S483" i="80"/>
  <c r="R484" i="80"/>
  <c r="S484" i="80"/>
  <c r="R485" i="80"/>
  <c r="S485" i="80"/>
  <c r="R486" i="80"/>
  <c r="S486" i="80"/>
  <c r="R487" i="80"/>
  <c r="S487" i="80"/>
  <c r="R488" i="80"/>
  <c r="S488" i="80"/>
  <c r="R489" i="80"/>
  <c r="S489" i="80"/>
  <c r="R490" i="80"/>
  <c r="S490" i="80"/>
  <c r="R491" i="80"/>
  <c r="S491" i="80"/>
  <c r="R492" i="80"/>
  <c r="S492" i="80"/>
  <c r="R493" i="80"/>
  <c r="S493" i="80"/>
  <c r="R494" i="80"/>
  <c r="S494" i="80"/>
  <c r="R495" i="80"/>
  <c r="S495" i="80"/>
  <c r="R496" i="80"/>
  <c r="S496" i="80"/>
  <c r="R497" i="80"/>
  <c r="S497" i="80"/>
  <c r="R498" i="80"/>
  <c r="S498" i="80"/>
  <c r="R499" i="80"/>
  <c r="S499" i="80"/>
  <c r="R500" i="80"/>
  <c r="S500" i="80"/>
  <c r="R501" i="80"/>
  <c r="S501" i="80"/>
  <c r="R502" i="80"/>
  <c r="S502" i="80"/>
  <c r="R503" i="80"/>
  <c r="S503" i="80"/>
  <c r="R504" i="80"/>
  <c r="S504" i="80"/>
  <c r="R505" i="80"/>
  <c r="S505" i="80"/>
  <c r="R506" i="80"/>
  <c r="S506" i="80"/>
  <c r="R507" i="80"/>
  <c r="S507" i="80"/>
  <c r="R508" i="80"/>
  <c r="S508" i="80"/>
  <c r="R509" i="80"/>
  <c r="S509" i="80"/>
  <c r="R510" i="80"/>
  <c r="S510" i="80"/>
  <c r="R511" i="80"/>
  <c r="S511" i="80"/>
  <c r="R512" i="80"/>
  <c r="S512" i="80"/>
  <c r="R513" i="80"/>
  <c r="S513" i="80"/>
  <c r="R514" i="80"/>
  <c r="S514" i="80"/>
  <c r="R515" i="80"/>
  <c r="S515" i="80"/>
  <c r="R516" i="80"/>
  <c r="S516" i="80"/>
  <c r="R517" i="80"/>
  <c r="S517" i="80"/>
  <c r="R518" i="80"/>
  <c r="S518" i="80"/>
  <c r="R519" i="80"/>
  <c r="S519" i="80"/>
  <c r="R520" i="80"/>
  <c r="S520" i="80"/>
  <c r="R521" i="80"/>
  <c r="S521" i="80"/>
  <c r="R522" i="80"/>
  <c r="S522" i="80"/>
  <c r="R523" i="80"/>
  <c r="S523" i="80"/>
  <c r="R524" i="80"/>
  <c r="S524" i="80"/>
  <c r="S22" i="80"/>
  <c r="B20" i="80"/>
  <c r="B7" i="82"/>
  <c r="B6" i="82"/>
  <c r="A13" i="82"/>
  <c r="E13" i="82"/>
  <c r="A12" i="82"/>
  <c r="E12" i="82"/>
  <c r="A11" i="82"/>
  <c r="E11" i="82"/>
  <c r="A10" i="82"/>
  <c r="E10" i="82"/>
  <c r="A9" i="82"/>
  <c r="E9" i="82"/>
  <c r="A8" i="82"/>
  <c r="E8" i="82"/>
  <c r="E7" i="82"/>
  <c r="E6" i="82"/>
  <c r="E2" i="82"/>
  <c r="B3" i="82"/>
  <c r="B25" i="80"/>
  <c r="B26" i="80"/>
  <c r="B27" i="80"/>
  <c r="B28" i="80"/>
  <c r="B29" i="80"/>
  <c r="B30" i="80"/>
  <c r="B31" i="80"/>
  <c r="B32" i="80"/>
  <c r="B33" i="80"/>
  <c r="B34" i="80"/>
  <c r="B35" i="80"/>
  <c r="B36" i="80"/>
  <c r="B37" i="80"/>
  <c r="B38" i="80"/>
  <c r="B39" i="80"/>
  <c r="B40" i="80"/>
  <c r="B41" i="80"/>
  <c r="B42" i="80"/>
  <c r="B43" i="80"/>
  <c r="B44" i="80"/>
  <c r="B45" i="80"/>
  <c r="B46" i="80"/>
  <c r="B47" i="80"/>
  <c r="B48" i="80"/>
  <c r="B49" i="80"/>
  <c r="B50" i="80"/>
  <c r="B51" i="80"/>
  <c r="B52" i="80"/>
  <c r="B53" i="80"/>
  <c r="B54" i="80"/>
  <c r="B55" i="80"/>
  <c r="B56" i="80"/>
  <c r="B57" i="80"/>
  <c r="B58" i="80"/>
  <c r="B59" i="80"/>
  <c r="B60" i="80"/>
  <c r="B61" i="80"/>
  <c r="A61" i="80"/>
  <c r="A55" i="80"/>
  <c r="A56" i="80"/>
  <c r="A57" i="80"/>
  <c r="A58" i="80"/>
  <c r="A59" i="80"/>
  <c r="A60" i="80"/>
  <c r="A25" i="80"/>
  <c r="A26" i="80"/>
  <c r="A27" i="80"/>
  <c r="A28" i="80"/>
  <c r="A29" i="80"/>
  <c r="A30" i="80"/>
  <c r="A31" i="80"/>
  <c r="A32" i="80"/>
  <c r="A33" i="80"/>
  <c r="A34" i="80"/>
  <c r="A35" i="80"/>
  <c r="A36" i="80"/>
  <c r="A37" i="80"/>
  <c r="A38" i="80"/>
  <c r="A39" i="80"/>
  <c r="A40" i="80"/>
  <c r="A41" i="80"/>
  <c r="A42" i="80"/>
  <c r="A43" i="80"/>
  <c r="A44" i="80"/>
  <c r="A45" i="80"/>
  <c r="A46" i="80"/>
  <c r="A47" i="80"/>
  <c r="A48" i="80"/>
  <c r="A49" i="80"/>
  <c r="A50" i="80"/>
  <c r="A51" i="80"/>
  <c r="A52" i="80"/>
  <c r="A53" i="80"/>
  <c r="A54" i="80"/>
  <c r="A24" i="80"/>
  <c r="B24" i="80"/>
  <c r="T11" i="80"/>
  <c r="T7" i="80"/>
  <c r="T5" i="80"/>
  <c r="R24" i="80"/>
  <c r="Q524" i="80"/>
  <c r="O524" i="80"/>
  <c r="M524" i="80"/>
  <c r="K524" i="80"/>
  <c r="I524" i="80"/>
  <c r="G524" i="80"/>
  <c r="E524" i="80"/>
  <c r="C524" i="80"/>
  <c r="Q523" i="80"/>
  <c r="O523" i="80"/>
  <c r="M523" i="80"/>
  <c r="K523" i="80"/>
  <c r="I523" i="80"/>
  <c r="G523" i="80"/>
  <c r="E523" i="80"/>
  <c r="C523" i="80"/>
  <c r="Q522" i="80"/>
  <c r="O522" i="80"/>
  <c r="M522" i="80"/>
  <c r="K522" i="80"/>
  <c r="I522" i="80"/>
  <c r="G522" i="80"/>
  <c r="E522" i="80"/>
  <c r="C522" i="80"/>
  <c r="Q521" i="80"/>
  <c r="O521" i="80"/>
  <c r="M521" i="80"/>
  <c r="K521" i="80"/>
  <c r="I521" i="80"/>
  <c r="G521" i="80"/>
  <c r="E521" i="80"/>
  <c r="C521" i="80"/>
  <c r="Q520" i="80"/>
  <c r="O520" i="80"/>
  <c r="M520" i="80"/>
  <c r="K520" i="80"/>
  <c r="I520" i="80"/>
  <c r="G520" i="80"/>
  <c r="E520" i="80"/>
  <c r="C520" i="80"/>
  <c r="Q519" i="80"/>
  <c r="O519" i="80"/>
  <c r="M519" i="80"/>
  <c r="K519" i="80"/>
  <c r="I519" i="80"/>
  <c r="G519" i="80"/>
  <c r="E519" i="80"/>
  <c r="C519" i="80"/>
  <c r="Q518" i="80"/>
  <c r="O518" i="80"/>
  <c r="M518" i="80"/>
  <c r="K518" i="80"/>
  <c r="I518" i="80"/>
  <c r="G518" i="80"/>
  <c r="E518" i="80"/>
  <c r="C518" i="80"/>
  <c r="Q517" i="80"/>
  <c r="O517" i="80"/>
  <c r="M517" i="80"/>
  <c r="K517" i="80"/>
  <c r="I517" i="80"/>
  <c r="G517" i="80"/>
  <c r="E517" i="80"/>
  <c r="C517" i="80"/>
  <c r="Q516" i="80"/>
  <c r="O516" i="80"/>
  <c r="M516" i="80"/>
  <c r="K516" i="80"/>
  <c r="I516" i="80"/>
  <c r="G516" i="80"/>
  <c r="E516" i="80"/>
  <c r="C516" i="80"/>
  <c r="Q515" i="80"/>
  <c r="O515" i="80"/>
  <c r="M515" i="80"/>
  <c r="K515" i="80"/>
  <c r="I515" i="80"/>
  <c r="G515" i="80"/>
  <c r="E515" i="80"/>
  <c r="C515" i="80"/>
  <c r="Q514" i="80"/>
  <c r="O514" i="80"/>
  <c r="M514" i="80"/>
  <c r="K514" i="80"/>
  <c r="I514" i="80"/>
  <c r="G514" i="80"/>
  <c r="E514" i="80"/>
  <c r="C514" i="80"/>
  <c r="Q513" i="80"/>
  <c r="O513" i="80"/>
  <c r="M513" i="80"/>
  <c r="K513" i="80"/>
  <c r="I513" i="80"/>
  <c r="G513" i="80"/>
  <c r="E513" i="80"/>
  <c r="C513" i="80"/>
  <c r="Q512" i="80"/>
  <c r="O512" i="80"/>
  <c r="M512" i="80"/>
  <c r="K512" i="80"/>
  <c r="I512" i="80"/>
  <c r="G512" i="80"/>
  <c r="E512" i="80"/>
  <c r="C512" i="80"/>
  <c r="Q511" i="80"/>
  <c r="O511" i="80"/>
  <c r="M511" i="80"/>
  <c r="K511" i="80"/>
  <c r="I511" i="80"/>
  <c r="G511" i="80"/>
  <c r="E511" i="80"/>
  <c r="C511" i="80"/>
  <c r="Q510" i="80"/>
  <c r="O510" i="80"/>
  <c r="M510" i="80"/>
  <c r="K510" i="80"/>
  <c r="I510" i="80"/>
  <c r="G510" i="80"/>
  <c r="E510" i="80"/>
  <c r="C510" i="80"/>
  <c r="Q509" i="80"/>
  <c r="O509" i="80"/>
  <c r="M509" i="80"/>
  <c r="K509" i="80"/>
  <c r="I509" i="80"/>
  <c r="G509" i="80"/>
  <c r="E509" i="80"/>
  <c r="C509" i="80"/>
  <c r="Q508" i="80"/>
  <c r="O508" i="80"/>
  <c r="M508" i="80"/>
  <c r="K508" i="80"/>
  <c r="I508" i="80"/>
  <c r="G508" i="80"/>
  <c r="E508" i="80"/>
  <c r="C508" i="80"/>
  <c r="Q507" i="80"/>
  <c r="O507" i="80"/>
  <c r="M507" i="80"/>
  <c r="K507" i="80"/>
  <c r="I507" i="80"/>
  <c r="G507" i="80"/>
  <c r="E507" i="80"/>
  <c r="C507" i="80"/>
  <c r="Q506" i="80"/>
  <c r="O506" i="80"/>
  <c r="M506" i="80"/>
  <c r="K506" i="80"/>
  <c r="I506" i="80"/>
  <c r="G506" i="80"/>
  <c r="E506" i="80"/>
  <c r="C506" i="80"/>
  <c r="Q505" i="80"/>
  <c r="O505" i="80"/>
  <c r="M505" i="80"/>
  <c r="K505" i="80"/>
  <c r="I505" i="80"/>
  <c r="G505" i="80"/>
  <c r="E505" i="80"/>
  <c r="C505" i="80"/>
  <c r="Q504" i="80"/>
  <c r="O504" i="80"/>
  <c r="M504" i="80"/>
  <c r="K504" i="80"/>
  <c r="I504" i="80"/>
  <c r="G504" i="80"/>
  <c r="E504" i="80"/>
  <c r="C504" i="80"/>
  <c r="Q503" i="80"/>
  <c r="O503" i="80"/>
  <c r="M503" i="80"/>
  <c r="K503" i="80"/>
  <c r="I503" i="80"/>
  <c r="G503" i="80"/>
  <c r="E503" i="80"/>
  <c r="C503" i="80"/>
  <c r="Q502" i="80"/>
  <c r="O502" i="80"/>
  <c r="M502" i="80"/>
  <c r="K502" i="80"/>
  <c r="I502" i="80"/>
  <c r="G502" i="80"/>
  <c r="E502" i="80"/>
  <c r="C502" i="80"/>
  <c r="Q501" i="80"/>
  <c r="O501" i="80"/>
  <c r="M501" i="80"/>
  <c r="K501" i="80"/>
  <c r="I501" i="80"/>
  <c r="G501" i="80"/>
  <c r="E501" i="80"/>
  <c r="C501" i="80"/>
  <c r="Q500" i="80"/>
  <c r="O500" i="80"/>
  <c r="M500" i="80"/>
  <c r="K500" i="80"/>
  <c r="I500" i="80"/>
  <c r="G500" i="80"/>
  <c r="E500" i="80"/>
  <c r="C500" i="80"/>
  <c r="Q499" i="80"/>
  <c r="O499" i="80"/>
  <c r="M499" i="80"/>
  <c r="K499" i="80"/>
  <c r="I499" i="80"/>
  <c r="G499" i="80"/>
  <c r="E499" i="80"/>
  <c r="C499" i="80"/>
  <c r="Q498" i="80"/>
  <c r="O498" i="80"/>
  <c r="M498" i="80"/>
  <c r="K498" i="80"/>
  <c r="I498" i="80"/>
  <c r="G498" i="80"/>
  <c r="E498" i="80"/>
  <c r="C498" i="80"/>
  <c r="Q497" i="80"/>
  <c r="O497" i="80"/>
  <c r="M497" i="80"/>
  <c r="K497" i="80"/>
  <c r="I497" i="80"/>
  <c r="G497" i="80"/>
  <c r="E497" i="80"/>
  <c r="C497" i="80"/>
  <c r="Q496" i="80"/>
  <c r="O496" i="80"/>
  <c r="M496" i="80"/>
  <c r="K496" i="80"/>
  <c r="I496" i="80"/>
  <c r="G496" i="80"/>
  <c r="E496" i="80"/>
  <c r="C496" i="80"/>
  <c r="Q495" i="80"/>
  <c r="O495" i="80"/>
  <c r="M495" i="80"/>
  <c r="K495" i="80"/>
  <c r="I495" i="80"/>
  <c r="G495" i="80"/>
  <c r="E495" i="80"/>
  <c r="C495" i="80"/>
  <c r="Q494" i="80"/>
  <c r="O494" i="80"/>
  <c r="M494" i="80"/>
  <c r="K494" i="80"/>
  <c r="I494" i="80"/>
  <c r="G494" i="80"/>
  <c r="E494" i="80"/>
  <c r="C494" i="80"/>
  <c r="Q493" i="80"/>
  <c r="O493" i="80"/>
  <c r="M493" i="80"/>
  <c r="K493" i="80"/>
  <c r="I493" i="80"/>
  <c r="G493" i="80"/>
  <c r="E493" i="80"/>
  <c r="C493" i="80"/>
  <c r="Q492" i="80"/>
  <c r="O492" i="80"/>
  <c r="M492" i="80"/>
  <c r="K492" i="80"/>
  <c r="I492" i="80"/>
  <c r="G492" i="80"/>
  <c r="E492" i="80"/>
  <c r="C492" i="80"/>
  <c r="Q491" i="80"/>
  <c r="O491" i="80"/>
  <c r="M491" i="80"/>
  <c r="K491" i="80"/>
  <c r="I491" i="80"/>
  <c r="G491" i="80"/>
  <c r="E491" i="80"/>
  <c r="C491" i="80"/>
  <c r="Q490" i="80"/>
  <c r="O490" i="80"/>
  <c r="M490" i="80"/>
  <c r="K490" i="80"/>
  <c r="I490" i="80"/>
  <c r="G490" i="80"/>
  <c r="E490" i="80"/>
  <c r="C490" i="80"/>
  <c r="Q489" i="80"/>
  <c r="O489" i="80"/>
  <c r="M489" i="80"/>
  <c r="K489" i="80"/>
  <c r="I489" i="80"/>
  <c r="G489" i="80"/>
  <c r="E489" i="80"/>
  <c r="C489" i="80"/>
  <c r="Q488" i="80"/>
  <c r="O488" i="80"/>
  <c r="M488" i="80"/>
  <c r="K488" i="80"/>
  <c r="I488" i="80"/>
  <c r="G488" i="80"/>
  <c r="E488" i="80"/>
  <c r="C488" i="80"/>
  <c r="Q487" i="80"/>
  <c r="O487" i="80"/>
  <c r="M487" i="80"/>
  <c r="K487" i="80"/>
  <c r="I487" i="80"/>
  <c r="G487" i="80"/>
  <c r="E487" i="80"/>
  <c r="C487" i="80"/>
  <c r="Q486" i="80"/>
  <c r="O486" i="80"/>
  <c r="M486" i="80"/>
  <c r="K486" i="80"/>
  <c r="I486" i="80"/>
  <c r="G486" i="80"/>
  <c r="E486" i="80"/>
  <c r="C486" i="80"/>
  <c r="Q485" i="80"/>
  <c r="O485" i="80"/>
  <c r="M485" i="80"/>
  <c r="K485" i="80"/>
  <c r="I485" i="80"/>
  <c r="G485" i="80"/>
  <c r="E485" i="80"/>
  <c r="C485" i="80"/>
  <c r="Q484" i="80"/>
  <c r="O484" i="80"/>
  <c r="M484" i="80"/>
  <c r="K484" i="80"/>
  <c r="I484" i="80"/>
  <c r="G484" i="80"/>
  <c r="E484" i="80"/>
  <c r="C484" i="80"/>
  <c r="Q483" i="80"/>
  <c r="O483" i="80"/>
  <c r="M483" i="80"/>
  <c r="K483" i="80"/>
  <c r="I483" i="80"/>
  <c r="G483" i="80"/>
  <c r="E483" i="80"/>
  <c r="C483" i="80"/>
  <c r="Q482" i="80"/>
  <c r="O482" i="80"/>
  <c r="M482" i="80"/>
  <c r="K482" i="80"/>
  <c r="I482" i="80"/>
  <c r="G482" i="80"/>
  <c r="E482" i="80"/>
  <c r="C482" i="80"/>
  <c r="Q481" i="80"/>
  <c r="O481" i="80"/>
  <c r="M481" i="80"/>
  <c r="K481" i="80"/>
  <c r="I481" i="80"/>
  <c r="G481" i="80"/>
  <c r="E481" i="80"/>
  <c r="C481" i="80"/>
  <c r="Q480" i="80"/>
  <c r="O480" i="80"/>
  <c r="M480" i="80"/>
  <c r="K480" i="80"/>
  <c r="I480" i="80"/>
  <c r="G480" i="80"/>
  <c r="E480" i="80"/>
  <c r="C480" i="80"/>
  <c r="Q479" i="80"/>
  <c r="O479" i="80"/>
  <c r="M479" i="80"/>
  <c r="K479" i="80"/>
  <c r="I479" i="80"/>
  <c r="G479" i="80"/>
  <c r="E479" i="80"/>
  <c r="C479" i="80"/>
  <c r="Q478" i="80"/>
  <c r="O478" i="80"/>
  <c r="M478" i="80"/>
  <c r="K478" i="80"/>
  <c r="I478" i="80"/>
  <c r="G478" i="80"/>
  <c r="E478" i="80"/>
  <c r="C478" i="80"/>
  <c r="Q477" i="80"/>
  <c r="O477" i="80"/>
  <c r="M477" i="80"/>
  <c r="K477" i="80"/>
  <c r="I477" i="80"/>
  <c r="G477" i="80"/>
  <c r="E477" i="80"/>
  <c r="C477" i="80"/>
  <c r="Q476" i="80"/>
  <c r="O476" i="80"/>
  <c r="M476" i="80"/>
  <c r="K476" i="80"/>
  <c r="I476" i="80"/>
  <c r="G476" i="80"/>
  <c r="E476" i="80"/>
  <c r="C476" i="80"/>
  <c r="Q475" i="80"/>
  <c r="O475" i="80"/>
  <c r="M475" i="80"/>
  <c r="K475" i="80"/>
  <c r="I475" i="80"/>
  <c r="G475" i="80"/>
  <c r="E475" i="80"/>
  <c r="C475" i="80"/>
  <c r="Q474" i="80"/>
  <c r="O474" i="80"/>
  <c r="M474" i="80"/>
  <c r="K474" i="80"/>
  <c r="I474" i="80"/>
  <c r="G474" i="80"/>
  <c r="E474" i="80"/>
  <c r="C474" i="80"/>
  <c r="Q473" i="80"/>
  <c r="O473" i="80"/>
  <c r="M473" i="80"/>
  <c r="K473" i="80"/>
  <c r="I473" i="80"/>
  <c r="G473" i="80"/>
  <c r="E473" i="80"/>
  <c r="C473" i="80"/>
  <c r="Q472" i="80"/>
  <c r="O472" i="80"/>
  <c r="M472" i="80"/>
  <c r="K472" i="80"/>
  <c r="I472" i="80"/>
  <c r="G472" i="80"/>
  <c r="E472" i="80"/>
  <c r="C472" i="80"/>
  <c r="Q471" i="80"/>
  <c r="O471" i="80"/>
  <c r="M471" i="80"/>
  <c r="K471" i="80"/>
  <c r="I471" i="80"/>
  <c r="G471" i="80"/>
  <c r="E471" i="80"/>
  <c r="C471" i="80"/>
  <c r="Q470" i="80"/>
  <c r="O470" i="80"/>
  <c r="M470" i="80"/>
  <c r="K470" i="80"/>
  <c r="I470" i="80"/>
  <c r="G470" i="80"/>
  <c r="E470" i="80"/>
  <c r="C470" i="80"/>
  <c r="Q469" i="80"/>
  <c r="O469" i="80"/>
  <c r="M469" i="80"/>
  <c r="K469" i="80"/>
  <c r="I469" i="80"/>
  <c r="G469" i="80"/>
  <c r="E469" i="80"/>
  <c r="C469" i="80"/>
  <c r="Q468" i="80"/>
  <c r="O468" i="80"/>
  <c r="M468" i="80"/>
  <c r="K468" i="80"/>
  <c r="I468" i="80"/>
  <c r="G468" i="80"/>
  <c r="E468" i="80"/>
  <c r="C468" i="80"/>
  <c r="Q467" i="80"/>
  <c r="O467" i="80"/>
  <c r="M467" i="80"/>
  <c r="K467" i="80"/>
  <c r="I467" i="80"/>
  <c r="G467" i="80"/>
  <c r="E467" i="80"/>
  <c r="C467" i="80"/>
  <c r="Q466" i="80"/>
  <c r="O466" i="80"/>
  <c r="M466" i="80"/>
  <c r="K466" i="80"/>
  <c r="I466" i="80"/>
  <c r="G466" i="80"/>
  <c r="E466" i="80"/>
  <c r="C466" i="80"/>
  <c r="Q465" i="80"/>
  <c r="O465" i="80"/>
  <c r="M465" i="80"/>
  <c r="K465" i="80"/>
  <c r="I465" i="80"/>
  <c r="G465" i="80"/>
  <c r="E465" i="80"/>
  <c r="C465" i="80"/>
  <c r="Q464" i="80"/>
  <c r="O464" i="80"/>
  <c r="M464" i="80"/>
  <c r="K464" i="80"/>
  <c r="I464" i="80"/>
  <c r="G464" i="80"/>
  <c r="E464" i="80"/>
  <c r="C464" i="80"/>
  <c r="Q463" i="80"/>
  <c r="O463" i="80"/>
  <c r="M463" i="80"/>
  <c r="K463" i="80"/>
  <c r="I463" i="80"/>
  <c r="G463" i="80"/>
  <c r="E463" i="80"/>
  <c r="C463" i="80"/>
  <c r="Q462" i="80"/>
  <c r="O462" i="80"/>
  <c r="M462" i="80"/>
  <c r="K462" i="80"/>
  <c r="I462" i="80"/>
  <c r="G462" i="80"/>
  <c r="E462" i="80"/>
  <c r="C462" i="80"/>
  <c r="Q461" i="80"/>
  <c r="O461" i="80"/>
  <c r="M461" i="80"/>
  <c r="K461" i="80"/>
  <c r="I461" i="80"/>
  <c r="G461" i="80"/>
  <c r="E461" i="80"/>
  <c r="C461" i="80"/>
  <c r="Q460" i="80"/>
  <c r="O460" i="80"/>
  <c r="M460" i="80"/>
  <c r="K460" i="80"/>
  <c r="I460" i="80"/>
  <c r="G460" i="80"/>
  <c r="E460" i="80"/>
  <c r="C460" i="80"/>
  <c r="Q459" i="80"/>
  <c r="O459" i="80"/>
  <c r="M459" i="80"/>
  <c r="K459" i="80"/>
  <c r="I459" i="80"/>
  <c r="G459" i="80"/>
  <c r="E459" i="80"/>
  <c r="C459" i="80"/>
  <c r="Q458" i="80"/>
  <c r="O458" i="80"/>
  <c r="M458" i="80"/>
  <c r="K458" i="80"/>
  <c r="I458" i="80"/>
  <c r="G458" i="80"/>
  <c r="E458" i="80"/>
  <c r="C458" i="80"/>
  <c r="Q457" i="80"/>
  <c r="O457" i="80"/>
  <c r="M457" i="80"/>
  <c r="K457" i="80"/>
  <c r="I457" i="80"/>
  <c r="G457" i="80"/>
  <c r="E457" i="80"/>
  <c r="C457" i="80"/>
  <c r="Q456" i="80"/>
  <c r="O456" i="80"/>
  <c r="M456" i="80"/>
  <c r="K456" i="80"/>
  <c r="I456" i="80"/>
  <c r="G456" i="80"/>
  <c r="E456" i="80"/>
  <c r="C456" i="80"/>
  <c r="Q455" i="80"/>
  <c r="O455" i="80"/>
  <c r="M455" i="80"/>
  <c r="K455" i="80"/>
  <c r="I455" i="80"/>
  <c r="G455" i="80"/>
  <c r="E455" i="80"/>
  <c r="C455" i="80"/>
  <c r="Q454" i="80"/>
  <c r="O454" i="80"/>
  <c r="M454" i="80"/>
  <c r="K454" i="80"/>
  <c r="I454" i="80"/>
  <c r="G454" i="80"/>
  <c r="E454" i="80"/>
  <c r="C454" i="80"/>
  <c r="Q453" i="80"/>
  <c r="O453" i="80"/>
  <c r="M453" i="80"/>
  <c r="K453" i="80"/>
  <c r="I453" i="80"/>
  <c r="G453" i="80"/>
  <c r="E453" i="80"/>
  <c r="C453" i="80"/>
  <c r="Q452" i="80"/>
  <c r="O452" i="80"/>
  <c r="M452" i="80"/>
  <c r="K452" i="80"/>
  <c r="I452" i="80"/>
  <c r="G452" i="80"/>
  <c r="E452" i="80"/>
  <c r="C452" i="80"/>
  <c r="Q451" i="80"/>
  <c r="O451" i="80"/>
  <c r="M451" i="80"/>
  <c r="K451" i="80"/>
  <c r="I451" i="80"/>
  <c r="G451" i="80"/>
  <c r="E451" i="80"/>
  <c r="C451" i="80"/>
  <c r="Q450" i="80"/>
  <c r="O450" i="80"/>
  <c r="M450" i="80"/>
  <c r="K450" i="80"/>
  <c r="I450" i="80"/>
  <c r="G450" i="80"/>
  <c r="E450" i="80"/>
  <c r="C450" i="80"/>
  <c r="Q449" i="80"/>
  <c r="O449" i="80"/>
  <c r="M449" i="80"/>
  <c r="K449" i="80"/>
  <c r="I449" i="80"/>
  <c r="G449" i="80"/>
  <c r="E449" i="80"/>
  <c r="C449" i="80"/>
  <c r="Q448" i="80"/>
  <c r="O448" i="80"/>
  <c r="M448" i="80"/>
  <c r="K448" i="80"/>
  <c r="I448" i="80"/>
  <c r="G448" i="80"/>
  <c r="E448" i="80"/>
  <c r="C448" i="80"/>
  <c r="Q447" i="80"/>
  <c r="O447" i="80"/>
  <c r="M447" i="80"/>
  <c r="K447" i="80"/>
  <c r="I447" i="80"/>
  <c r="G447" i="80"/>
  <c r="E447" i="80"/>
  <c r="C447" i="80"/>
  <c r="Q446" i="80"/>
  <c r="O446" i="80"/>
  <c r="M446" i="80"/>
  <c r="K446" i="80"/>
  <c r="I446" i="80"/>
  <c r="G446" i="80"/>
  <c r="E446" i="80"/>
  <c r="C446" i="80"/>
  <c r="Q445" i="80"/>
  <c r="O445" i="80"/>
  <c r="M445" i="80"/>
  <c r="K445" i="80"/>
  <c r="I445" i="80"/>
  <c r="G445" i="80"/>
  <c r="E445" i="80"/>
  <c r="C445" i="80"/>
  <c r="Q444" i="80"/>
  <c r="O444" i="80"/>
  <c r="M444" i="80"/>
  <c r="K444" i="80"/>
  <c r="I444" i="80"/>
  <c r="G444" i="80"/>
  <c r="E444" i="80"/>
  <c r="C444" i="80"/>
  <c r="Q443" i="80"/>
  <c r="O443" i="80"/>
  <c r="M443" i="80"/>
  <c r="K443" i="80"/>
  <c r="I443" i="80"/>
  <c r="G443" i="80"/>
  <c r="E443" i="80"/>
  <c r="C443" i="80"/>
  <c r="Q442" i="80"/>
  <c r="O442" i="80"/>
  <c r="M442" i="80"/>
  <c r="K442" i="80"/>
  <c r="I442" i="80"/>
  <c r="G442" i="80"/>
  <c r="E442" i="80"/>
  <c r="C442" i="80"/>
  <c r="Q441" i="80"/>
  <c r="O441" i="80"/>
  <c r="M441" i="80"/>
  <c r="K441" i="80"/>
  <c r="I441" i="80"/>
  <c r="G441" i="80"/>
  <c r="E441" i="80"/>
  <c r="C441" i="80"/>
  <c r="Q440" i="80"/>
  <c r="O440" i="80"/>
  <c r="M440" i="80"/>
  <c r="K440" i="80"/>
  <c r="I440" i="80"/>
  <c r="G440" i="80"/>
  <c r="E440" i="80"/>
  <c r="C440" i="80"/>
  <c r="Q439" i="80"/>
  <c r="O439" i="80"/>
  <c r="M439" i="80"/>
  <c r="K439" i="80"/>
  <c r="I439" i="80"/>
  <c r="G439" i="80"/>
  <c r="E439" i="80"/>
  <c r="C439" i="80"/>
  <c r="Q438" i="80"/>
  <c r="O438" i="80"/>
  <c r="M438" i="80"/>
  <c r="K438" i="80"/>
  <c r="I438" i="80"/>
  <c r="G438" i="80"/>
  <c r="E438" i="80"/>
  <c r="C438" i="80"/>
  <c r="Q437" i="80"/>
  <c r="O437" i="80"/>
  <c r="M437" i="80"/>
  <c r="K437" i="80"/>
  <c r="I437" i="80"/>
  <c r="G437" i="80"/>
  <c r="E437" i="80"/>
  <c r="C437" i="80"/>
  <c r="Q436" i="80"/>
  <c r="O436" i="80"/>
  <c r="M436" i="80"/>
  <c r="K436" i="80"/>
  <c r="I436" i="80"/>
  <c r="G436" i="80"/>
  <c r="E436" i="80"/>
  <c r="C436" i="80"/>
  <c r="Q435" i="80"/>
  <c r="O435" i="80"/>
  <c r="M435" i="80"/>
  <c r="K435" i="80"/>
  <c r="I435" i="80"/>
  <c r="G435" i="80"/>
  <c r="E435" i="80"/>
  <c r="C435" i="80"/>
  <c r="Q434" i="80"/>
  <c r="O434" i="80"/>
  <c r="M434" i="80"/>
  <c r="K434" i="80"/>
  <c r="I434" i="80"/>
  <c r="G434" i="80"/>
  <c r="E434" i="80"/>
  <c r="C434" i="80"/>
  <c r="Q433" i="80"/>
  <c r="O433" i="80"/>
  <c r="M433" i="80"/>
  <c r="K433" i="80"/>
  <c r="I433" i="80"/>
  <c r="G433" i="80"/>
  <c r="E433" i="80"/>
  <c r="C433" i="80"/>
  <c r="Q432" i="80"/>
  <c r="O432" i="80"/>
  <c r="M432" i="80"/>
  <c r="K432" i="80"/>
  <c r="I432" i="80"/>
  <c r="G432" i="80"/>
  <c r="E432" i="80"/>
  <c r="C432" i="80"/>
  <c r="Q431" i="80"/>
  <c r="O431" i="80"/>
  <c r="M431" i="80"/>
  <c r="K431" i="80"/>
  <c r="I431" i="80"/>
  <c r="G431" i="80"/>
  <c r="E431" i="80"/>
  <c r="C431" i="80"/>
  <c r="Q430" i="80"/>
  <c r="O430" i="80"/>
  <c r="M430" i="80"/>
  <c r="K430" i="80"/>
  <c r="I430" i="80"/>
  <c r="G430" i="80"/>
  <c r="E430" i="80"/>
  <c r="C430" i="80"/>
  <c r="Q429" i="80"/>
  <c r="O429" i="80"/>
  <c r="M429" i="80"/>
  <c r="K429" i="80"/>
  <c r="I429" i="80"/>
  <c r="G429" i="80"/>
  <c r="E429" i="80"/>
  <c r="C429" i="80"/>
  <c r="Q428" i="80"/>
  <c r="O428" i="80"/>
  <c r="M428" i="80"/>
  <c r="K428" i="80"/>
  <c r="I428" i="80"/>
  <c r="G428" i="80"/>
  <c r="E428" i="80"/>
  <c r="C428" i="80"/>
  <c r="Q427" i="80"/>
  <c r="O427" i="80"/>
  <c r="M427" i="80"/>
  <c r="K427" i="80"/>
  <c r="I427" i="80"/>
  <c r="G427" i="80"/>
  <c r="E427" i="80"/>
  <c r="C427" i="80"/>
  <c r="Q426" i="80"/>
  <c r="O426" i="80"/>
  <c r="M426" i="80"/>
  <c r="K426" i="80"/>
  <c r="I426" i="80"/>
  <c r="G426" i="80"/>
  <c r="E426" i="80"/>
  <c r="C426" i="80"/>
  <c r="Q425" i="80"/>
  <c r="O425" i="80"/>
  <c r="M425" i="80"/>
  <c r="K425" i="80"/>
  <c r="I425" i="80"/>
  <c r="G425" i="80"/>
  <c r="E425" i="80"/>
  <c r="C425" i="80"/>
  <c r="Q424" i="80"/>
  <c r="O424" i="80"/>
  <c r="M424" i="80"/>
  <c r="K424" i="80"/>
  <c r="I424" i="80"/>
  <c r="G424" i="80"/>
  <c r="E424" i="80"/>
  <c r="C424" i="80"/>
  <c r="Q423" i="80"/>
  <c r="O423" i="80"/>
  <c r="M423" i="80"/>
  <c r="K423" i="80"/>
  <c r="I423" i="80"/>
  <c r="G423" i="80"/>
  <c r="E423" i="80"/>
  <c r="C423" i="80"/>
  <c r="Q422" i="80"/>
  <c r="O422" i="80"/>
  <c r="M422" i="80"/>
  <c r="K422" i="80"/>
  <c r="I422" i="80"/>
  <c r="G422" i="80"/>
  <c r="E422" i="80"/>
  <c r="C422" i="80"/>
  <c r="Q421" i="80"/>
  <c r="O421" i="80"/>
  <c r="M421" i="80"/>
  <c r="K421" i="80"/>
  <c r="I421" i="80"/>
  <c r="G421" i="80"/>
  <c r="E421" i="80"/>
  <c r="C421" i="80"/>
  <c r="Q420" i="80"/>
  <c r="O420" i="80"/>
  <c r="M420" i="80"/>
  <c r="K420" i="80"/>
  <c r="I420" i="80"/>
  <c r="G420" i="80"/>
  <c r="E420" i="80"/>
  <c r="C420" i="80"/>
  <c r="Q419" i="80"/>
  <c r="O419" i="80"/>
  <c r="M419" i="80"/>
  <c r="K419" i="80"/>
  <c r="I419" i="80"/>
  <c r="G419" i="80"/>
  <c r="E419" i="80"/>
  <c r="C419" i="80"/>
  <c r="Q418" i="80"/>
  <c r="O418" i="80"/>
  <c r="M418" i="80"/>
  <c r="K418" i="80"/>
  <c r="I418" i="80"/>
  <c r="G418" i="80"/>
  <c r="E418" i="80"/>
  <c r="C418" i="80"/>
  <c r="Q417" i="80"/>
  <c r="O417" i="80"/>
  <c r="M417" i="80"/>
  <c r="K417" i="80"/>
  <c r="I417" i="80"/>
  <c r="G417" i="80"/>
  <c r="E417" i="80"/>
  <c r="C417" i="80"/>
  <c r="Q416" i="80"/>
  <c r="O416" i="80"/>
  <c r="M416" i="80"/>
  <c r="K416" i="80"/>
  <c r="I416" i="80"/>
  <c r="G416" i="80"/>
  <c r="E416" i="80"/>
  <c r="C416" i="80"/>
  <c r="Q415" i="80"/>
  <c r="O415" i="80"/>
  <c r="M415" i="80"/>
  <c r="K415" i="80"/>
  <c r="I415" i="80"/>
  <c r="G415" i="80"/>
  <c r="E415" i="80"/>
  <c r="C415" i="80"/>
  <c r="Q414" i="80"/>
  <c r="O414" i="80"/>
  <c r="M414" i="80"/>
  <c r="K414" i="80"/>
  <c r="I414" i="80"/>
  <c r="G414" i="80"/>
  <c r="E414" i="80"/>
  <c r="C414" i="80"/>
  <c r="Q413" i="80"/>
  <c r="O413" i="80"/>
  <c r="M413" i="80"/>
  <c r="K413" i="80"/>
  <c r="I413" i="80"/>
  <c r="G413" i="80"/>
  <c r="E413" i="80"/>
  <c r="C413" i="80"/>
  <c r="Q412" i="80"/>
  <c r="O412" i="80"/>
  <c r="M412" i="80"/>
  <c r="K412" i="80"/>
  <c r="I412" i="80"/>
  <c r="G412" i="80"/>
  <c r="E412" i="80"/>
  <c r="C412" i="80"/>
  <c r="Q411" i="80"/>
  <c r="O411" i="80"/>
  <c r="M411" i="80"/>
  <c r="K411" i="80"/>
  <c r="I411" i="80"/>
  <c r="G411" i="80"/>
  <c r="E411" i="80"/>
  <c r="C411" i="80"/>
  <c r="Q410" i="80"/>
  <c r="O410" i="80"/>
  <c r="M410" i="80"/>
  <c r="K410" i="80"/>
  <c r="I410" i="80"/>
  <c r="G410" i="80"/>
  <c r="E410" i="80"/>
  <c r="C410" i="80"/>
  <c r="Q409" i="80"/>
  <c r="O409" i="80"/>
  <c r="M409" i="80"/>
  <c r="K409" i="80"/>
  <c r="I409" i="80"/>
  <c r="G409" i="80"/>
  <c r="E409" i="80"/>
  <c r="C409" i="80"/>
  <c r="Q408" i="80"/>
  <c r="O408" i="80"/>
  <c r="M408" i="80"/>
  <c r="K408" i="80"/>
  <c r="I408" i="80"/>
  <c r="G408" i="80"/>
  <c r="E408" i="80"/>
  <c r="C408" i="80"/>
  <c r="Q407" i="80"/>
  <c r="O407" i="80"/>
  <c r="M407" i="80"/>
  <c r="K407" i="80"/>
  <c r="I407" i="80"/>
  <c r="G407" i="80"/>
  <c r="E407" i="80"/>
  <c r="C407" i="80"/>
  <c r="Q406" i="80"/>
  <c r="O406" i="80"/>
  <c r="M406" i="80"/>
  <c r="K406" i="80"/>
  <c r="I406" i="80"/>
  <c r="G406" i="80"/>
  <c r="E406" i="80"/>
  <c r="C406" i="80"/>
  <c r="Q405" i="80"/>
  <c r="O405" i="80"/>
  <c r="M405" i="80"/>
  <c r="K405" i="80"/>
  <c r="I405" i="80"/>
  <c r="G405" i="80"/>
  <c r="E405" i="80"/>
  <c r="C405" i="80"/>
  <c r="Q404" i="80"/>
  <c r="O404" i="80"/>
  <c r="M404" i="80"/>
  <c r="K404" i="80"/>
  <c r="I404" i="80"/>
  <c r="G404" i="80"/>
  <c r="E404" i="80"/>
  <c r="C404" i="80"/>
  <c r="Q403" i="80"/>
  <c r="O403" i="80"/>
  <c r="M403" i="80"/>
  <c r="K403" i="80"/>
  <c r="I403" i="80"/>
  <c r="G403" i="80"/>
  <c r="E403" i="80"/>
  <c r="C403" i="80"/>
  <c r="Q402" i="80"/>
  <c r="O402" i="80"/>
  <c r="M402" i="80"/>
  <c r="K402" i="80"/>
  <c r="I402" i="80"/>
  <c r="G402" i="80"/>
  <c r="E402" i="80"/>
  <c r="C402" i="80"/>
  <c r="Q401" i="80"/>
  <c r="O401" i="80"/>
  <c r="M401" i="80"/>
  <c r="K401" i="80"/>
  <c r="I401" i="80"/>
  <c r="G401" i="80"/>
  <c r="E401" i="80"/>
  <c r="C401" i="80"/>
  <c r="Q400" i="80"/>
  <c r="O400" i="80"/>
  <c r="M400" i="80"/>
  <c r="K400" i="80"/>
  <c r="I400" i="80"/>
  <c r="G400" i="80"/>
  <c r="E400" i="80"/>
  <c r="C400" i="80"/>
  <c r="Q399" i="80"/>
  <c r="O399" i="80"/>
  <c r="M399" i="80"/>
  <c r="K399" i="80"/>
  <c r="I399" i="80"/>
  <c r="G399" i="80"/>
  <c r="E399" i="80"/>
  <c r="C399" i="80"/>
  <c r="Q398" i="80"/>
  <c r="O398" i="80"/>
  <c r="M398" i="80"/>
  <c r="K398" i="80"/>
  <c r="I398" i="80"/>
  <c r="G398" i="80"/>
  <c r="E398" i="80"/>
  <c r="C398" i="80"/>
  <c r="Q397" i="80"/>
  <c r="O397" i="80"/>
  <c r="M397" i="80"/>
  <c r="K397" i="80"/>
  <c r="I397" i="80"/>
  <c r="G397" i="80"/>
  <c r="E397" i="80"/>
  <c r="C397" i="80"/>
  <c r="Q396" i="80"/>
  <c r="O396" i="80"/>
  <c r="M396" i="80"/>
  <c r="K396" i="80"/>
  <c r="I396" i="80"/>
  <c r="G396" i="80"/>
  <c r="E396" i="80"/>
  <c r="C396" i="80"/>
  <c r="Q395" i="80"/>
  <c r="O395" i="80"/>
  <c r="M395" i="80"/>
  <c r="K395" i="80"/>
  <c r="I395" i="80"/>
  <c r="G395" i="80"/>
  <c r="E395" i="80"/>
  <c r="C395" i="80"/>
  <c r="Q394" i="80"/>
  <c r="O394" i="80"/>
  <c r="M394" i="80"/>
  <c r="K394" i="80"/>
  <c r="I394" i="80"/>
  <c r="G394" i="80"/>
  <c r="E394" i="80"/>
  <c r="C394" i="80"/>
  <c r="Q393" i="80"/>
  <c r="O393" i="80"/>
  <c r="M393" i="80"/>
  <c r="K393" i="80"/>
  <c r="I393" i="80"/>
  <c r="G393" i="80"/>
  <c r="E393" i="80"/>
  <c r="C393" i="80"/>
  <c r="Q392" i="80"/>
  <c r="O392" i="80"/>
  <c r="M392" i="80"/>
  <c r="K392" i="80"/>
  <c r="I392" i="80"/>
  <c r="G392" i="80"/>
  <c r="E392" i="80"/>
  <c r="C392" i="80"/>
  <c r="Q391" i="80"/>
  <c r="O391" i="80"/>
  <c r="M391" i="80"/>
  <c r="K391" i="80"/>
  <c r="I391" i="80"/>
  <c r="G391" i="80"/>
  <c r="E391" i="80"/>
  <c r="C391" i="80"/>
  <c r="Q390" i="80"/>
  <c r="O390" i="80"/>
  <c r="M390" i="80"/>
  <c r="K390" i="80"/>
  <c r="I390" i="80"/>
  <c r="G390" i="80"/>
  <c r="E390" i="80"/>
  <c r="C390" i="80"/>
  <c r="Q389" i="80"/>
  <c r="O389" i="80"/>
  <c r="M389" i="80"/>
  <c r="K389" i="80"/>
  <c r="I389" i="80"/>
  <c r="G389" i="80"/>
  <c r="E389" i="80"/>
  <c r="C389" i="80"/>
  <c r="Q388" i="80"/>
  <c r="O388" i="80"/>
  <c r="M388" i="80"/>
  <c r="K388" i="80"/>
  <c r="I388" i="80"/>
  <c r="G388" i="80"/>
  <c r="E388" i="80"/>
  <c r="C388" i="80"/>
  <c r="Q387" i="80"/>
  <c r="O387" i="80"/>
  <c r="M387" i="80"/>
  <c r="K387" i="80"/>
  <c r="I387" i="80"/>
  <c r="G387" i="80"/>
  <c r="E387" i="80"/>
  <c r="C387" i="80"/>
  <c r="Q386" i="80"/>
  <c r="O386" i="80"/>
  <c r="M386" i="80"/>
  <c r="K386" i="80"/>
  <c r="I386" i="80"/>
  <c r="G386" i="80"/>
  <c r="E386" i="80"/>
  <c r="C386" i="80"/>
  <c r="Q385" i="80"/>
  <c r="O385" i="80"/>
  <c r="M385" i="80"/>
  <c r="K385" i="80"/>
  <c r="I385" i="80"/>
  <c r="G385" i="80"/>
  <c r="E385" i="80"/>
  <c r="C385" i="80"/>
  <c r="Q384" i="80"/>
  <c r="O384" i="80"/>
  <c r="M384" i="80"/>
  <c r="K384" i="80"/>
  <c r="I384" i="80"/>
  <c r="G384" i="80"/>
  <c r="E384" i="80"/>
  <c r="C384" i="80"/>
  <c r="Q383" i="80"/>
  <c r="O383" i="80"/>
  <c r="M383" i="80"/>
  <c r="K383" i="80"/>
  <c r="I383" i="80"/>
  <c r="G383" i="80"/>
  <c r="E383" i="80"/>
  <c r="C383" i="80"/>
  <c r="Q382" i="80"/>
  <c r="O382" i="80"/>
  <c r="M382" i="80"/>
  <c r="K382" i="80"/>
  <c r="I382" i="80"/>
  <c r="G382" i="80"/>
  <c r="E382" i="80"/>
  <c r="C382" i="80"/>
  <c r="Q381" i="80"/>
  <c r="O381" i="80"/>
  <c r="M381" i="80"/>
  <c r="K381" i="80"/>
  <c r="I381" i="80"/>
  <c r="G381" i="80"/>
  <c r="E381" i="80"/>
  <c r="C381" i="80"/>
  <c r="Q380" i="80"/>
  <c r="O380" i="80"/>
  <c r="M380" i="80"/>
  <c r="K380" i="80"/>
  <c r="I380" i="80"/>
  <c r="G380" i="80"/>
  <c r="E380" i="80"/>
  <c r="C380" i="80"/>
  <c r="Q379" i="80"/>
  <c r="O379" i="80"/>
  <c r="M379" i="80"/>
  <c r="K379" i="80"/>
  <c r="I379" i="80"/>
  <c r="G379" i="80"/>
  <c r="E379" i="80"/>
  <c r="C379" i="80"/>
  <c r="Q378" i="80"/>
  <c r="O378" i="80"/>
  <c r="M378" i="80"/>
  <c r="K378" i="80"/>
  <c r="I378" i="80"/>
  <c r="G378" i="80"/>
  <c r="E378" i="80"/>
  <c r="C378" i="80"/>
  <c r="Q377" i="80"/>
  <c r="O377" i="80"/>
  <c r="M377" i="80"/>
  <c r="K377" i="80"/>
  <c r="I377" i="80"/>
  <c r="G377" i="80"/>
  <c r="E377" i="80"/>
  <c r="C377" i="80"/>
  <c r="Q376" i="80"/>
  <c r="O376" i="80"/>
  <c r="M376" i="80"/>
  <c r="K376" i="80"/>
  <c r="I376" i="80"/>
  <c r="G376" i="80"/>
  <c r="E376" i="80"/>
  <c r="C376" i="80"/>
  <c r="Q375" i="80"/>
  <c r="O375" i="80"/>
  <c r="M375" i="80"/>
  <c r="K375" i="80"/>
  <c r="I375" i="80"/>
  <c r="G375" i="80"/>
  <c r="E375" i="80"/>
  <c r="C375" i="80"/>
  <c r="Q374" i="80"/>
  <c r="O374" i="80"/>
  <c r="M374" i="80"/>
  <c r="K374" i="80"/>
  <c r="I374" i="80"/>
  <c r="G374" i="80"/>
  <c r="E374" i="80"/>
  <c r="C374" i="80"/>
  <c r="Q373" i="80"/>
  <c r="O373" i="80"/>
  <c r="M373" i="80"/>
  <c r="K373" i="80"/>
  <c r="I373" i="80"/>
  <c r="G373" i="80"/>
  <c r="E373" i="80"/>
  <c r="C373" i="80"/>
  <c r="Q372" i="80"/>
  <c r="O372" i="80"/>
  <c r="M372" i="80"/>
  <c r="K372" i="80"/>
  <c r="I372" i="80"/>
  <c r="G372" i="80"/>
  <c r="E372" i="80"/>
  <c r="C372" i="80"/>
  <c r="Q371" i="80"/>
  <c r="O371" i="80"/>
  <c r="M371" i="80"/>
  <c r="K371" i="80"/>
  <c r="I371" i="80"/>
  <c r="G371" i="80"/>
  <c r="E371" i="80"/>
  <c r="C371" i="80"/>
  <c r="Q370" i="80"/>
  <c r="O370" i="80"/>
  <c r="M370" i="80"/>
  <c r="K370" i="80"/>
  <c r="I370" i="80"/>
  <c r="G370" i="80"/>
  <c r="E370" i="80"/>
  <c r="C370" i="80"/>
  <c r="Q369" i="80"/>
  <c r="O369" i="80"/>
  <c r="M369" i="80"/>
  <c r="K369" i="80"/>
  <c r="I369" i="80"/>
  <c r="G369" i="80"/>
  <c r="E369" i="80"/>
  <c r="C369" i="80"/>
  <c r="Q368" i="80"/>
  <c r="O368" i="80"/>
  <c r="M368" i="80"/>
  <c r="K368" i="80"/>
  <c r="I368" i="80"/>
  <c r="G368" i="80"/>
  <c r="E368" i="80"/>
  <c r="C368" i="80"/>
  <c r="Q367" i="80"/>
  <c r="O367" i="80"/>
  <c r="M367" i="80"/>
  <c r="K367" i="80"/>
  <c r="I367" i="80"/>
  <c r="G367" i="80"/>
  <c r="E367" i="80"/>
  <c r="C367" i="80"/>
  <c r="Q366" i="80"/>
  <c r="O366" i="80"/>
  <c r="M366" i="80"/>
  <c r="K366" i="80"/>
  <c r="I366" i="80"/>
  <c r="G366" i="80"/>
  <c r="E366" i="80"/>
  <c r="C366" i="80"/>
  <c r="Q365" i="80"/>
  <c r="O365" i="80"/>
  <c r="M365" i="80"/>
  <c r="K365" i="80"/>
  <c r="I365" i="80"/>
  <c r="G365" i="80"/>
  <c r="E365" i="80"/>
  <c r="C365" i="80"/>
  <c r="Q364" i="80"/>
  <c r="O364" i="80"/>
  <c r="M364" i="80"/>
  <c r="K364" i="80"/>
  <c r="I364" i="80"/>
  <c r="G364" i="80"/>
  <c r="E364" i="80"/>
  <c r="C364" i="80"/>
  <c r="Q363" i="80"/>
  <c r="O363" i="80"/>
  <c r="M363" i="80"/>
  <c r="K363" i="80"/>
  <c r="I363" i="80"/>
  <c r="G363" i="80"/>
  <c r="E363" i="80"/>
  <c r="C363" i="80"/>
  <c r="Q362" i="80"/>
  <c r="O362" i="80"/>
  <c r="M362" i="80"/>
  <c r="K362" i="80"/>
  <c r="I362" i="80"/>
  <c r="G362" i="80"/>
  <c r="E362" i="80"/>
  <c r="C362" i="80"/>
  <c r="Q361" i="80"/>
  <c r="O361" i="80"/>
  <c r="M361" i="80"/>
  <c r="K361" i="80"/>
  <c r="I361" i="80"/>
  <c r="G361" i="80"/>
  <c r="E361" i="80"/>
  <c r="C361" i="80"/>
  <c r="Q360" i="80"/>
  <c r="O360" i="80"/>
  <c r="M360" i="80"/>
  <c r="K360" i="80"/>
  <c r="I360" i="80"/>
  <c r="G360" i="80"/>
  <c r="E360" i="80"/>
  <c r="C360" i="80"/>
  <c r="Q359" i="80"/>
  <c r="O359" i="80"/>
  <c r="M359" i="80"/>
  <c r="K359" i="80"/>
  <c r="I359" i="80"/>
  <c r="G359" i="80"/>
  <c r="E359" i="80"/>
  <c r="C359" i="80"/>
  <c r="Q358" i="80"/>
  <c r="O358" i="80"/>
  <c r="M358" i="80"/>
  <c r="K358" i="80"/>
  <c r="I358" i="80"/>
  <c r="G358" i="80"/>
  <c r="E358" i="80"/>
  <c r="C358" i="80"/>
  <c r="Q357" i="80"/>
  <c r="O357" i="80"/>
  <c r="M357" i="80"/>
  <c r="K357" i="80"/>
  <c r="I357" i="80"/>
  <c r="G357" i="80"/>
  <c r="E357" i="80"/>
  <c r="C357" i="80"/>
  <c r="Q356" i="80"/>
  <c r="O356" i="80"/>
  <c r="M356" i="80"/>
  <c r="K356" i="80"/>
  <c r="I356" i="80"/>
  <c r="G356" i="80"/>
  <c r="E356" i="80"/>
  <c r="C356" i="80"/>
  <c r="Q355" i="80"/>
  <c r="O355" i="80"/>
  <c r="M355" i="80"/>
  <c r="K355" i="80"/>
  <c r="I355" i="80"/>
  <c r="G355" i="80"/>
  <c r="E355" i="80"/>
  <c r="C355" i="80"/>
  <c r="Q354" i="80"/>
  <c r="O354" i="80"/>
  <c r="M354" i="80"/>
  <c r="K354" i="80"/>
  <c r="I354" i="80"/>
  <c r="G354" i="80"/>
  <c r="E354" i="80"/>
  <c r="C354" i="80"/>
  <c r="Q353" i="80"/>
  <c r="O353" i="80"/>
  <c r="M353" i="80"/>
  <c r="K353" i="80"/>
  <c r="I353" i="80"/>
  <c r="G353" i="80"/>
  <c r="E353" i="80"/>
  <c r="C353" i="80"/>
  <c r="Q352" i="80"/>
  <c r="O352" i="80"/>
  <c r="M352" i="80"/>
  <c r="K352" i="80"/>
  <c r="I352" i="80"/>
  <c r="G352" i="80"/>
  <c r="E352" i="80"/>
  <c r="C352" i="80"/>
  <c r="Q351" i="80"/>
  <c r="O351" i="80"/>
  <c r="M351" i="80"/>
  <c r="K351" i="80"/>
  <c r="I351" i="80"/>
  <c r="G351" i="80"/>
  <c r="E351" i="80"/>
  <c r="C351" i="80"/>
  <c r="Q350" i="80"/>
  <c r="O350" i="80"/>
  <c r="M350" i="80"/>
  <c r="K350" i="80"/>
  <c r="I350" i="80"/>
  <c r="G350" i="80"/>
  <c r="E350" i="80"/>
  <c r="C350" i="80"/>
  <c r="Q349" i="80"/>
  <c r="O349" i="80"/>
  <c r="M349" i="80"/>
  <c r="K349" i="80"/>
  <c r="I349" i="80"/>
  <c r="G349" i="80"/>
  <c r="E349" i="80"/>
  <c r="C349" i="80"/>
  <c r="Q348" i="80"/>
  <c r="O348" i="80"/>
  <c r="M348" i="80"/>
  <c r="K348" i="80"/>
  <c r="I348" i="80"/>
  <c r="G348" i="80"/>
  <c r="E348" i="80"/>
  <c r="C348" i="80"/>
  <c r="Q347" i="80"/>
  <c r="O347" i="80"/>
  <c r="M347" i="80"/>
  <c r="K347" i="80"/>
  <c r="I347" i="80"/>
  <c r="G347" i="80"/>
  <c r="E347" i="80"/>
  <c r="C347" i="80"/>
  <c r="Q346" i="80"/>
  <c r="O346" i="80"/>
  <c r="M346" i="80"/>
  <c r="K346" i="80"/>
  <c r="I346" i="80"/>
  <c r="G346" i="80"/>
  <c r="E346" i="80"/>
  <c r="C346" i="80"/>
  <c r="Q345" i="80"/>
  <c r="O345" i="80"/>
  <c r="M345" i="80"/>
  <c r="K345" i="80"/>
  <c r="I345" i="80"/>
  <c r="G345" i="80"/>
  <c r="E345" i="80"/>
  <c r="C345" i="80"/>
  <c r="Q344" i="80"/>
  <c r="O344" i="80"/>
  <c r="M344" i="80"/>
  <c r="K344" i="80"/>
  <c r="I344" i="80"/>
  <c r="G344" i="80"/>
  <c r="E344" i="80"/>
  <c r="C344" i="80"/>
  <c r="Q343" i="80"/>
  <c r="O343" i="80"/>
  <c r="M343" i="80"/>
  <c r="K343" i="80"/>
  <c r="I343" i="80"/>
  <c r="G343" i="80"/>
  <c r="E343" i="80"/>
  <c r="C343" i="80"/>
  <c r="Q342" i="80"/>
  <c r="O342" i="80"/>
  <c r="M342" i="80"/>
  <c r="K342" i="80"/>
  <c r="I342" i="80"/>
  <c r="G342" i="80"/>
  <c r="E342" i="80"/>
  <c r="C342" i="80"/>
  <c r="Q341" i="80"/>
  <c r="O341" i="80"/>
  <c r="M341" i="80"/>
  <c r="K341" i="80"/>
  <c r="I341" i="80"/>
  <c r="G341" i="80"/>
  <c r="E341" i="80"/>
  <c r="C341" i="80"/>
  <c r="Q340" i="80"/>
  <c r="O340" i="80"/>
  <c r="M340" i="80"/>
  <c r="K340" i="80"/>
  <c r="I340" i="80"/>
  <c r="G340" i="80"/>
  <c r="E340" i="80"/>
  <c r="C340" i="80"/>
  <c r="Q339" i="80"/>
  <c r="O339" i="80"/>
  <c r="M339" i="80"/>
  <c r="K339" i="80"/>
  <c r="I339" i="80"/>
  <c r="G339" i="80"/>
  <c r="E339" i="80"/>
  <c r="C339" i="80"/>
  <c r="Q338" i="80"/>
  <c r="O338" i="80"/>
  <c r="M338" i="80"/>
  <c r="K338" i="80"/>
  <c r="I338" i="80"/>
  <c r="G338" i="80"/>
  <c r="E338" i="80"/>
  <c r="C338" i="80"/>
  <c r="Q337" i="80"/>
  <c r="O337" i="80"/>
  <c r="M337" i="80"/>
  <c r="K337" i="80"/>
  <c r="I337" i="80"/>
  <c r="G337" i="80"/>
  <c r="E337" i="80"/>
  <c r="C337" i="80"/>
  <c r="Q336" i="80"/>
  <c r="O336" i="80"/>
  <c r="M336" i="80"/>
  <c r="K336" i="80"/>
  <c r="I336" i="80"/>
  <c r="G336" i="80"/>
  <c r="E336" i="80"/>
  <c r="C336" i="80"/>
  <c r="Q335" i="80"/>
  <c r="O335" i="80"/>
  <c r="M335" i="80"/>
  <c r="K335" i="80"/>
  <c r="I335" i="80"/>
  <c r="G335" i="80"/>
  <c r="E335" i="80"/>
  <c r="C335" i="80"/>
  <c r="Q334" i="80"/>
  <c r="O334" i="80"/>
  <c r="M334" i="80"/>
  <c r="K334" i="80"/>
  <c r="I334" i="80"/>
  <c r="G334" i="80"/>
  <c r="E334" i="80"/>
  <c r="C334" i="80"/>
  <c r="Q333" i="80"/>
  <c r="O333" i="80"/>
  <c r="M333" i="80"/>
  <c r="K333" i="80"/>
  <c r="I333" i="80"/>
  <c r="G333" i="80"/>
  <c r="E333" i="80"/>
  <c r="C333" i="80"/>
  <c r="Q332" i="80"/>
  <c r="O332" i="80"/>
  <c r="M332" i="80"/>
  <c r="K332" i="80"/>
  <c r="I332" i="80"/>
  <c r="G332" i="80"/>
  <c r="E332" i="80"/>
  <c r="C332" i="80"/>
  <c r="Q331" i="80"/>
  <c r="O331" i="80"/>
  <c r="M331" i="80"/>
  <c r="K331" i="80"/>
  <c r="I331" i="80"/>
  <c r="G331" i="80"/>
  <c r="E331" i="80"/>
  <c r="C331" i="80"/>
  <c r="Q330" i="80"/>
  <c r="O330" i="80"/>
  <c r="M330" i="80"/>
  <c r="K330" i="80"/>
  <c r="I330" i="80"/>
  <c r="G330" i="80"/>
  <c r="E330" i="80"/>
  <c r="C330" i="80"/>
  <c r="Q329" i="80"/>
  <c r="O329" i="80"/>
  <c r="M329" i="80"/>
  <c r="K329" i="80"/>
  <c r="I329" i="80"/>
  <c r="G329" i="80"/>
  <c r="E329" i="80"/>
  <c r="C329" i="80"/>
  <c r="Q328" i="80"/>
  <c r="O328" i="80"/>
  <c r="M328" i="80"/>
  <c r="K328" i="80"/>
  <c r="I328" i="80"/>
  <c r="G328" i="80"/>
  <c r="E328" i="80"/>
  <c r="C328" i="80"/>
  <c r="Q327" i="80"/>
  <c r="O327" i="80"/>
  <c r="M327" i="80"/>
  <c r="K327" i="80"/>
  <c r="I327" i="80"/>
  <c r="G327" i="80"/>
  <c r="E327" i="80"/>
  <c r="C327" i="80"/>
  <c r="Q326" i="80"/>
  <c r="O326" i="80"/>
  <c r="M326" i="80"/>
  <c r="K326" i="80"/>
  <c r="I326" i="80"/>
  <c r="G326" i="80"/>
  <c r="E326" i="80"/>
  <c r="C326" i="80"/>
  <c r="Q325" i="80"/>
  <c r="O325" i="80"/>
  <c r="M325" i="80"/>
  <c r="K325" i="80"/>
  <c r="I325" i="80"/>
  <c r="G325" i="80"/>
  <c r="E325" i="80"/>
  <c r="C325" i="80"/>
  <c r="Q324" i="80"/>
  <c r="O324" i="80"/>
  <c r="M324" i="80"/>
  <c r="K324" i="80"/>
  <c r="I324" i="80"/>
  <c r="G324" i="80"/>
  <c r="E324" i="80"/>
  <c r="C324" i="80"/>
  <c r="Q323" i="80"/>
  <c r="O323" i="80"/>
  <c r="M323" i="80"/>
  <c r="K323" i="80"/>
  <c r="I323" i="80"/>
  <c r="G323" i="80"/>
  <c r="E323" i="80"/>
  <c r="C323" i="80"/>
  <c r="Q322" i="80"/>
  <c r="O322" i="80"/>
  <c r="M322" i="80"/>
  <c r="K322" i="80"/>
  <c r="I322" i="80"/>
  <c r="G322" i="80"/>
  <c r="E322" i="80"/>
  <c r="C322" i="80"/>
  <c r="Q321" i="80"/>
  <c r="O321" i="80"/>
  <c r="M321" i="80"/>
  <c r="K321" i="80"/>
  <c r="I321" i="80"/>
  <c r="G321" i="80"/>
  <c r="E321" i="80"/>
  <c r="C321" i="80"/>
  <c r="Q320" i="80"/>
  <c r="O320" i="80"/>
  <c r="M320" i="80"/>
  <c r="K320" i="80"/>
  <c r="I320" i="80"/>
  <c r="G320" i="80"/>
  <c r="E320" i="80"/>
  <c r="C320" i="80"/>
  <c r="Q319" i="80"/>
  <c r="O319" i="80"/>
  <c r="M319" i="80"/>
  <c r="K319" i="80"/>
  <c r="I319" i="80"/>
  <c r="G319" i="80"/>
  <c r="E319" i="80"/>
  <c r="C319" i="80"/>
  <c r="Q318" i="80"/>
  <c r="O318" i="80"/>
  <c r="M318" i="80"/>
  <c r="K318" i="80"/>
  <c r="I318" i="80"/>
  <c r="G318" i="80"/>
  <c r="E318" i="80"/>
  <c r="C318" i="80"/>
  <c r="Q317" i="80"/>
  <c r="O317" i="80"/>
  <c r="M317" i="80"/>
  <c r="K317" i="80"/>
  <c r="I317" i="80"/>
  <c r="G317" i="80"/>
  <c r="E317" i="80"/>
  <c r="C317" i="80"/>
  <c r="Q316" i="80"/>
  <c r="O316" i="80"/>
  <c r="M316" i="80"/>
  <c r="K316" i="80"/>
  <c r="I316" i="80"/>
  <c r="G316" i="80"/>
  <c r="E316" i="80"/>
  <c r="C316" i="80"/>
  <c r="Q315" i="80"/>
  <c r="O315" i="80"/>
  <c r="M315" i="80"/>
  <c r="K315" i="80"/>
  <c r="I315" i="80"/>
  <c r="G315" i="80"/>
  <c r="E315" i="80"/>
  <c r="C315" i="80"/>
  <c r="Q314" i="80"/>
  <c r="O314" i="80"/>
  <c r="M314" i="80"/>
  <c r="K314" i="80"/>
  <c r="I314" i="80"/>
  <c r="G314" i="80"/>
  <c r="E314" i="80"/>
  <c r="C314" i="80"/>
  <c r="Q313" i="80"/>
  <c r="O313" i="80"/>
  <c r="M313" i="80"/>
  <c r="K313" i="80"/>
  <c r="I313" i="80"/>
  <c r="G313" i="80"/>
  <c r="E313" i="80"/>
  <c r="C313" i="80"/>
  <c r="Q312" i="80"/>
  <c r="O312" i="80"/>
  <c r="M312" i="80"/>
  <c r="K312" i="80"/>
  <c r="I312" i="80"/>
  <c r="G312" i="80"/>
  <c r="E312" i="80"/>
  <c r="C312" i="80"/>
  <c r="Q311" i="80"/>
  <c r="O311" i="80"/>
  <c r="M311" i="80"/>
  <c r="K311" i="80"/>
  <c r="I311" i="80"/>
  <c r="G311" i="80"/>
  <c r="E311" i="80"/>
  <c r="C311" i="80"/>
  <c r="Q310" i="80"/>
  <c r="O310" i="80"/>
  <c r="M310" i="80"/>
  <c r="K310" i="80"/>
  <c r="I310" i="80"/>
  <c r="G310" i="80"/>
  <c r="E310" i="80"/>
  <c r="C310" i="80"/>
  <c r="Q309" i="80"/>
  <c r="O309" i="80"/>
  <c r="M309" i="80"/>
  <c r="K309" i="80"/>
  <c r="I309" i="80"/>
  <c r="G309" i="80"/>
  <c r="E309" i="80"/>
  <c r="C309" i="80"/>
  <c r="Q308" i="80"/>
  <c r="O308" i="80"/>
  <c r="M308" i="80"/>
  <c r="K308" i="80"/>
  <c r="I308" i="80"/>
  <c r="G308" i="80"/>
  <c r="E308" i="80"/>
  <c r="C308" i="80"/>
  <c r="Q307" i="80"/>
  <c r="O307" i="80"/>
  <c r="M307" i="80"/>
  <c r="K307" i="80"/>
  <c r="I307" i="80"/>
  <c r="G307" i="80"/>
  <c r="E307" i="80"/>
  <c r="C307" i="80"/>
  <c r="Q306" i="80"/>
  <c r="O306" i="80"/>
  <c r="M306" i="80"/>
  <c r="K306" i="80"/>
  <c r="I306" i="80"/>
  <c r="G306" i="80"/>
  <c r="E306" i="80"/>
  <c r="C306" i="80"/>
  <c r="Q305" i="80"/>
  <c r="O305" i="80"/>
  <c r="M305" i="80"/>
  <c r="K305" i="80"/>
  <c r="I305" i="80"/>
  <c r="G305" i="80"/>
  <c r="E305" i="80"/>
  <c r="C305" i="80"/>
  <c r="Q304" i="80"/>
  <c r="O304" i="80"/>
  <c r="M304" i="80"/>
  <c r="K304" i="80"/>
  <c r="I304" i="80"/>
  <c r="G304" i="80"/>
  <c r="E304" i="80"/>
  <c r="C304" i="80"/>
  <c r="Q303" i="80"/>
  <c r="O303" i="80"/>
  <c r="M303" i="80"/>
  <c r="K303" i="80"/>
  <c r="I303" i="80"/>
  <c r="G303" i="80"/>
  <c r="E303" i="80"/>
  <c r="C303" i="80"/>
  <c r="Q302" i="80"/>
  <c r="O302" i="80"/>
  <c r="M302" i="80"/>
  <c r="K302" i="80"/>
  <c r="I302" i="80"/>
  <c r="G302" i="80"/>
  <c r="E302" i="80"/>
  <c r="C302" i="80"/>
  <c r="Q301" i="80"/>
  <c r="O301" i="80"/>
  <c r="M301" i="80"/>
  <c r="K301" i="80"/>
  <c r="I301" i="80"/>
  <c r="G301" i="80"/>
  <c r="E301" i="80"/>
  <c r="C301" i="80"/>
  <c r="Q300" i="80"/>
  <c r="O300" i="80"/>
  <c r="M300" i="80"/>
  <c r="K300" i="80"/>
  <c r="I300" i="80"/>
  <c r="G300" i="80"/>
  <c r="E300" i="80"/>
  <c r="C300" i="80"/>
  <c r="Q299" i="80"/>
  <c r="O299" i="80"/>
  <c r="M299" i="80"/>
  <c r="K299" i="80"/>
  <c r="I299" i="80"/>
  <c r="G299" i="80"/>
  <c r="E299" i="80"/>
  <c r="C299" i="80"/>
  <c r="Q298" i="80"/>
  <c r="O298" i="80"/>
  <c r="M298" i="80"/>
  <c r="K298" i="80"/>
  <c r="I298" i="80"/>
  <c r="G298" i="80"/>
  <c r="E298" i="80"/>
  <c r="C298" i="80"/>
  <c r="Q297" i="80"/>
  <c r="O297" i="80"/>
  <c r="M297" i="80"/>
  <c r="K297" i="80"/>
  <c r="I297" i="80"/>
  <c r="G297" i="80"/>
  <c r="E297" i="80"/>
  <c r="C297" i="80"/>
  <c r="Q296" i="80"/>
  <c r="O296" i="80"/>
  <c r="M296" i="80"/>
  <c r="K296" i="80"/>
  <c r="I296" i="80"/>
  <c r="G296" i="80"/>
  <c r="E296" i="80"/>
  <c r="C296" i="80"/>
  <c r="Q295" i="80"/>
  <c r="O295" i="80"/>
  <c r="M295" i="80"/>
  <c r="K295" i="80"/>
  <c r="I295" i="80"/>
  <c r="G295" i="80"/>
  <c r="E295" i="80"/>
  <c r="C295" i="80"/>
  <c r="Q294" i="80"/>
  <c r="O294" i="80"/>
  <c r="M294" i="80"/>
  <c r="K294" i="80"/>
  <c r="I294" i="80"/>
  <c r="G294" i="80"/>
  <c r="E294" i="80"/>
  <c r="C294" i="80"/>
  <c r="Q293" i="80"/>
  <c r="O293" i="80"/>
  <c r="M293" i="80"/>
  <c r="K293" i="80"/>
  <c r="I293" i="80"/>
  <c r="G293" i="80"/>
  <c r="E293" i="80"/>
  <c r="C293" i="80"/>
  <c r="Q292" i="80"/>
  <c r="O292" i="80"/>
  <c r="M292" i="80"/>
  <c r="K292" i="80"/>
  <c r="I292" i="80"/>
  <c r="G292" i="80"/>
  <c r="E292" i="80"/>
  <c r="C292" i="80"/>
  <c r="Q291" i="80"/>
  <c r="O291" i="80"/>
  <c r="M291" i="80"/>
  <c r="K291" i="80"/>
  <c r="I291" i="80"/>
  <c r="G291" i="80"/>
  <c r="E291" i="80"/>
  <c r="C291" i="80"/>
  <c r="Q290" i="80"/>
  <c r="O290" i="80"/>
  <c r="M290" i="80"/>
  <c r="K290" i="80"/>
  <c r="I290" i="80"/>
  <c r="G290" i="80"/>
  <c r="E290" i="80"/>
  <c r="C290" i="80"/>
  <c r="Q289" i="80"/>
  <c r="O289" i="80"/>
  <c r="M289" i="80"/>
  <c r="K289" i="80"/>
  <c r="I289" i="80"/>
  <c r="G289" i="80"/>
  <c r="E289" i="80"/>
  <c r="C289" i="80"/>
  <c r="Q288" i="80"/>
  <c r="O288" i="80"/>
  <c r="M288" i="80"/>
  <c r="K288" i="80"/>
  <c r="I288" i="80"/>
  <c r="G288" i="80"/>
  <c r="E288" i="80"/>
  <c r="C288" i="80"/>
  <c r="Q287" i="80"/>
  <c r="O287" i="80"/>
  <c r="M287" i="80"/>
  <c r="K287" i="80"/>
  <c r="I287" i="80"/>
  <c r="G287" i="80"/>
  <c r="E287" i="80"/>
  <c r="C287" i="80"/>
  <c r="Q286" i="80"/>
  <c r="O286" i="80"/>
  <c r="M286" i="80"/>
  <c r="K286" i="80"/>
  <c r="I286" i="80"/>
  <c r="G286" i="80"/>
  <c r="E286" i="80"/>
  <c r="C286" i="80"/>
  <c r="Q285" i="80"/>
  <c r="O285" i="80"/>
  <c r="M285" i="80"/>
  <c r="K285" i="80"/>
  <c r="I285" i="80"/>
  <c r="G285" i="80"/>
  <c r="E285" i="80"/>
  <c r="C285" i="80"/>
  <c r="Q284" i="80"/>
  <c r="O284" i="80"/>
  <c r="M284" i="80"/>
  <c r="K284" i="80"/>
  <c r="I284" i="80"/>
  <c r="G284" i="80"/>
  <c r="E284" i="80"/>
  <c r="C284" i="80"/>
  <c r="Q283" i="80"/>
  <c r="O283" i="80"/>
  <c r="M283" i="80"/>
  <c r="K283" i="80"/>
  <c r="I283" i="80"/>
  <c r="G283" i="80"/>
  <c r="E283" i="80"/>
  <c r="C283" i="80"/>
  <c r="Q282" i="80"/>
  <c r="O282" i="80"/>
  <c r="M282" i="80"/>
  <c r="K282" i="80"/>
  <c r="I282" i="80"/>
  <c r="G282" i="80"/>
  <c r="E282" i="80"/>
  <c r="C282" i="80"/>
  <c r="Q281" i="80"/>
  <c r="O281" i="80"/>
  <c r="M281" i="80"/>
  <c r="K281" i="80"/>
  <c r="I281" i="80"/>
  <c r="G281" i="80"/>
  <c r="E281" i="80"/>
  <c r="C281" i="80"/>
  <c r="Q280" i="80"/>
  <c r="O280" i="80"/>
  <c r="M280" i="80"/>
  <c r="K280" i="80"/>
  <c r="I280" i="80"/>
  <c r="G280" i="80"/>
  <c r="E280" i="80"/>
  <c r="C280" i="80"/>
  <c r="Q279" i="80"/>
  <c r="O279" i="80"/>
  <c r="M279" i="80"/>
  <c r="K279" i="80"/>
  <c r="I279" i="80"/>
  <c r="G279" i="80"/>
  <c r="E279" i="80"/>
  <c r="C279" i="80"/>
  <c r="Q278" i="80"/>
  <c r="O278" i="80"/>
  <c r="M278" i="80"/>
  <c r="K278" i="80"/>
  <c r="I278" i="80"/>
  <c r="G278" i="80"/>
  <c r="E278" i="80"/>
  <c r="C278" i="80"/>
  <c r="Q277" i="80"/>
  <c r="O277" i="80"/>
  <c r="M277" i="80"/>
  <c r="K277" i="80"/>
  <c r="I277" i="80"/>
  <c r="G277" i="80"/>
  <c r="E277" i="80"/>
  <c r="C277" i="80"/>
  <c r="Q276" i="80"/>
  <c r="O276" i="80"/>
  <c r="M276" i="80"/>
  <c r="K276" i="80"/>
  <c r="I276" i="80"/>
  <c r="G276" i="80"/>
  <c r="E276" i="80"/>
  <c r="C276" i="80"/>
  <c r="Q275" i="80"/>
  <c r="O275" i="80"/>
  <c r="M275" i="80"/>
  <c r="K275" i="80"/>
  <c r="I275" i="80"/>
  <c r="G275" i="80"/>
  <c r="E275" i="80"/>
  <c r="C275" i="80"/>
  <c r="Q274" i="80"/>
  <c r="O274" i="80"/>
  <c r="M274" i="80"/>
  <c r="K274" i="80"/>
  <c r="I274" i="80"/>
  <c r="G274" i="80"/>
  <c r="E274" i="80"/>
  <c r="C274" i="80"/>
  <c r="Q273" i="80"/>
  <c r="O273" i="80"/>
  <c r="M273" i="80"/>
  <c r="K273" i="80"/>
  <c r="I273" i="80"/>
  <c r="G273" i="80"/>
  <c r="E273" i="80"/>
  <c r="C273" i="80"/>
  <c r="Q272" i="80"/>
  <c r="O272" i="80"/>
  <c r="M272" i="80"/>
  <c r="K272" i="80"/>
  <c r="I272" i="80"/>
  <c r="G272" i="80"/>
  <c r="E272" i="80"/>
  <c r="C272" i="80"/>
  <c r="Q271" i="80"/>
  <c r="O271" i="80"/>
  <c r="M271" i="80"/>
  <c r="K271" i="80"/>
  <c r="I271" i="80"/>
  <c r="G271" i="80"/>
  <c r="E271" i="80"/>
  <c r="C271" i="80"/>
  <c r="Q270" i="80"/>
  <c r="O270" i="80"/>
  <c r="M270" i="80"/>
  <c r="K270" i="80"/>
  <c r="I270" i="80"/>
  <c r="G270" i="80"/>
  <c r="E270" i="80"/>
  <c r="C270" i="80"/>
  <c r="Q269" i="80"/>
  <c r="O269" i="80"/>
  <c r="M269" i="80"/>
  <c r="K269" i="80"/>
  <c r="I269" i="80"/>
  <c r="G269" i="80"/>
  <c r="E269" i="80"/>
  <c r="C269" i="80"/>
  <c r="C268" i="80"/>
  <c r="E268" i="80"/>
  <c r="G268" i="80"/>
  <c r="I268" i="80"/>
  <c r="K268" i="80"/>
  <c r="M268" i="80"/>
  <c r="O268" i="80"/>
  <c r="Q268" i="80"/>
  <c r="C267" i="80"/>
  <c r="E267" i="80"/>
  <c r="G267" i="80"/>
  <c r="I267" i="80"/>
  <c r="K267" i="80"/>
  <c r="M267" i="80"/>
  <c r="O267" i="80"/>
  <c r="Q267" i="80"/>
  <c r="C266" i="80"/>
  <c r="E266" i="80"/>
  <c r="G266" i="80"/>
  <c r="I266" i="80"/>
  <c r="K266" i="80"/>
  <c r="M266" i="80"/>
  <c r="O266" i="80"/>
  <c r="Q266" i="80"/>
  <c r="C265" i="80"/>
  <c r="E265" i="80"/>
  <c r="G265" i="80"/>
  <c r="I265" i="80"/>
  <c r="K265" i="80"/>
  <c r="M265" i="80"/>
  <c r="O265" i="80"/>
  <c r="Q265" i="80"/>
  <c r="C264" i="80"/>
  <c r="E264" i="80"/>
  <c r="G264" i="80"/>
  <c r="I264" i="80"/>
  <c r="K264" i="80"/>
  <c r="M264" i="80"/>
  <c r="O264" i="80"/>
  <c r="Q264" i="80"/>
  <c r="C263" i="80"/>
  <c r="E263" i="80"/>
  <c r="G263" i="80"/>
  <c r="I263" i="80"/>
  <c r="K263" i="80"/>
  <c r="M263" i="80"/>
  <c r="O263" i="80"/>
  <c r="Q263" i="80"/>
  <c r="C262" i="80"/>
  <c r="E262" i="80"/>
  <c r="G262" i="80"/>
  <c r="I262" i="80"/>
  <c r="K262" i="80"/>
  <c r="M262" i="80"/>
  <c r="O262" i="80"/>
  <c r="Q262" i="80"/>
  <c r="C261" i="80"/>
  <c r="E261" i="80"/>
  <c r="G261" i="80"/>
  <c r="I261" i="80"/>
  <c r="K261" i="80"/>
  <c r="M261" i="80"/>
  <c r="O261" i="80"/>
  <c r="Q261" i="80"/>
  <c r="C260" i="80"/>
  <c r="E260" i="80"/>
  <c r="G260" i="80"/>
  <c r="I260" i="80"/>
  <c r="K260" i="80"/>
  <c r="M260" i="80"/>
  <c r="O260" i="80"/>
  <c r="Q260" i="80"/>
  <c r="C259" i="80"/>
  <c r="E259" i="80"/>
  <c r="G259" i="80"/>
  <c r="I259" i="80"/>
  <c r="K259" i="80"/>
  <c r="M259" i="80"/>
  <c r="O259" i="80"/>
  <c r="Q259" i="80"/>
  <c r="C258" i="80"/>
  <c r="E258" i="80"/>
  <c r="G258" i="80"/>
  <c r="I258" i="80"/>
  <c r="K258" i="80"/>
  <c r="M258" i="80"/>
  <c r="O258" i="80"/>
  <c r="Q258" i="80"/>
  <c r="C257" i="80"/>
  <c r="E257" i="80"/>
  <c r="G257" i="80"/>
  <c r="I257" i="80"/>
  <c r="K257" i="80"/>
  <c r="M257" i="80"/>
  <c r="O257" i="80"/>
  <c r="Q257" i="80"/>
  <c r="C256" i="80"/>
  <c r="E256" i="80"/>
  <c r="G256" i="80"/>
  <c r="I256" i="80"/>
  <c r="K256" i="80"/>
  <c r="M256" i="80"/>
  <c r="O256" i="80"/>
  <c r="Q256" i="80"/>
  <c r="C255" i="80"/>
  <c r="E255" i="80"/>
  <c r="G255" i="80"/>
  <c r="I255" i="80"/>
  <c r="K255" i="80"/>
  <c r="M255" i="80"/>
  <c r="O255" i="80"/>
  <c r="Q255" i="80"/>
  <c r="C254" i="80"/>
  <c r="E254" i="80"/>
  <c r="G254" i="80"/>
  <c r="I254" i="80"/>
  <c r="K254" i="80"/>
  <c r="M254" i="80"/>
  <c r="O254" i="80"/>
  <c r="Q254" i="80"/>
  <c r="C253" i="80"/>
  <c r="E253" i="80"/>
  <c r="G253" i="80"/>
  <c r="I253" i="80"/>
  <c r="K253" i="80"/>
  <c r="M253" i="80"/>
  <c r="O253" i="80"/>
  <c r="Q253" i="80"/>
  <c r="C252" i="80"/>
  <c r="E252" i="80"/>
  <c r="G252" i="80"/>
  <c r="I252" i="80"/>
  <c r="K252" i="80"/>
  <c r="M252" i="80"/>
  <c r="O252" i="80"/>
  <c r="Q252" i="80"/>
  <c r="C251" i="80"/>
  <c r="E251" i="80"/>
  <c r="G251" i="80"/>
  <c r="I251" i="80"/>
  <c r="K251" i="80"/>
  <c r="M251" i="80"/>
  <c r="O251" i="80"/>
  <c r="Q251" i="80"/>
  <c r="C250" i="80"/>
  <c r="E250" i="80"/>
  <c r="G250" i="80"/>
  <c r="I250" i="80"/>
  <c r="K250" i="80"/>
  <c r="M250" i="80"/>
  <c r="O250" i="80"/>
  <c r="Q250" i="80"/>
  <c r="C249" i="80"/>
  <c r="E249" i="80"/>
  <c r="G249" i="80"/>
  <c r="I249" i="80"/>
  <c r="K249" i="80"/>
  <c r="M249" i="80"/>
  <c r="O249" i="80"/>
  <c r="Q249" i="80"/>
  <c r="C248" i="80"/>
  <c r="E248" i="80"/>
  <c r="G248" i="80"/>
  <c r="I248" i="80"/>
  <c r="K248" i="80"/>
  <c r="M248" i="80"/>
  <c r="O248" i="80"/>
  <c r="Q248" i="80"/>
  <c r="C247" i="80"/>
  <c r="E247" i="80"/>
  <c r="G247" i="80"/>
  <c r="I247" i="80"/>
  <c r="K247" i="80"/>
  <c r="M247" i="80"/>
  <c r="O247" i="80"/>
  <c r="Q247" i="80"/>
  <c r="C246" i="80"/>
  <c r="E246" i="80"/>
  <c r="G246" i="80"/>
  <c r="I246" i="80"/>
  <c r="K246" i="80"/>
  <c r="M246" i="80"/>
  <c r="O246" i="80"/>
  <c r="Q246" i="80"/>
  <c r="C245" i="80"/>
  <c r="E245" i="80"/>
  <c r="G245" i="80"/>
  <c r="I245" i="80"/>
  <c r="K245" i="80"/>
  <c r="M245" i="80"/>
  <c r="O245" i="80"/>
  <c r="Q245" i="80"/>
  <c r="C244" i="80"/>
  <c r="E244" i="80"/>
  <c r="G244" i="80"/>
  <c r="I244" i="80"/>
  <c r="K244" i="80"/>
  <c r="M244" i="80"/>
  <c r="O244" i="80"/>
  <c r="Q244" i="80"/>
  <c r="C243" i="80"/>
  <c r="E243" i="80"/>
  <c r="G243" i="80"/>
  <c r="I243" i="80"/>
  <c r="K243" i="80"/>
  <c r="M243" i="80"/>
  <c r="O243" i="80"/>
  <c r="Q243" i="80"/>
  <c r="C242" i="80"/>
  <c r="E242" i="80"/>
  <c r="G242" i="80"/>
  <c r="I242" i="80"/>
  <c r="K242" i="80"/>
  <c r="M242" i="80"/>
  <c r="O242" i="80"/>
  <c r="Q242" i="80"/>
  <c r="C241" i="80"/>
  <c r="E241" i="80"/>
  <c r="G241" i="80"/>
  <c r="I241" i="80"/>
  <c r="K241" i="80"/>
  <c r="M241" i="80"/>
  <c r="O241" i="80"/>
  <c r="Q241" i="80"/>
  <c r="C240" i="80"/>
  <c r="E240" i="80"/>
  <c r="G240" i="80"/>
  <c r="I240" i="80"/>
  <c r="K240" i="80"/>
  <c r="M240" i="80"/>
  <c r="O240" i="80"/>
  <c r="Q240" i="80"/>
  <c r="C239" i="80"/>
  <c r="E239" i="80"/>
  <c r="G239" i="80"/>
  <c r="I239" i="80"/>
  <c r="K239" i="80"/>
  <c r="M239" i="80"/>
  <c r="O239" i="80"/>
  <c r="Q239" i="80"/>
  <c r="C238" i="80"/>
  <c r="E238" i="80"/>
  <c r="G238" i="80"/>
  <c r="I238" i="80"/>
  <c r="K238" i="80"/>
  <c r="M238" i="80"/>
  <c r="O238" i="80"/>
  <c r="Q238" i="80"/>
  <c r="C237" i="80"/>
  <c r="E237" i="80"/>
  <c r="G237" i="80"/>
  <c r="I237" i="80"/>
  <c r="K237" i="80"/>
  <c r="M237" i="80"/>
  <c r="O237" i="80"/>
  <c r="Q237" i="80"/>
  <c r="C236" i="80"/>
  <c r="E236" i="80"/>
  <c r="G236" i="80"/>
  <c r="I236" i="80"/>
  <c r="K236" i="80"/>
  <c r="M236" i="80"/>
  <c r="O236" i="80"/>
  <c r="Q236" i="80"/>
  <c r="C235" i="80"/>
  <c r="E235" i="80"/>
  <c r="G235" i="80"/>
  <c r="I235" i="80"/>
  <c r="K235" i="80"/>
  <c r="M235" i="80"/>
  <c r="O235" i="80"/>
  <c r="Q235" i="80"/>
  <c r="C234" i="80"/>
  <c r="E234" i="80"/>
  <c r="G234" i="80"/>
  <c r="I234" i="80"/>
  <c r="K234" i="80"/>
  <c r="M234" i="80"/>
  <c r="O234" i="80"/>
  <c r="Q234" i="80"/>
  <c r="C233" i="80"/>
  <c r="E233" i="80"/>
  <c r="G233" i="80"/>
  <c r="I233" i="80"/>
  <c r="K233" i="80"/>
  <c r="M233" i="80"/>
  <c r="O233" i="80"/>
  <c r="Q233" i="80"/>
  <c r="C232" i="80"/>
  <c r="E232" i="80"/>
  <c r="G232" i="80"/>
  <c r="I232" i="80"/>
  <c r="K232" i="80"/>
  <c r="M232" i="80"/>
  <c r="O232" i="80"/>
  <c r="Q232" i="80"/>
  <c r="C231" i="80"/>
  <c r="E231" i="80"/>
  <c r="G231" i="80"/>
  <c r="I231" i="80"/>
  <c r="K231" i="80"/>
  <c r="M231" i="80"/>
  <c r="O231" i="80"/>
  <c r="Q231" i="80"/>
  <c r="C230" i="80"/>
  <c r="E230" i="80"/>
  <c r="G230" i="80"/>
  <c r="I230" i="80"/>
  <c r="K230" i="80"/>
  <c r="M230" i="80"/>
  <c r="O230" i="80"/>
  <c r="Q230" i="80"/>
  <c r="C229" i="80"/>
  <c r="E229" i="80"/>
  <c r="G229" i="80"/>
  <c r="I229" i="80"/>
  <c r="K229" i="80"/>
  <c r="M229" i="80"/>
  <c r="O229" i="80"/>
  <c r="Q229" i="80"/>
  <c r="C228" i="80"/>
  <c r="E228" i="80"/>
  <c r="G228" i="80"/>
  <c r="I228" i="80"/>
  <c r="K228" i="80"/>
  <c r="M228" i="80"/>
  <c r="O228" i="80"/>
  <c r="Q228" i="80"/>
  <c r="C227" i="80"/>
  <c r="E227" i="80"/>
  <c r="G227" i="80"/>
  <c r="I227" i="80"/>
  <c r="K227" i="80"/>
  <c r="M227" i="80"/>
  <c r="O227" i="80"/>
  <c r="Q227" i="80"/>
  <c r="C226" i="80"/>
  <c r="E226" i="80"/>
  <c r="G226" i="80"/>
  <c r="I226" i="80"/>
  <c r="K226" i="80"/>
  <c r="M226" i="80"/>
  <c r="O226" i="80"/>
  <c r="Q226" i="80"/>
  <c r="C225" i="80"/>
  <c r="E225" i="80"/>
  <c r="G225" i="80"/>
  <c r="I225" i="80"/>
  <c r="K225" i="80"/>
  <c r="M225" i="80"/>
  <c r="O225" i="80"/>
  <c r="Q225" i="80"/>
  <c r="C224" i="80"/>
  <c r="E224" i="80"/>
  <c r="G224" i="80"/>
  <c r="I224" i="80"/>
  <c r="K224" i="80"/>
  <c r="M224" i="80"/>
  <c r="O224" i="80"/>
  <c r="Q224" i="80"/>
  <c r="C223" i="80"/>
  <c r="E223" i="80"/>
  <c r="G223" i="80"/>
  <c r="I223" i="80"/>
  <c r="K223" i="80"/>
  <c r="M223" i="80"/>
  <c r="O223" i="80"/>
  <c r="Q223" i="80"/>
  <c r="C222" i="80"/>
  <c r="E222" i="80"/>
  <c r="G222" i="80"/>
  <c r="I222" i="80"/>
  <c r="K222" i="80"/>
  <c r="M222" i="80"/>
  <c r="O222" i="80"/>
  <c r="Q222" i="80"/>
  <c r="C221" i="80"/>
  <c r="E221" i="80"/>
  <c r="G221" i="80"/>
  <c r="I221" i="80"/>
  <c r="K221" i="80"/>
  <c r="M221" i="80"/>
  <c r="O221" i="80"/>
  <c r="Q221" i="80"/>
  <c r="C220" i="80"/>
  <c r="E220" i="80"/>
  <c r="G220" i="80"/>
  <c r="I220" i="80"/>
  <c r="K220" i="80"/>
  <c r="M220" i="80"/>
  <c r="O220" i="80"/>
  <c r="Q220" i="80"/>
  <c r="C219" i="80"/>
  <c r="E219" i="80"/>
  <c r="G219" i="80"/>
  <c r="I219" i="80"/>
  <c r="K219" i="80"/>
  <c r="M219" i="80"/>
  <c r="O219" i="80"/>
  <c r="Q219" i="80"/>
  <c r="C218" i="80"/>
  <c r="E218" i="80"/>
  <c r="G218" i="80"/>
  <c r="I218" i="80"/>
  <c r="K218" i="80"/>
  <c r="M218" i="80"/>
  <c r="O218" i="80"/>
  <c r="Q218" i="80"/>
  <c r="C217" i="80"/>
  <c r="E217" i="80"/>
  <c r="G217" i="80"/>
  <c r="I217" i="80"/>
  <c r="K217" i="80"/>
  <c r="M217" i="80"/>
  <c r="O217" i="80"/>
  <c r="Q217" i="80"/>
  <c r="C216" i="80"/>
  <c r="E216" i="80"/>
  <c r="G216" i="80"/>
  <c r="I216" i="80"/>
  <c r="K216" i="80"/>
  <c r="M216" i="80"/>
  <c r="O216" i="80"/>
  <c r="Q216" i="80"/>
  <c r="C215" i="80"/>
  <c r="E215" i="80"/>
  <c r="G215" i="80"/>
  <c r="I215" i="80"/>
  <c r="K215" i="80"/>
  <c r="M215" i="80"/>
  <c r="O215" i="80"/>
  <c r="Q215" i="80"/>
  <c r="C214" i="80"/>
  <c r="E214" i="80"/>
  <c r="G214" i="80"/>
  <c r="I214" i="80"/>
  <c r="K214" i="80"/>
  <c r="M214" i="80"/>
  <c r="O214" i="80"/>
  <c r="Q214" i="80"/>
  <c r="C213" i="80"/>
  <c r="E213" i="80"/>
  <c r="G213" i="80"/>
  <c r="I213" i="80"/>
  <c r="K213" i="80"/>
  <c r="M213" i="80"/>
  <c r="O213" i="80"/>
  <c r="Q213" i="80"/>
  <c r="C212" i="80"/>
  <c r="E212" i="80"/>
  <c r="G212" i="80"/>
  <c r="I212" i="80"/>
  <c r="K212" i="80"/>
  <c r="M212" i="80"/>
  <c r="O212" i="80"/>
  <c r="Q212" i="80"/>
  <c r="C211" i="80"/>
  <c r="E211" i="80"/>
  <c r="G211" i="80"/>
  <c r="I211" i="80"/>
  <c r="K211" i="80"/>
  <c r="M211" i="80"/>
  <c r="O211" i="80"/>
  <c r="Q211" i="80"/>
  <c r="C210" i="80"/>
  <c r="E210" i="80"/>
  <c r="G210" i="80"/>
  <c r="I210" i="80"/>
  <c r="K210" i="80"/>
  <c r="M210" i="80"/>
  <c r="O210" i="80"/>
  <c r="Q210" i="80"/>
  <c r="C209" i="80"/>
  <c r="E209" i="80"/>
  <c r="G209" i="80"/>
  <c r="I209" i="80"/>
  <c r="K209" i="80"/>
  <c r="M209" i="80"/>
  <c r="O209" i="80"/>
  <c r="Q209" i="80"/>
  <c r="C208" i="80"/>
  <c r="E208" i="80"/>
  <c r="G208" i="80"/>
  <c r="I208" i="80"/>
  <c r="K208" i="80"/>
  <c r="M208" i="80"/>
  <c r="O208" i="80"/>
  <c r="Q208" i="80"/>
  <c r="C207" i="80"/>
  <c r="E207" i="80"/>
  <c r="G207" i="80"/>
  <c r="I207" i="80"/>
  <c r="K207" i="80"/>
  <c r="M207" i="80"/>
  <c r="O207" i="80"/>
  <c r="Q207" i="80"/>
  <c r="C206" i="80"/>
  <c r="E206" i="80"/>
  <c r="G206" i="80"/>
  <c r="I206" i="80"/>
  <c r="K206" i="80"/>
  <c r="M206" i="80"/>
  <c r="O206" i="80"/>
  <c r="Q206" i="80"/>
  <c r="C205" i="80"/>
  <c r="E205" i="80"/>
  <c r="G205" i="80"/>
  <c r="I205" i="80"/>
  <c r="K205" i="80"/>
  <c r="M205" i="80"/>
  <c r="O205" i="80"/>
  <c r="Q205" i="80"/>
  <c r="C204" i="80"/>
  <c r="E204" i="80"/>
  <c r="G204" i="80"/>
  <c r="I204" i="80"/>
  <c r="K204" i="80"/>
  <c r="M204" i="80"/>
  <c r="O204" i="80"/>
  <c r="Q204" i="80"/>
  <c r="C203" i="80"/>
  <c r="E203" i="80"/>
  <c r="G203" i="80"/>
  <c r="I203" i="80"/>
  <c r="K203" i="80"/>
  <c r="M203" i="80"/>
  <c r="O203" i="80"/>
  <c r="Q203" i="80"/>
  <c r="C202" i="80"/>
  <c r="E202" i="80"/>
  <c r="G202" i="80"/>
  <c r="I202" i="80"/>
  <c r="K202" i="80"/>
  <c r="M202" i="80"/>
  <c r="O202" i="80"/>
  <c r="Q202" i="80"/>
  <c r="C201" i="80"/>
  <c r="E201" i="80"/>
  <c r="G201" i="80"/>
  <c r="I201" i="80"/>
  <c r="K201" i="80"/>
  <c r="M201" i="80"/>
  <c r="O201" i="80"/>
  <c r="Q201" i="80"/>
  <c r="C200" i="80"/>
  <c r="E200" i="80"/>
  <c r="G200" i="80"/>
  <c r="I200" i="80"/>
  <c r="K200" i="80"/>
  <c r="M200" i="80"/>
  <c r="O200" i="80"/>
  <c r="Q200" i="80"/>
  <c r="C199" i="80"/>
  <c r="E199" i="80"/>
  <c r="G199" i="80"/>
  <c r="I199" i="80"/>
  <c r="K199" i="80"/>
  <c r="M199" i="80"/>
  <c r="O199" i="80"/>
  <c r="Q199" i="80"/>
  <c r="C198" i="80"/>
  <c r="E198" i="80"/>
  <c r="G198" i="80"/>
  <c r="I198" i="80"/>
  <c r="K198" i="80"/>
  <c r="M198" i="80"/>
  <c r="O198" i="80"/>
  <c r="Q198" i="80"/>
  <c r="C197" i="80"/>
  <c r="E197" i="80"/>
  <c r="G197" i="80"/>
  <c r="I197" i="80"/>
  <c r="K197" i="80"/>
  <c r="M197" i="80"/>
  <c r="O197" i="80"/>
  <c r="Q197" i="80"/>
  <c r="C196" i="80"/>
  <c r="E196" i="80"/>
  <c r="G196" i="80"/>
  <c r="I196" i="80"/>
  <c r="K196" i="80"/>
  <c r="M196" i="80"/>
  <c r="O196" i="80"/>
  <c r="Q196" i="80"/>
  <c r="C195" i="80"/>
  <c r="E195" i="80"/>
  <c r="G195" i="80"/>
  <c r="I195" i="80"/>
  <c r="K195" i="80"/>
  <c r="M195" i="80"/>
  <c r="O195" i="80"/>
  <c r="Q195" i="80"/>
  <c r="C194" i="80"/>
  <c r="E194" i="80"/>
  <c r="G194" i="80"/>
  <c r="I194" i="80"/>
  <c r="K194" i="80"/>
  <c r="M194" i="80"/>
  <c r="O194" i="80"/>
  <c r="Q194" i="80"/>
  <c r="C193" i="80"/>
  <c r="E193" i="80"/>
  <c r="G193" i="80"/>
  <c r="I193" i="80"/>
  <c r="K193" i="80"/>
  <c r="M193" i="80"/>
  <c r="O193" i="80"/>
  <c r="Q193" i="80"/>
  <c r="C192" i="80"/>
  <c r="E192" i="80"/>
  <c r="G192" i="80"/>
  <c r="I192" i="80"/>
  <c r="K192" i="80"/>
  <c r="M192" i="80"/>
  <c r="O192" i="80"/>
  <c r="Q192" i="80"/>
  <c r="C191" i="80"/>
  <c r="E191" i="80"/>
  <c r="G191" i="80"/>
  <c r="I191" i="80"/>
  <c r="K191" i="80"/>
  <c r="M191" i="80"/>
  <c r="O191" i="80"/>
  <c r="Q191" i="80"/>
  <c r="C190" i="80"/>
  <c r="E190" i="80"/>
  <c r="G190" i="80"/>
  <c r="I190" i="80"/>
  <c r="K190" i="80"/>
  <c r="M190" i="80"/>
  <c r="O190" i="80"/>
  <c r="Q190" i="80"/>
  <c r="C189" i="80"/>
  <c r="E189" i="80"/>
  <c r="G189" i="80"/>
  <c r="I189" i="80"/>
  <c r="K189" i="80"/>
  <c r="M189" i="80"/>
  <c r="O189" i="80"/>
  <c r="Q189" i="80"/>
  <c r="C188" i="80"/>
  <c r="E188" i="80"/>
  <c r="G188" i="80"/>
  <c r="I188" i="80"/>
  <c r="K188" i="80"/>
  <c r="M188" i="80"/>
  <c r="O188" i="80"/>
  <c r="Q188" i="80"/>
  <c r="C187" i="80"/>
  <c r="E187" i="80"/>
  <c r="G187" i="80"/>
  <c r="I187" i="80"/>
  <c r="K187" i="80"/>
  <c r="M187" i="80"/>
  <c r="O187" i="80"/>
  <c r="Q187" i="80"/>
  <c r="C186" i="80"/>
  <c r="E186" i="80"/>
  <c r="G186" i="80"/>
  <c r="I186" i="80"/>
  <c r="K186" i="80"/>
  <c r="M186" i="80"/>
  <c r="O186" i="80"/>
  <c r="Q186" i="80"/>
  <c r="C185" i="80"/>
  <c r="E185" i="80"/>
  <c r="G185" i="80"/>
  <c r="I185" i="80"/>
  <c r="K185" i="80"/>
  <c r="M185" i="80"/>
  <c r="O185" i="80"/>
  <c r="Q185" i="80"/>
  <c r="C184" i="80"/>
  <c r="E184" i="80"/>
  <c r="G184" i="80"/>
  <c r="I184" i="80"/>
  <c r="K184" i="80"/>
  <c r="M184" i="80"/>
  <c r="O184" i="80"/>
  <c r="Q184" i="80"/>
  <c r="C183" i="80"/>
  <c r="E183" i="80"/>
  <c r="G183" i="80"/>
  <c r="I183" i="80"/>
  <c r="K183" i="80"/>
  <c r="M183" i="80"/>
  <c r="O183" i="80"/>
  <c r="Q183" i="80"/>
  <c r="C182" i="80"/>
  <c r="E182" i="80"/>
  <c r="G182" i="80"/>
  <c r="I182" i="80"/>
  <c r="K182" i="80"/>
  <c r="M182" i="80"/>
  <c r="O182" i="80"/>
  <c r="Q182" i="80"/>
  <c r="C181" i="80"/>
  <c r="E181" i="80"/>
  <c r="G181" i="80"/>
  <c r="I181" i="80"/>
  <c r="K181" i="80"/>
  <c r="M181" i="80"/>
  <c r="O181" i="80"/>
  <c r="Q181" i="80"/>
  <c r="C180" i="80"/>
  <c r="E180" i="80"/>
  <c r="G180" i="80"/>
  <c r="I180" i="80"/>
  <c r="K180" i="80"/>
  <c r="M180" i="80"/>
  <c r="O180" i="80"/>
  <c r="Q180" i="80"/>
  <c r="C179" i="80"/>
  <c r="E179" i="80"/>
  <c r="G179" i="80"/>
  <c r="I179" i="80"/>
  <c r="K179" i="80"/>
  <c r="M179" i="80"/>
  <c r="O179" i="80"/>
  <c r="Q179" i="80"/>
  <c r="C178" i="80"/>
  <c r="E178" i="80"/>
  <c r="G178" i="80"/>
  <c r="I178" i="80"/>
  <c r="K178" i="80"/>
  <c r="M178" i="80"/>
  <c r="O178" i="80"/>
  <c r="Q178" i="80"/>
  <c r="C177" i="80"/>
  <c r="E177" i="80"/>
  <c r="G177" i="80"/>
  <c r="I177" i="80"/>
  <c r="K177" i="80"/>
  <c r="M177" i="80"/>
  <c r="O177" i="80"/>
  <c r="Q177" i="80"/>
  <c r="C176" i="80"/>
  <c r="E176" i="80"/>
  <c r="G176" i="80"/>
  <c r="I176" i="80"/>
  <c r="K176" i="80"/>
  <c r="M176" i="80"/>
  <c r="O176" i="80"/>
  <c r="Q176" i="80"/>
  <c r="C175" i="80"/>
  <c r="E175" i="80"/>
  <c r="G175" i="80"/>
  <c r="I175" i="80"/>
  <c r="K175" i="80"/>
  <c r="M175" i="80"/>
  <c r="O175" i="80"/>
  <c r="Q175" i="80"/>
  <c r="C174" i="80"/>
  <c r="E174" i="80"/>
  <c r="G174" i="80"/>
  <c r="I174" i="80"/>
  <c r="K174" i="80"/>
  <c r="M174" i="80"/>
  <c r="O174" i="80"/>
  <c r="Q174" i="80"/>
  <c r="C173" i="80"/>
  <c r="E173" i="80"/>
  <c r="G173" i="80"/>
  <c r="I173" i="80"/>
  <c r="K173" i="80"/>
  <c r="M173" i="80"/>
  <c r="O173" i="80"/>
  <c r="Q173" i="80"/>
  <c r="C172" i="80"/>
  <c r="E172" i="80"/>
  <c r="G172" i="80"/>
  <c r="I172" i="80"/>
  <c r="K172" i="80"/>
  <c r="M172" i="80"/>
  <c r="O172" i="80"/>
  <c r="Q172" i="80"/>
  <c r="C171" i="80"/>
  <c r="E171" i="80"/>
  <c r="G171" i="80"/>
  <c r="I171" i="80"/>
  <c r="K171" i="80"/>
  <c r="M171" i="80"/>
  <c r="O171" i="80"/>
  <c r="Q171" i="80"/>
  <c r="C170" i="80"/>
  <c r="E170" i="80"/>
  <c r="G170" i="80"/>
  <c r="I170" i="80"/>
  <c r="K170" i="80"/>
  <c r="M170" i="80"/>
  <c r="O170" i="80"/>
  <c r="Q170" i="80"/>
  <c r="C169" i="80"/>
  <c r="E169" i="80"/>
  <c r="G169" i="80"/>
  <c r="I169" i="80"/>
  <c r="K169" i="80"/>
  <c r="M169" i="80"/>
  <c r="O169" i="80"/>
  <c r="Q169" i="80"/>
  <c r="C168" i="80"/>
  <c r="E168" i="80"/>
  <c r="G168" i="80"/>
  <c r="I168" i="80"/>
  <c r="K168" i="80"/>
  <c r="M168" i="80"/>
  <c r="O168" i="80"/>
  <c r="Q168" i="80"/>
  <c r="C167" i="80"/>
  <c r="E167" i="80"/>
  <c r="G167" i="80"/>
  <c r="I167" i="80"/>
  <c r="K167" i="80"/>
  <c r="M167" i="80"/>
  <c r="O167" i="80"/>
  <c r="Q167" i="80"/>
  <c r="C166" i="80"/>
  <c r="E166" i="80"/>
  <c r="G166" i="80"/>
  <c r="I166" i="80"/>
  <c r="K166" i="80"/>
  <c r="M166" i="80"/>
  <c r="O166" i="80"/>
  <c r="Q166" i="80"/>
  <c r="C165" i="80"/>
  <c r="E165" i="80"/>
  <c r="G165" i="80"/>
  <c r="I165" i="80"/>
  <c r="K165" i="80"/>
  <c r="M165" i="80"/>
  <c r="O165" i="80"/>
  <c r="Q165" i="80"/>
  <c r="C164" i="80"/>
  <c r="E164" i="80"/>
  <c r="G164" i="80"/>
  <c r="I164" i="80"/>
  <c r="K164" i="80"/>
  <c r="M164" i="80"/>
  <c r="O164" i="80"/>
  <c r="Q164" i="80"/>
  <c r="C163" i="80"/>
  <c r="E163" i="80"/>
  <c r="G163" i="80"/>
  <c r="I163" i="80"/>
  <c r="K163" i="80"/>
  <c r="M163" i="80"/>
  <c r="O163" i="80"/>
  <c r="Q163" i="80"/>
  <c r="C162" i="80"/>
  <c r="E162" i="80"/>
  <c r="G162" i="80"/>
  <c r="I162" i="80"/>
  <c r="K162" i="80"/>
  <c r="M162" i="80"/>
  <c r="O162" i="80"/>
  <c r="Q162" i="80"/>
  <c r="C161" i="80"/>
  <c r="E161" i="80"/>
  <c r="G161" i="80"/>
  <c r="I161" i="80"/>
  <c r="K161" i="80"/>
  <c r="M161" i="80"/>
  <c r="O161" i="80"/>
  <c r="Q161" i="80"/>
  <c r="C160" i="80"/>
  <c r="E160" i="80"/>
  <c r="G160" i="80"/>
  <c r="I160" i="80"/>
  <c r="K160" i="80"/>
  <c r="M160" i="80"/>
  <c r="O160" i="80"/>
  <c r="Q160" i="80"/>
  <c r="C159" i="80"/>
  <c r="E159" i="80"/>
  <c r="G159" i="80"/>
  <c r="I159" i="80"/>
  <c r="K159" i="80"/>
  <c r="M159" i="80"/>
  <c r="O159" i="80"/>
  <c r="Q159" i="80"/>
  <c r="C158" i="80"/>
  <c r="E158" i="80"/>
  <c r="G158" i="80"/>
  <c r="I158" i="80"/>
  <c r="K158" i="80"/>
  <c r="M158" i="80"/>
  <c r="O158" i="80"/>
  <c r="Q158" i="80"/>
  <c r="C157" i="80"/>
  <c r="E157" i="80"/>
  <c r="G157" i="80"/>
  <c r="I157" i="80"/>
  <c r="K157" i="80"/>
  <c r="M157" i="80"/>
  <c r="O157" i="80"/>
  <c r="Q157" i="80"/>
  <c r="C156" i="80"/>
  <c r="E156" i="80"/>
  <c r="G156" i="80"/>
  <c r="I156" i="80"/>
  <c r="K156" i="80"/>
  <c r="M156" i="80"/>
  <c r="O156" i="80"/>
  <c r="Q156" i="80"/>
  <c r="C155" i="80"/>
  <c r="E155" i="80"/>
  <c r="G155" i="80"/>
  <c r="I155" i="80"/>
  <c r="K155" i="80"/>
  <c r="M155" i="80"/>
  <c r="O155" i="80"/>
  <c r="Q155" i="80"/>
  <c r="C154" i="80"/>
  <c r="E154" i="80"/>
  <c r="G154" i="80"/>
  <c r="I154" i="80"/>
  <c r="K154" i="80"/>
  <c r="M154" i="80"/>
  <c r="O154" i="80"/>
  <c r="Q154" i="80"/>
  <c r="C153" i="80"/>
  <c r="E153" i="80"/>
  <c r="G153" i="80"/>
  <c r="I153" i="80"/>
  <c r="K153" i="80"/>
  <c r="M153" i="80"/>
  <c r="O153" i="80"/>
  <c r="Q153" i="80"/>
  <c r="C152" i="80"/>
  <c r="E152" i="80"/>
  <c r="G152" i="80"/>
  <c r="I152" i="80"/>
  <c r="K152" i="80"/>
  <c r="M152" i="80"/>
  <c r="O152" i="80"/>
  <c r="Q152" i="80"/>
  <c r="C151" i="80"/>
  <c r="E151" i="80"/>
  <c r="G151" i="80"/>
  <c r="I151" i="80"/>
  <c r="K151" i="80"/>
  <c r="M151" i="80"/>
  <c r="O151" i="80"/>
  <c r="Q151" i="80"/>
  <c r="C150" i="80"/>
  <c r="E150" i="80"/>
  <c r="G150" i="80"/>
  <c r="I150" i="80"/>
  <c r="K150" i="80"/>
  <c r="M150" i="80"/>
  <c r="O150" i="80"/>
  <c r="Q150" i="80"/>
  <c r="C149" i="80"/>
  <c r="E149" i="80"/>
  <c r="G149" i="80"/>
  <c r="I149" i="80"/>
  <c r="K149" i="80"/>
  <c r="M149" i="80"/>
  <c r="O149" i="80"/>
  <c r="Q149" i="80"/>
  <c r="C148" i="80"/>
  <c r="E148" i="80"/>
  <c r="G148" i="80"/>
  <c r="I148" i="80"/>
  <c r="K148" i="80"/>
  <c r="M148" i="80"/>
  <c r="O148" i="80"/>
  <c r="Q148" i="80"/>
  <c r="C147" i="80"/>
  <c r="E147" i="80"/>
  <c r="G147" i="80"/>
  <c r="I147" i="80"/>
  <c r="K147" i="80"/>
  <c r="M147" i="80"/>
  <c r="O147" i="80"/>
  <c r="Q147" i="80"/>
  <c r="C146" i="80"/>
  <c r="E146" i="80"/>
  <c r="G146" i="80"/>
  <c r="I146" i="80"/>
  <c r="K146" i="80"/>
  <c r="M146" i="80"/>
  <c r="O146" i="80"/>
  <c r="Q146" i="80"/>
  <c r="C145" i="80"/>
  <c r="E145" i="80"/>
  <c r="G145" i="80"/>
  <c r="I145" i="80"/>
  <c r="K145" i="80"/>
  <c r="M145" i="80"/>
  <c r="O145" i="80"/>
  <c r="Q145" i="80"/>
  <c r="C144" i="80"/>
  <c r="E144" i="80"/>
  <c r="G144" i="80"/>
  <c r="I144" i="80"/>
  <c r="K144" i="80"/>
  <c r="M144" i="80"/>
  <c r="O144" i="80"/>
  <c r="Q144" i="80"/>
  <c r="C143" i="80"/>
  <c r="E143" i="80"/>
  <c r="G143" i="80"/>
  <c r="I143" i="80"/>
  <c r="K143" i="80"/>
  <c r="M143" i="80"/>
  <c r="O143" i="80"/>
  <c r="Q143" i="80"/>
  <c r="C142" i="80"/>
  <c r="E142" i="80"/>
  <c r="G142" i="80"/>
  <c r="I142" i="80"/>
  <c r="K142" i="80"/>
  <c r="M142" i="80"/>
  <c r="O142" i="80"/>
  <c r="Q142" i="80"/>
  <c r="C141" i="80"/>
  <c r="E141" i="80"/>
  <c r="G141" i="80"/>
  <c r="I141" i="80"/>
  <c r="K141" i="80"/>
  <c r="M141" i="80"/>
  <c r="O141" i="80"/>
  <c r="Q141" i="80"/>
  <c r="C140" i="80"/>
  <c r="E140" i="80"/>
  <c r="G140" i="80"/>
  <c r="I140" i="80"/>
  <c r="K140" i="80"/>
  <c r="M140" i="80"/>
  <c r="O140" i="80"/>
  <c r="Q140" i="80"/>
  <c r="C139" i="80"/>
  <c r="E139" i="80"/>
  <c r="G139" i="80"/>
  <c r="I139" i="80"/>
  <c r="K139" i="80"/>
  <c r="M139" i="80"/>
  <c r="O139" i="80"/>
  <c r="Q139" i="80"/>
  <c r="C138" i="80"/>
  <c r="E138" i="80"/>
  <c r="G138" i="80"/>
  <c r="I138" i="80"/>
  <c r="K138" i="80"/>
  <c r="M138" i="80"/>
  <c r="O138" i="80"/>
  <c r="Q138" i="80"/>
  <c r="C137" i="80"/>
  <c r="E137" i="80"/>
  <c r="G137" i="80"/>
  <c r="I137" i="80"/>
  <c r="K137" i="80"/>
  <c r="M137" i="80"/>
  <c r="O137" i="80"/>
  <c r="Q137" i="80"/>
  <c r="C136" i="80"/>
  <c r="E136" i="80"/>
  <c r="G136" i="80"/>
  <c r="I136" i="80"/>
  <c r="K136" i="80"/>
  <c r="M136" i="80"/>
  <c r="O136" i="80"/>
  <c r="Q136" i="80"/>
  <c r="C135" i="80"/>
  <c r="E135" i="80"/>
  <c r="G135" i="80"/>
  <c r="I135" i="80"/>
  <c r="K135" i="80"/>
  <c r="M135" i="80"/>
  <c r="O135" i="80"/>
  <c r="Q135" i="80"/>
  <c r="C134" i="80"/>
  <c r="E134" i="80"/>
  <c r="G134" i="80"/>
  <c r="I134" i="80"/>
  <c r="K134" i="80"/>
  <c r="M134" i="80"/>
  <c r="O134" i="80"/>
  <c r="Q134" i="80"/>
  <c r="C133" i="80"/>
  <c r="E133" i="80"/>
  <c r="G133" i="80"/>
  <c r="I133" i="80"/>
  <c r="K133" i="80"/>
  <c r="M133" i="80"/>
  <c r="O133" i="80"/>
  <c r="Q133" i="80"/>
  <c r="C132" i="80"/>
  <c r="E132" i="80"/>
  <c r="G132" i="80"/>
  <c r="I132" i="80"/>
  <c r="K132" i="80"/>
  <c r="M132" i="80"/>
  <c r="O132" i="80"/>
  <c r="Q132" i="80"/>
  <c r="C131" i="80"/>
  <c r="E131" i="80"/>
  <c r="G131" i="80"/>
  <c r="I131" i="80"/>
  <c r="K131" i="80"/>
  <c r="M131" i="80"/>
  <c r="O131" i="80"/>
  <c r="Q131" i="80"/>
  <c r="C130" i="80"/>
  <c r="E130" i="80"/>
  <c r="G130" i="80"/>
  <c r="I130" i="80"/>
  <c r="K130" i="80"/>
  <c r="M130" i="80"/>
  <c r="O130" i="80"/>
  <c r="Q130" i="80"/>
  <c r="C129" i="80"/>
  <c r="E129" i="80"/>
  <c r="G129" i="80"/>
  <c r="I129" i="80"/>
  <c r="K129" i="80"/>
  <c r="M129" i="80"/>
  <c r="O129" i="80"/>
  <c r="Q129" i="80"/>
  <c r="C128" i="80"/>
  <c r="E128" i="80"/>
  <c r="G128" i="80"/>
  <c r="I128" i="80"/>
  <c r="K128" i="80"/>
  <c r="M128" i="80"/>
  <c r="O128" i="80"/>
  <c r="Q128" i="80"/>
  <c r="C127" i="80"/>
  <c r="E127" i="80"/>
  <c r="G127" i="80"/>
  <c r="I127" i="80"/>
  <c r="K127" i="80"/>
  <c r="M127" i="80"/>
  <c r="O127" i="80"/>
  <c r="Q127" i="80"/>
  <c r="C126" i="80"/>
  <c r="E126" i="80"/>
  <c r="G126" i="80"/>
  <c r="I126" i="80"/>
  <c r="K126" i="80"/>
  <c r="M126" i="80"/>
  <c r="O126" i="80"/>
  <c r="Q126" i="80"/>
  <c r="C125" i="80"/>
  <c r="E125" i="80"/>
  <c r="G125" i="80"/>
  <c r="I125" i="80"/>
  <c r="K125" i="80"/>
  <c r="M125" i="80"/>
  <c r="O125" i="80"/>
  <c r="Q125" i="80"/>
  <c r="C124" i="80"/>
  <c r="E124" i="80"/>
  <c r="G124" i="80"/>
  <c r="I124" i="80"/>
  <c r="K124" i="80"/>
  <c r="M124" i="80"/>
  <c r="O124" i="80"/>
  <c r="Q124" i="80"/>
  <c r="C123" i="80"/>
  <c r="E123" i="80"/>
  <c r="G123" i="80"/>
  <c r="I123" i="80"/>
  <c r="K123" i="80"/>
  <c r="M123" i="80"/>
  <c r="O123" i="80"/>
  <c r="Q123" i="80"/>
  <c r="C122" i="80"/>
  <c r="E122" i="80"/>
  <c r="G122" i="80"/>
  <c r="I122" i="80"/>
  <c r="K122" i="80"/>
  <c r="M122" i="80"/>
  <c r="O122" i="80"/>
  <c r="Q122" i="80"/>
  <c r="C121" i="80"/>
  <c r="E121" i="80"/>
  <c r="G121" i="80"/>
  <c r="I121" i="80"/>
  <c r="K121" i="80"/>
  <c r="M121" i="80"/>
  <c r="O121" i="80"/>
  <c r="Q121" i="80"/>
  <c r="C120" i="80"/>
  <c r="E120" i="80"/>
  <c r="G120" i="80"/>
  <c r="I120" i="80"/>
  <c r="K120" i="80"/>
  <c r="M120" i="80"/>
  <c r="O120" i="80"/>
  <c r="Q120" i="80"/>
  <c r="C119" i="80"/>
  <c r="E119" i="80"/>
  <c r="G119" i="80"/>
  <c r="I119" i="80"/>
  <c r="K119" i="80"/>
  <c r="M119" i="80"/>
  <c r="O119" i="80"/>
  <c r="Q119" i="80"/>
  <c r="C118" i="80"/>
  <c r="E118" i="80"/>
  <c r="G118" i="80"/>
  <c r="I118" i="80"/>
  <c r="K118" i="80"/>
  <c r="M118" i="80"/>
  <c r="O118" i="80"/>
  <c r="Q118" i="80"/>
  <c r="C117" i="80"/>
  <c r="E117" i="80"/>
  <c r="G117" i="80"/>
  <c r="I117" i="80"/>
  <c r="K117" i="80"/>
  <c r="M117" i="80"/>
  <c r="O117" i="80"/>
  <c r="Q117" i="80"/>
  <c r="C116" i="80"/>
  <c r="E116" i="80"/>
  <c r="G116" i="80"/>
  <c r="I116" i="80"/>
  <c r="K116" i="80"/>
  <c r="M116" i="80"/>
  <c r="O116" i="80"/>
  <c r="Q116" i="80"/>
  <c r="C115" i="80"/>
  <c r="E115" i="80"/>
  <c r="G115" i="80"/>
  <c r="I115" i="80"/>
  <c r="K115" i="80"/>
  <c r="M115" i="80"/>
  <c r="O115" i="80"/>
  <c r="Q115" i="80"/>
  <c r="C114" i="80"/>
  <c r="E114" i="80"/>
  <c r="G114" i="80"/>
  <c r="I114" i="80"/>
  <c r="K114" i="80"/>
  <c r="M114" i="80"/>
  <c r="O114" i="80"/>
  <c r="Q114" i="80"/>
  <c r="C113" i="80"/>
  <c r="E113" i="80"/>
  <c r="G113" i="80"/>
  <c r="I113" i="80"/>
  <c r="K113" i="80"/>
  <c r="M113" i="80"/>
  <c r="O113" i="80"/>
  <c r="Q113" i="80"/>
  <c r="C112" i="80"/>
  <c r="E112" i="80"/>
  <c r="G112" i="80"/>
  <c r="I112" i="80"/>
  <c r="K112" i="80"/>
  <c r="M112" i="80"/>
  <c r="O112" i="80"/>
  <c r="Q112" i="80"/>
  <c r="C111" i="80"/>
  <c r="E111" i="80"/>
  <c r="G111" i="80"/>
  <c r="I111" i="80"/>
  <c r="K111" i="80"/>
  <c r="M111" i="80"/>
  <c r="O111" i="80"/>
  <c r="Q111" i="80"/>
  <c r="C110" i="80"/>
  <c r="E110" i="80"/>
  <c r="G110" i="80"/>
  <c r="I110" i="80"/>
  <c r="K110" i="80"/>
  <c r="M110" i="80"/>
  <c r="O110" i="80"/>
  <c r="Q110" i="80"/>
  <c r="C109" i="80"/>
  <c r="E109" i="80"/>
  <c r="G109" i="80"/>
  <c r="I109" i="80"/>
  <c r="K109" i="80"/>
  <c r="M109" i="80"/>
  <c r="O109" i="80"/>
  <c r="Q109" i="80"/>
  <c r="C108" i="80"/>
  <c r="E108" i="80"/>
  <c r="G108" i="80"/>
  <c r="I108" i="80"/>
  <c r="K108" i="80"/>
  <c r="M108" i="80"/>
  <c r="O108" i="80"/>
  <c r="Q108" i="80"/>
  <c r="C107" i="80"/>
  <c r="E107" i="80"/>
  <c r="G107" i="80"/>
  <c r="I107" i="80"/>
  <c r="K107" i="80"/>
  <c r="M107" i="80"/>
  <c r="O107" i="80"/>
  <c r="Q107" i="80"/>
  <c r="C106" i="80"/>
  <c r="E106" i="80"/>
  <c r="G106" i="80"/>
  <c r="I106" i="80"/>
  <c r="K106" i="80"/>
  <c r="M106" i="80"/>
  <c r="O106" i="80"/>
  <c r="Q106" i="80"/>
  <c r="C105" i="80"/>
  <c r="E105" i="80"/>
  <c r="G105" i="80"/>
  <c r="I105" i="80"/>
  <c r="K105" i="80"/>
  <c r="M105" i="80"/>
  <c r="O105" i="80"/>
  <c r="Q105" i="80"/>
  <c r="C104" i="80"/>
  <c r="E104" i="80"/>
  <c r="G104" i="80"/>
  <c r="I104" i="80"/>
  <c r="K104" i="80"/>
  <c r="M104" i="80"/>
  <c r="O104" i="80"/>
  <c r="Q104" i="80"/>
  <c r="C103" i="80"/>
  <c r="E103" i="80"/>
  <c r="G103" i="80"/>
  <c r="I103" i="80"/>
  <c r="K103" i="80"/>
  <c r="M103" i="80"/>
  <c r="O103" i="80"/>
  <c r="Q103" i="80"/>
  <c r="C102" i="80"/>
  <c r="E102" i="80"/>
  <c r="G102" i="80"/>
  <c r="I102" i="80"/>
  <c r="K102" i="80"/>
  <c r="M102" i="80"/>
  <c r="O102" i="80"/>
  <c r="Q102" i="80"/>
  <c r="C101" i="80"/>
  <c r="E101" i="80"/>
  <c r="G101" i="80"/>
  <c r="I101" i="80"/>
  <c r="K101" i="80"/>
  <c r="M101" i="80"/>
  <c r="O101" i="80"/>
  <c r="Q101" i="80"/>
  <c r="C100" i="80"/>
  <c r="E100" i="80"/>
  <c r="G100" i="80"/>
  <c r="I100" i="80"/>
  <c r="K100" i="80"/>
  <c r="M100" i="80"/>
  <c r="O100" i="80"/>
  <c r="Q100" i="80"/>
  <c r="C99" i="80"/>
  <c r="E99" i="80"/>
  <c r="G99" i="80"/>
  <c r="I99" i="80"/>
  <c r="K99" i="80"/>
  <c r="M99" i="80"/>
  <c r="O99" i="80"/>
  <c r="Q99" i="80"/>
  <c r="C98" i="80"/>
  <c r="E98" i="80"/>
  <c r="G98" i="80"/>
  <c r="I98" i="80"/>
  <c r="K98" i="80"/>
  <c r="M98" i="80"/>
  <c r="O98" i="80"/>
  <c r="Q98" i="80"/>
  <c r="C97" i="80"/>
  <c r="E97" i="80"/>
  <c r="G97" i="80"/>
  <c r="I97" i="80"/>
  <c r="K97" i="80"/>
  <c r="M97" i="80"/>
  <c r="O97" i="80"/>
  <c r="Q97" i="80"/>
  <c r="C96" i="80"/>
  <c r="E96" i="80"/>
  <c r="G96" i="80"/>
  <c r="I96" i="80"/>
  <c r="K96" i="80"/>
  <c r="M96" i="80"/>
  <c r="O96" i="80"/>
  <c r="Q96" i="80"/>
  <c r="C95" i="80"/>
  <c r="E95" i="80"/>
  <c r="G95" i="80"/>
  <c r="I95" i="80"/>
  <c r="K95" i="80"/>
  <c r="M95" i="80"/>
  <c r="O95" i="80"/>
  <c r="Q95" i="80"/>
  <c r="C94" i="80"/>
  <c r="E94" i="80"/>
  <c r="G94" i="80"/>
  <c r="I94" i="80"/>
  <c r="K94" i="80"/>
  <c r="M94" i="80"/>
  <c r="O94" i="80"/>
  <c r="Q94" i="80"/>
  <c r="C93" i="80"/>
  <c r="E93" i="80"/>
  <c r="G93" i="80"/>
  <c r="I93" i="80"/>
  <c r="K93" i="80"/>
  <c r="M93" i="80"/>
  <c r="O93" i="80"/>
  <c r="Q93" i="80"/>
  <c r="C92" i="80"/>
  <c r="E92" i="80"/>
  <c r="G92" i="80"/>
  <c r="I92" i="80"/>
  <c r="K92" i="80"/>
  <c r="M92" i="80"/>
  <c r="O92" i="80"/>
  <c r="Q92" i="80"/>
  <c r="C91" i="80"/>
  <c r="E91" i="80"/>
  <c r="G91" i="80"/>
  <c r="I91" i="80"/>
  <c r="K91" i="80"/>
  <c r="M91" i="80"/>
  <c r="O91" i="80"/>
  <c r="Q91" i="80"/>
  <c r="C90" i="80"/>
  <c r="E90" i="80"/>
  <c r="G90" i="80"/>
  <c r="I90" i="80"/>
  <c r="K90" i="80"/>
  <c r="M90" i="80"/>
  <c r="O90" i="80"/>
  <c r="Q90" i="80"/>
  <c r="C89" i="80"/>
  <c r="E89" i="80"/>
  <c r="G89" i="80"/>
  <c r="I89" i="80"/>
  <c r="K89" i="80"/>
  <c r="M89" i="80"/>
  <c r="O89" i="80"/>
  <c r="Q89" i="80"/>
  <c r="C88" i="80"/>
  <c r="E88" i="80"/>
  <c r="G88" i="80"/>
  <c r="I88" i="80"/>
  <c r="K88" i="80"/>
  <c r="M88" i="80"/>
  <c r="O88" i="80"/>
  <c r="Q88" i="80"/>
  <c r="C87" i="80"/>
  <c r="E87" i="80"/>
  <c r="G87" i="80"/>
  <c r="I87" i="80"/>
  <c r="K87" i="80"/>
  <c r="M87" i="80"/>
  <c r="O87" i="80"/>
  <c r="Q87" i="80"/>
  <c r="C86" i="80"/>
  <c r="E86" i="80"/>
  <c r="G86" i="80"/>
  <c r="I86" i="80"/>
  <c r="K86" i="80"/>
  <c r="M86" i="80"/>
  <c r="O86" i="80"/>
  <c r="Q86" i="80"/>
  <c r="C85" i="80"/>
  <c r="E85" i="80"/>
  <c r="G85" i="80"/>
  <c r="I85" i="80"/>
  <c r="K85" i="80"/>
  <c r="M85" i="80"/>
  <c r="O85" i="80"/>
  <c r="Q85" i="80"/>
  <c r="C84" i="80"/>
  <c r="E84" i="80"/>
  <c r="G84" i="80"/>
  <c r="I84" i="80"/>
  <c r="K84" i="80"/>
  <c r="M84" i="80"/>
  <c r="O84" i="80"/>
  <c r="Q84" i="80"/>
  <c r="C83" i="80"/>
  <c r="E83" i="80"/>
  <c r="G83" i="80"/>
  <c r="I83" i="80"/>
  <c r="K83" i="80"/>
  <c r="M83" i="80"/>
  <c r="O83" i="80"/>
  <c r="Q83" i="80"/>
  <c r="C82" i="80"/>
  <c r="E82" i="80"/>
  <c r="G82" i="80"/>
  <c r="I82" i="80"/>
  <c r="K82" i="80"/>
  <c r="M82" i="80"/>
  <c r="O82" i="80"/>
  <c r="Q82" i="80"/>
  <c r="C81" i="80"/>
  <c r="E81" i="80"/>
  <c r="G81" i="80"/>
  <c r="I81" i="80"/>
  <c r="K81" i="80"/>
  <c r="M81" i="80"/>
  <c r="O81" i="80"/>
  <c r="Q81" i="80"/>
  <c r="C80" i="80"/>
  <c r="E80" i="80"/>
  <c r="G80" i="80"/>
  <c r="I80" i="80"/>
  <c r="K80" i="80"/>
  <c r="M80" i="80"/>
  <c r="O80" i="80"/>
  <c r="Q80" i="80"/>
  <c r="C79" i="80"/>
  <c r="E79" i="80"/>
  <c r="G79" i="80"/>
  <c r="I79" i="80"/>
  <c r="K79" i="80"/>
  <c r="M79" i="80"/>
  <c r="O79" i="80"/>
  <c r="Q79" i="80"/>
  <c r="C78" i="80"/>
  <c r="E78" i="80"/>
  <c r="G78" i="80"/>
  <c r="I78" i="80"/>
  <c r="K78" i="80"/>
  <c r="M78" i="80"/>
  <c r="O78" i="80"/>
  <c r="Q78" i="80"/>
  <c r="C77" i="80"/>
  <c r="E77" i="80"/>
  <c r="G77" i="80"/>
  <c r="I77" i="80"/>
  <c r="K77" i="80"/>
  <c r="M77" i="80"/>
  <c r="O77" i="80"/>
  <c r="Q77" i="80"/>
  <c r="C76" i="80"/>
  <c r="E76" i="80"/>
  <c r="G76" i="80"/>
  <c r="I76" i="80"/>
  <c r="K76" i="80"/>
  <c r="M76" i="80"/>
  <c r="O76" i="80"/>
  <c r="Q76" i="80"/>
  <c r="C75" i="80"/>
  <c r="E75" i="80"/>
  <c r="G75" i="80"/>
  <c r="I75" i="80"/>
  <c r="K75" i="80"/>
  <c r="M75" i="80"/>
  <c r="O75" i="80"/>
  <c r="Q75" i="80"/>
  <c r="C74" i="80"/>
  <c r="E74" i="80"/>
  <c r="G74" i="80"/>
  <c r="I74" i="80"/>
  <c r="K74" i="80"/>
  <c r="M74" i="80"/>
  <c r="O74" i="80"/>
  <c r="Q74" i="80"/>
  <c r="C73" i="80"/>
  <c r="E73" i="80"/>
  <c r="G73" i="80"/>
  <c r="I73" i="80"/>
  <c r="K73" i="80"/>
  <c r="M73" i="80"/>
  <c r="O73" i="80"/>
  <c r="Q73" i="80"/>
  <c r="C72" i="80"/>
  <c r="E72" i="80"/>
  <c r="G72" i="80"/>
  <c r="I72" i="80"/>
  <c r="K72" i="80"/>
  <c r="M72" i="80"/>
  <c r="O72" i="80"/>
  <c r="Q72" i="80"/>
  <c r="C71" i="80"/>
  <c r="E71" i="80"/>
  <c r="G71" i="80"/>
  <c r="I71" i="80"/>
  <c r="K71" i="80"/>
  <c r="M71" i="80"/>
  <c r="O71" i="80"/>
  <c r="Q71" i="80"/>
  <c r="C70" i="80"/>
  <c r="E70" i="80"/>
  <c r="G70" i="80"/>
  <c r="I70" i="80"/>
  <c r="K70" i="80"/>
  <c r="M70" i="80"/>
  <c r="O70" i="80"/>
  <c r="Q70" i="80"/>
  <c r="C69" i="80"/>
  <c r="E69" i="80"/>
  <c r="G69" i="80"/>
  <c r="I69" i="80"/>
  <c r="K69" i="80"/>
  <c r="M69" i="80"/>
  <c r="O69" i="80"/>
  <c r="Q69" i="80"/>
  <c r="C68" i="80"/>
  <c r="E68" i="80"/>
  <c r="G68" i="80"/>
  <c r="I68" i="80"/>
  <c r="K68" i="80"/>
  <c r="M68" i="80"/>
  <c r="O68" i="80"/>
  <c r="Q68" i="80"/>
  <c r="C67" i="80"/>
  <c r="E67" i="80"/>
  <c r="G67" i="80"/>
  <c r="I67" i="80"/>
  <c r="K67" i="80"/>
  <c r="M67" i="80"/>
  <c r="O67" i="80"/>
  <c r="Q67" i="80"/>
  <c r="C66" i="80"/>
  <c r="E66" i="80"/>
  <c r="G66" i="80"/>
  <c r="I66" i="80"/>
  <c r="K66" i="80"/>
  <c r="M66" i="80"/>
  <c r="O66" i="80"/>
  <c r="Q66" i="80"/>
  <c r="C65" i="80"/>
  <c r="E65" i="80"/>
  <c r="G65" i="80"/>
  <c r="I65" i="80"/>
  <c r="K65" i="80"/>
  <c r="M65" i="80"/>
  <c r="O65" i="80"/>
  <c r="Q65" i="80"/>
  <c r="C64" i="80"/>
  <c r="E64" i="80"/>
  <c r="G64" i="80"/>
  <c r="I64" i="80"/>
  <c r="K64" i="80"/>
  <c r="M64" i="80"/>
  <c r="O64" i="80"/>
  <c r="Q64" i="80"/>
  <c r="C63" i="80"/>
  <c r="E63" i="80"/>
  <c r="G63" i="80"/>
  <c r="I63" i="80"/>
  <c r="K63" i="80"/>
  <c r="M63" i="80"/>
  <c r="O63" i="80"/>
  <c r="Q63" i="80"/>
  <c r="C62" i="80"/>
  <c r="E62" i="80"/>
  <c r="G62" i="80"/>
  <c r="I62" i="80"/>
  <c r="K62" i="80"/>
  <c r="M62" i="80"/>
  <c r="O62" i="80"/>
  <c r="Q62" i="80"/>
  <c r="C61" i="80"/>
  <c r="G61" i="80"/>
  <c r="I61" i="80"/>
  <c r="K61" i="80"/>
  <c r="M61" i="80"/>
  <c r="O61" i="80"/>
  <c r="Q61" i="80"/>
  <c r="C60" i="80"/>
  <c r="G60" i="80"/>
  <c r="I60" i="80"/>
  <c r="K60" i="80"/>
  <c r="M60" i="80"/>
  <c r="O60" i="80"/>
  <c r="Q60" i="80"/>
  <c r="C59" i="80"/>
  <c r="G59" i="80"/>
  <c r="I59" i="80"/>
  <c r="K59" i="80"/>
  <c r="M59" i="80"/>
  <c r="O59" i="80"/>
  <c r="Q59" i="80"/>
  <c r="C58" i="80"/>
  <c r="G58" i="80"/>
  <c r="I58" i="80"/>
  <c r="K58" i="80"/>
  <c r="M58" i="80"/>
  <c r="O58" i="80"/>
  <c r="Q58" i="80"/>
  <c r="C57" i="80"/>
  <c r="G57" i="80"/>
  <c r="I57" i="80"/>
  <c r="K57" i="80"/>
  <c r="M57" i="80"/>
  <c r="O57" i="80"/>
  <c r="Q57" i="80"/>
  <c r="C56" i="80"/>
  <c r="G56" i="80"/>
  <c r="I56" i="80"/>
  <c r="K56" i="80"/>
  <c r="M56" i="80"/>
  <c r="O56" i="80"/>
  <c r="Q56" i="80"/>
  <c r="C55" i="80"/>
  <c r="G55" i="80"/>
  <c r="I55" i="80"/>
  <c r="K55" i="80"/>
  <c r="M55" i="80"/>
  <c r="O55" i="80"/>
  <c r="Q55" i="80"/>
  <c r="C54" i="80"/>
  <c r="G54" i="80"/>
  <c r="I54" i="80"/>
  <c r="K54" i="80"/>
  <c r="M54" i="80"/>
  <c r="O54" i="80"/>
  <c r="Q54" i="80"/>
  <c r="C53" i="80"/>
  <c r="G53" i="80"/>
  <c r="I53" i="80"/>
  <c r="K53" i="80"/>
  <c r="M53" i="80"/>
  <c r="O53" i="80"/>
  <c r="Q53" i="80"/>
  <c r="C52" i="80"/>
  <c r="G52" i="80"/>
  <c r="I52" i="80"/>
  <c r="K52" i="80"/>
  <c r="M52" i="80"/>
  <c r="O52" i="80"/>
  <c r="Q52" i="80"/>
  <c r="C51" i="80"/>
  <c r="G51" i="80"/>
  <c r="I51" i="80"/>
  <c r="K51" i="80"/>
  <c r="M51" i="80"/>
  <c r="O51" i="80"/>
  <c r="Q51" i="80"/>
  <c r="C50" i="80"/>
  <c r="G50" i="80"/>
  <c r="I50" i="80"/>
  <c r="K50" i="80"/>
  <c r="M50" i="80"/>
  <c r="O50" i="80"/>
  <c r="Q50" i="80"/>
  <c r="C49" i="80"/>
  <c r="G49" i="80"/>
  <c r="I49" i="80"/>
  <c r="K49" i="80"/>
  <c r="M49" i="80"/>
  <c r="O49" i="80"/>
  <c r="Q49" i="80"/>
  <c r="C48" i="80"/>
  <c r="G48" i="80"/>
  <c r="I48" i="80"/>
  <c r="K48" i="80"/>
  <c r="M48" i="80"/>
  <c r="O48" i="80"/>
  <c r="Q48" i="80"/>
  <c r="C47" i="80"/>
  <c r="G47" i="80"/>
  <c r="I47" i="80"/>
  <c r="K47" i="80"/>
  <c r="M47" i="80"/>
  <c r="O47" i="80"/>
  <c r="Q47" i="80"/>
  <c r="C46" i="80"/>
  <c r="G46" i="80"/>
  <c r="I46" i="80"/>
  <c r="K46" i="80"/>
  <c r="M46" i="80"/>
  <c r="O46" i="80"/>
  <c r="Q46" i="80"/>
  <c r="C45" i="80"/>
  <c r="G45" i="80"/>
  <c r="I45" i="80"/>
  <c r="K45" i="80"/>
  <c r="M45" i="80"/>
  <c r="O45" i="80"/>
  <c r="Q45" i="80"/>
  <c r="C44" i="80"/>
  <c r="G44" i="80"/>
  <c r="I44" i="80"/>
  <c r="K44" i="80"/>
  <c r="M44" i="80"/>
  <c r="O44" i="80"/>
  <c r="Q44" i="80"/>
  <c r="C43" i="80"/>
  <c r="G43" i="80"/>
  <c r="I43" i="80"/>
  <c r="K43" i="80"/>
  <c r="M43" i="80"/>
  <c r="O43" i="80"/>
  <c r="Q43" i="80"/>
  <c r="C42" i="80"/>
  <c r="G42" i="80"/>
  <c r="I42" i="80"/>
  <c r="K42" i="80"/>
  <c r="M42" i="80"/>
  <c r="O42" i="80"/>
  <c r="Q42" i="80"/>
  <c r="C41" i="80"/>
  <c r="G41" i="80"/>
  <c r="I41" i="80"/>
  <c r="K41" i="80"/>
  <c r="M41" i="80"/>
  <c r="O41" i="80"/>
  <c r="Q41" i="80"/>
  <c r="C40" i="80"/>
  <c r="G40" i="80"/>
  <c r="I40" i="80"/>
  <c r="K40" i="80"/>
  <c r="M40" i="80"/>
  <c r="O40" i="80"/>
  <c r="Q40" i="80"/>
  <c r="C39" i="80"/>
  <c r="G39" i="80"/>
  <c r="I39" i="80"/>
  <c r="K39" i="80"/>
  <c r="M39" i="80"/>
  <c r="O39" i="80"/>
  <c r="Q39" i="80"/>
  <c r="C38" i="80"/>
  <c r="G38" i="80"/>
  <c r="I38" i="80"/>
  <c r="K38" i="80"/>
  <c r="M38" i="80"/>
  <c r="O38" i="80"/>
  <c r="Q38" i="80"/>
  <c r="C37" i="80"/>
  <c r="G37" i="80"/>
  <c r="I37" i="80"/>
  <c r="K37" i="80"/>
  <c r="M37" i="80"/>
  <c r="O37" i="80"/>
  <c r="Q37" i="80"/>
  <c r="C36" i="80"/>
  <c r="G36" i="80"/>
  <c r="I36" i="80"/>
  <c r="K36" i="80"/>
  <c r="M36" i="80"/>
  <c r="O36" i="80"/>
  <c r="Q36" i="80"/>
  <c r="C35" i="80"/>
  <c r="G35" i="80"/>
  <c r="I35" i="80"/>
  <c r="K35" i="80"/>
  <c r="M35" i="80"/>
  <c r="O35" i="80"/>
  <c r="Q35" i="80"/>
  <c r="C34" i="80"/>
  <c r="G34" i="80"/>
  <c r="I34" i="80"/>
  <c r="K34" i="80"/>
  <c r="M34" i="80"/>
  <c r="O34" i="80"/>
  <c r="Q34" i="80"/>
  <c r="C33" i="80"/>
  <c r="G33" i="80"/>
  <c r="I33" i="80"/>
  <c r="K33" i="80"/>
  <c r="M33" i="80"/>
  <c r="O33" i="80"/>
  <c r="Q33" i="80"/>
  <c r="C32" i="80"/>
  <c r="G32" i="80"/>
  <c r="I32" i="80"/>
  <c r="K32" i="80"/>
  <c r="M32" i="80"/>
  <c r="O32" i="80"/>
  <c r="Q32" i="80"/>
  <c r="C31" i="80"/>
  <c r="G31" i="80"/>
  <c r="I31" i="80"/>
  <c r="K31" i="80"/>
  <c r="M31" i="80"/>
  <c r="O31" i="80"/>
  <c r="Q31" i="80"/>
  <c r="C30" i="80"/>
  <c r="G30" i="80"/>
  <c r="I30" i="80"/>
  <c r="K30" i="80"/>
  <c r="M30" i="80"/>
  <c r="O30" i="80"/>
  <c r="Q30" i="80"/>
  <c r="C29" i="80"/>
  <c r="G29" i="80"/>
  <c r="I29" i="80"/>
  <c r="K29" i="80"/>
  <c r="M29" i="80"/>
  <c r="O29" i="80"/>
  <c r="Q29" i="80"/>
  <c r="C28" i="80"/>
  <c r="G28" i="80"/>
  <c r="I28" i="80"/>
  <c r="K28" i="80"/>
  <c r="M28" i="80"/>
  <c r="O28" i="80"/>
  <c r="Q28" i="80"/>
  <c r="C27" i="80"/>
  <c r="G27" i="80"/>
  <c r="I27" i="80"/>
  <c r="K27" i="80"/>
  <c r="M27" i="80"/>
  <c r="O27" i="80"/>
  <c r="Q27" i="80"/>
  <c r="C26" i="80"/>
  <c r="G26" i="80"/>
  <c r="I26" i="80"/>
  <c r="K26" i="80"/>
  <c r="M26" i="80"/>
  <c r="O26" i="80"/>
  <c r="Q26" i="80"/>
  <c r="C25" i="80"/>
  <c r="G25" i="80"/>
  <c r="I25" i="80"/>
  <c r="K25" i="80"/>
  <c r="M25" i="80"/>
  <c r="O25" i="80"/>
  <c r="Q25" i="80"/>
  <c r="S24" i="80"/>
  <c r="P23" i="80"/>
  <c r="N23" i="80"/>
  <c r="L23" i="80"/>
  <c r="J23" i="80"/>
  <c r="H23" i="80"/>
  <c r="F23" i="80"/>
  <c r="D23" i="80"/>
  <c r="B22" i="80"/>
  <c r="R22" i="80"/>
  <c r="B21" i="80"/>
  <c r="F20" i="80"/>
  <c r="D12" i="80"/>
  <c r="E12" i="80"/>
  <c r="F12" i="80"/>
  <c r="G12" i="80"/>
  <c r="H12" i="80"/>
  <c r="I12" i="80"/>
  <c r="J12" i="80"/>
  <c r="K12" i="80"/>
  <c r="L12" i="80"/>
  <c r="M12" i="80"/>
  <c r="N12" i="80"/>
  <c r="O12" i="80"/>
  <c r="P12" i="80"/>
  <c r="Q12" i="80"/>
  <c r="R12" i="80"/>
  <c r="S12" i="80"/>
  <c r="D10" i="80"/>
  <c r="E10" i="80"/>
  <c r="F10" i="80"/>
  <c r="G10" i="80"/>
  <c r="H10" i="80"/>
  <c r="I10" i="80"/>
  <c r="J10" i="80"/>
  <c r="K10" i="80"/>
  <c r="L10" i="80"/>
  <c r="M10" i="80"/>
  <c r="N10" i="80"/>
  <c r="O10" i="80"/>
  <c r="P10" i="80"/>
  <c r="Q10" i="80"/>
  <c r="R10" i="80"/>
  <c r="S10" i="80"/>
  <c r="D8" i="80"/>
  <c r="E8" i="80"/>
  <c r="F8" i="80"/>
  <c r="G8" i="80"/>
  <c r="H8" i="80"/>
  <c r="I8" i="80"/>
  <c r="J8" i="80"/>
  <c r="K8" i="80"/>
  <c r="L8" i="80"/>
  <c r="M8" i="80"/>
  <c r="N8" i="80"/>
  <c r="O8" i="80"/>
  <c r="P8" i="80"/>
  <c r="Q8" i="80"/>
  <c r="R8" i="80"/>
  <c r="S8" i="80"/>
  <c r="D6" i="80"/>
  <c r="E6" i="80"/>
  <c r="F6" i="80"/>
  <c r="G6" i="80"/>
  <c r="H6" i="80"/>
  <c r="I6" i="80"/>
  <c r="J6" i="80"/>
  <c r="K6" i="80"/>
  <c r="L6" i="80"/>
  <c r="M6" i="80"/>
  <c r="N6" i="80"/>
  <c r="O6" i="80"/>
  <c r="P6" i="80"/>
  <c r="Q6" i="80"/>
  <c r="R6" i="80"/>
  <c r="S6" i="80"/>
  <c r="S2" i="80"/>
  <c r="R2" i="80"/>
  <c r="Q2" i="80"/>
  <c r="P2" i="80"/>
  <c r="O2" i="80"/>
  <c r="N2" i="80"/>
  <c r="M2" i="80"/>
  <c r="L2" i="80"/>
  <c r="K2" i="80"/>
  <c r="J2" i="80"/>
  <c r="I2" i="80"/>
  <c r="H2" i="80"/>
  <c r="G2" i="80"/>
  <c r="F2" i="80"/>
  <c r="E2" i="80"/>
  <c r="D2" i="80"/>
  <c r="C2" i="80"/>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I47" i="21"/>
  <c r="J33" i="21"/>
  <c r="AC33" i="21"/>
  <c r="V47" i="21"/>
  <c r="J28" i="21"/>
  <c r="AC28" i="21"/>
  <c r="D66" i="21"/>
  <c r="E66" i="21"/>
  <c r="J10" i="21"/>
  <c r="AC10" i="21"/>
  <c r="D77" i="21"/>
  <c r="E77" i="21"/>
  <c r="J15" i="21"/>
  <c r="AC15" i="21"/>
  <c r="D79" i="21"/>
  <c r="J17" i="21"/>
  <c r="AC17" i="21"/>
  <c r="D81" i="21"/>
  <c r="E81" i="21"/>
  <c r="J19" i="21"/>
  <c r="AC19" i="21"/>
  <c r="J21" i="21"/>
  <c r="AC21" i="21"/>
  <c r="D85" i="21"/>
  <c r="E85" i="21"/>
  <c r="J23" i="21"/>
  <c r="AC23" i="21"/>
  <c r="D106" i="21"/>
  <c r="J34" i="21"/>
  <c r="AC34" i="21"/>
  <c r="D108" i="21"/>
  <c r="J35" i="21"/>
  <c r="AC35" i="21"/>
  <c r="J36" i="21"/>
  <c r="AC36" i="21"/>
  <c r="J42" i="21"/>
  <c r="AC42" i="21"/>
  <c r="D113" i="21"/>
  <c r="E113" i="21"/>
  <c r="F113" i="21"/>
  <c r="G113" i="21"/>
  <c r="J37" i="21"/>
  <c r="AC37" i="21"/>
  <c r="J38" i="21"/>
  <c r="AC38" i="21"/>
  <c r="J39" i="21"/>
  <c r="AC39" i="21"/>
  <c r="J40" i="21"/>
  <c r="AC40" i="21"/>
  <c r="D125" i="21"/>
  <c r="J43" i="21"/>
  <c r="AC43" i="21"/>
  <c r="J26" i="21"/>
  <c r="AC26" i="21"/>
  <c r="J32" i="21"/>
  <c r="AC32" i="21"/>
  <c r="V48" i="21"/>
  <c r="F10" i="21"/>
  <c r="AA10" i="21"/>
  <c r="F15" i="21"/>
  <c r="AA15" i="21"/>
  <c r="F17" i="21"/>
  <c r="AA17" i="21"/>
  <c r="F19" i="21"/>
  <c r="AA19" i="21"/>
  <c r="F21" i="21"/>
  <c r="AA21" i="21"/>
  <c r="F23" i="21"/>
  <c r="AA23" i="21"/>
  <c r="F34" i="21"/>
  <c r="AA34" i="21"/>
  <c r="F35" i="21"/>
  <c r="AA35" i="21"/>
  <c r="F36" i="21"/>
  <c r="AA36" i="21"/>
  <c r="F42" i="21"/>
  <c r="AA42" i="21"/>
  <c r="F37" i="21"/>
  <c r="AA37" i="21"/>
  <c r="F38" i="21"/>
  <c r="AA38" i="21"/>
  <c r="F39" i="21"/>
  <c r="AA39" i="21"/>
  <c r="F40" i="21"/>
  <c r="AA40" i="21"/>
  <c r="F43" i="21"/>
  <c r="AA43" i="21"/>
  <c r="F26" i="21"/>
  <c r="AA26" i="21"/>
  <c r="F32" i="21"/>
  <c r="AA32" i="21"/>
  <c r="R48" i="21"/>
  <c r="H10" i="21"/>
  <c r="AB10" i="21"/>
  <c r="H15" i="21"/>
  <c r="AB15" i="21"/>
  <c r="H17" i="21"/>
  <c r="AB17" i="21"/>
  <c r="H19" i="21"/>
  <c r="AB19" i="21"/>
  <c r="H21" i="21"/>
  <c r="AB21" i="21"/>
  <c r="H23" i="21"/>
  <c r="AB23" i="21"/>
  <c r="H34" i="21"/>
  <c r="AB34" i="21"/>
  <c r="H35" i="21"/>
  <c r="AB35" i="21"/>
  <c r="H36" i="21"/>
  <c r="AB36" i="21"/>
  <c r="H42" i="21"/>
  <c r="AB42" i="21"/>
  <c r="H37" i="21"/>
  <c r="AB37" i="21"/>
  <c r="H38" i="21"/>
  <c r="AB38" i="21"/>
  <c r="H39" i="21"/>
  <c r="AB39" i="21"/>
  <c r="H40" i="21"/>
  <c r="AB40" i="21"/>
  <c r="H43" i="21"/>
  <c r="AB43" i="21"/>
  <c r="H26" i="21"/>
  <c r="AB26" i="21"/>
  <c r="H32" i="21"/>
  <c r="AB32" i="21"/>
  <c r="T48" i="21"/>
  <c r="R49" i="21"/>
  <c r="C48" i="21"/>
  <c r="R24" i="31"/>
  <c r="B24" i="31"/>
  <c r="A24" i="31"/>
  <c r="F20" i="6"/>
  <c r="I36" i="33"/>
  <c r="I47" i="33"/>
  <c r="G47" i="33"/>
  <c r="E47" i="33"/>
  <c r="C36" i="33"/>
  <c r="C33" i="33"/>
  <c r="G47" i="21"/>
  <c r="G5" i="21"/>
  <c r="G37" i="21"/>
  <c r="C33" i="21"/>
  <c r="E37" i="21"/>
  <c r="E47" i="21"/>
  <c r="C37" i="21"/>
  <c r="N7" i="1"/>
  <c r="N6" i="1"/>
  <c r="G1" i="77"/>
  <c r="K6" i="1"/>
  <c r="M6" i="1"/>
  <c r="E20" i="6"/>
  <c r="F27" i="6"/>
  <c r="E21" i="6"/>
  <c r="E27" i="6"/>
  <c r="K19" i="6"/>
  <c r="S6" i="1"/>
  <c r="T6" i="1"/>
  <c r="F15" i="77"/>
  <c r="F17" i="77"/>
  <c r="F18" i="77"/>
  <c r="F20" i="77"/>
  <c r="F23" i="77"/>
  <c r="F21" i="77"/>
  <c r="F28" i="77"/>
  <c r="C28" i="77"/>
  <c r="F32" i="77"/>
  <c r="F33" i="77"/>
  <c r="F34" i="77"/>
  <c r="A8" i="1"/>
  <c r="L21" i="6"/>
  <c r="K21" i="6"/>
  <c r="M21" i="6"/>
  <c r="I21" i="6"/>
  <c r="H21" i="6"/>
  <c r="D21" i="6"/>
  <c r="R21" i="6"/>
  <c r="R8" i="1"/>
  <c r="L19" i="6"/>
  <c r="M19" i="6"/>
  <c r="I19" i="6"/>
  <c r="H19" i="6"/>
  <c r="R19" i="6"/>
  <c r="AE8" i="1"/>
  <c r="M47" i="77"/>
  <c r="J50" i="77"/>
  <c r="J51" i="77"/>
  <c r="C83" i="77"/>
  <c r="C82" i="77"/>
  <c r="C76" i="77"/>
  <c r="C75" i="77"/>
  <c r="C80" i="77"/>
  <c r="C79" i="77"/>
  <c r="Q65"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Q59" i="77"/>
  <c r="N59" i="77"/>
  <c r="M59" i="77"/>
  <c r="F59" i="77"/>
  <c r="Q58"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3" i="77"/>
  <c r="A7" i="1"/>
  <c r="K7" i="1"/>
  <c r="K8" i="1"/>
  <c r="K9" i="1"/>
  <c r="K10" i="1"/>
  <c r="K11" i="1"/>
  <c r="K12" i="1"/>
  <c r="K13" i="1"/>
  <c r="K14" i="1"/>
  <c r="K15" i="1"/>
  <c r="K16" i="1"/>
  <c r="B29" i="1"/>
  <c r="Y7" i="1"/>
  <c r="Y6" i="1"/>
  <c r="F19" i="6"/>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G2"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J53" i="67"/>
  <c r="M47" i="15"/>
  <c r="G1" i="15"/>
  <c r="J50" i="15"/>
  <c r="J51" i="15"/>
  <c r="I5" i="3"/>
  <c r="I4" i="6"/>
  <c r="G3" i="43"/>
  <c r="C23" i="43"/>
  <c r="C21" i="43"/>
  <c r="C29" i="43"/>
  <c r="C30" i="43"/>
  <c r="E30" i="43"/>
  <c r="F33" i="43"/>
  <c r="C33" i="43"/>
  <c r="G33" i="43"/>
  <c r="I33" i="43"/>
  <c r="C27" i="43"/>
  <c r="E29" i="43"/>
  <c r="E33" i="43"/>
  <c r="C26" i="43"/>
  <c r="C101" i="43"/>
  <c r="C102" i="43"/>
  <c r="C103" i="43"/>
  <c r="C104" i="43"/>
  <c r="C105" i="43"/>
  <c r="C106" i="43"/>
  <c r="C107" i="43"/>
  <c r="C109" i="43"/>
  <c r="B113" i="43"/>
  <c r="B115" i="43"/>
  <c r="C115" i="43"/>
  <c r="B116" i="43"/>
  <c r="C116" i="43"/>
  <c r="B117" i="43"/>
  <c r="C117" i="43"/>
  <c r="B118" i="43"/>
  <c r="C118" i="43"/>
  <c r="E22" i="43"/>
  <c r="G22" i="43"/>
  <c r="D22" i="43"/>
  <c r="D101" i="43"/>
  <c r="D102" i="43"/>
  <c r="D103" i="43"/>
  <c r="D104" i="43"/>
  <c r="D105" i="43"/>
  <c r="D106" i="43"/>
  <c r="D107" i="43"/>
  <c r="D109" i="43"/>
  <c r="H113" i="43"/>
  <c r="D113" i="43"/>
  <c r="D115" i="43"/>
  <c r="D116" i="43"/>
  <c r="D117" i="43"/>
  <c r="D118" i="43"/>
  <c r="E6" i="76"/>
  <c r="E7" i="76"/>
  <c r="E8" i="76"/>
  <c r="E9" i="76"/>
  <c r="E10" i="76"/>
  <c r="E11" i="76"/>
  <c r="E12" i="76"/>
  <c r="E13" i="76"/>
  <c r="E2" i="76"/>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A296" i="3"/>
  <c r="AZ296" i="3"/>
  <c r="BB297" i="3"/>
  <c r="BA297" i="3"/>
  <c r="AZ297" i="3"/>
  <c r="BB298" i="3"/>
  <c r="BA298" i="3"/>
  <c r="AZ298" i="3"/>
  <c r="BB299" i="3"/>
  <c r="BA299" i="3"/>
  <c r="AZ299" i="3"/>
  <c r="BB300" i="3"/>
  <c r="BA300" i="3"/>
  <c r="AZ300" i="3"/>
  <c r="BB301" i="3"/>
  <c r="BA301" i="3"/>
  <c r="AZ301" i="3"/>
  <c r="BB302" i="3"/>
  <c r="BA302" i="3"/>
  <c r="AZ302" i="3"/>
  <c r="BB303" i="3"/>
  <c r="BA303" i="3"/>
  <c r="AZ303"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G5" i="3"/>
  <c r="B3" i="3"/>
  <c r="AY6" i="3"/>
  <c r="D3" i="6"/>
  <c r="M19" i="9"/>
  <c r="C118" i="9"/>
  <c r="C14" i="74"/>
  <c r="E3" i="6"/>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C7" i="68"/>
  <c r="W21" i="21"/>
  <c r="C40" i="68"/>
  <c r="Q72" i="67"/>
  <c r="Q59" i="67"/>
  <c r="Q58" i="67"/>
  <c r="Q51" i="67"/>
  <c r="J50" i="67"/>
  <c r="M47" i="67"/>
  <c r="D46" i="67"/>
  <c r="F33" i="67"/>
  <c r="F61" i="67"/>
  <c r="F23" i="67"/>
  <c r="D24" i="67"/>
  <c r="F21" i="67"/>
  <c r="F20" i="67"/>
  <c r="M19" i="67"/>
  <c r="F18" i="67"/>
  <c r="F17" i="67"/>
  <c r="F15" i="67"/>
  <c r="D22" i="67"/>
  <c r="D23" i="67"/>
  <c r="S2" i="4"/>
  <c r="C51" i="10"/>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C112" i="3"/>
  <c r="AX111" i="3"/>
  <c r="AW111" i="3"/>
  <c r="AV111" i="3"/>
  <c r="AC111" i="3"/>
  <c r="AX110" i="3"/>
  <c r="AW110" i="3"/>
  <c r="AV110" i="3"/>
  <c r="AC110" i="3"/>
  <c r="AX109" i="3"/>
  <c r="AW109" i="3"/>
  <c r="AV109" i="3"/>
  <c r="AC109" i="3"/>
  <c r="AX108" i="3"/>
  <c r="AW108" i="3"/>
  <c r="AV108" i="3"/>
  <c r="AC108" i="3"/>
  <c r="AX107" i="3"/>
  <c r="AW107" i="3"/>
  <c r="AV107" i="3"/>
  <c r="AC107" i="3"/>
  <c r="AX106" i="3"/>
  <c r="AW106" i="3"/>
  <c r="AV106" i="3"/>
  <c r="AC106" i="3"/>
  <c r="AX105" i="3"/>
  <c r="AW105" i="3"/>
  <c r="AV105" i="3"/>
  <c r="AC105" i="3"/>
  <c r="AX104" i="3"/>
  <c r="AW104" i="3"/>
  <c r="AV104" i="3"/>
  <c r="AC104" i="3"/>
  <c r="AX103" i="3"/>
  <c r="AW103" i="3"/>
  <c r="AV103" i="3"/>
  <c r="AC103" i="3"/>
  <c r="AX102" i="3"/>
  <c r="AW102" i="3"/>
  <c r="AV102" i="3"/>
  <c r="AC102" i="3"/>
  <c r="AX101" i="3"/>
  <c r="AW101" i="3"/>
  <c r="AV101" i="3"/>
  <c r="AC101" i="3"/>
  <c r="AX100" i="3"/>
  <c r="AW100" i="3"/>
  <c r="AV100" i="3"/>
  <c r="AC100" i="3"/>
  <c r="AX99" i="3"/>
  <c r="AW99" i="3"/>
  <c r="AV99" i="3"/>
  <c r="AC99" i="3"/>
  <c r="AX98" i="3"/>
  <c r="AW98" i="3"/>
  <c r="AV98" i="3"/>
  <c r="AC98" i="3"/>
  <c r="AX97" i="3"/>
  <c r="AW97" i="3"/>
  <c r="AV97" i="3"/>
  <c r="AC97" i="3"/>
  <c r="AX96" i="3"/>
  <c r="AW96" i="3"/>
  <c r="AV96" i="3"/>
  <c r="AC96" i="3"/>
  <c r="AX95" i="3"/>
  <c r="AW95" i="3"/>
  <c r="AV95" i="3"/>
  <c r="AC95" i="3"/>
  <c r="AX94" i="3"/>
  <c r="AW94" i="3"/>
  <c r="AV94" i="3"/>
  <c r="AC94" i="3"/>
  <c r="AX93" i="3"/>
  <c r="AW93" i="3"/>
  <c r="AV93" i="3"/>
  <c r="AC93" i="3"/>
  <c r="AX92" i="3"/>
  <c r="AW92" i="3"/>
  <c r="AV92" i="3"/>
  <c r="AC92" i="3"/>
  <c r="AX91" i="3"/>
  <c r="AW91" i="3"/>
  <c r="AV91" i="3"/>
  <c r="AC91" i="3"/>
  <c r="AX90" i="3"/>
  <c r="AW90" i="3"/>
  <c r="AV90" i="3"/>
  <c r="AC90" i="3"/>
  <c r="AX89" i="3"/>
  <c r="AW89" i="3"/>
  <c r="AV89" i="3"/>
  <c r="AC89" i="3"/>
  <c r="AX88" i="3"/>
  <c r="AW88" i="3"/>
  <c r="AV88" i="3"/>
  <c r="AC88" i="3"/>
  <c r="AX87" i="3"/>
  <c r="AW87" i="3"/>
  <c r="AV87" i="3"/>
  <c r="AC87" i="3"/>
  <c r="AX86" i="3"/>
  <c r="AW86" i="3"/>
  <c r="AV86" i="3"/>
  <c r="AC86" i="3"/>
  <c r="AX85" i="3"/>
  <c r="AW85" i="3"/>
  <c r="AV85" i="3"/>
  <c r="AC85" i="3"/>
  <c r="AX84" i="3"/>
  <c r="AW84" i="3"/>
  <c r="AV84" i="3"/>
  <c r="AC84" i="3"/>
  <c r="AX83" i="3"/>
  <c r="AW83" i="3"/>
  <c r="AV83" i="3"/>
  <c r="AC83" i="3"/>
  <c r="AX82" i="3"/>
  <c r="AW82" i="3"/>
  <c r="AV82" i="3"/>
  <c r="AC82" i="3"/>
  <c r="AX81" i="3"/>
  <c r="AW81" i="3"/>
  <c r="AV81" i="3"/>
  <c r="AC81" i="3"/>
  <c r="AX80" i="3"/>
  <c r="AW80" i="3"/>
  <c r="AV80" i="3"/>
  <c r="AC80" i="3"/>
  <c r="AX79" i="3"/>
  <c r="AW79" i="3"/>
  <c r="AV79" i="3"/>
  <c r="AC79" i="3"/>
  <c r="AX78" i="3"/>
  <c r="AW78" i="3"/>
  <c r="AV78" i="3"/>
  <c r="AC78" i="3"/>
  <c r="AX77" i="3"/>
  <c r="AW77" i="3"/>
  <c r="AV77" i="3"/>
  <c r="AC77" i="3"/>
  <c r="AX76" i="3"/>
  <c r="AW76" i="3"/>
  <c r="AV76" i="3"/>
  <c r="AC76" i="3"/>
  <c r="AX75" i="3"/>
  <c r="AW75" i="3"/>
  <c r="AV75" i="3"/>
  <c r="AC75" i="3"/>
  <c r="AX74" i="3"/>
  <c r="AW74" i="3"/>
  <c r="AV74" i="3"/>
  <c r="AC74" i="3"/>
  <c r="AX73" i="3"/>
  <c r="AW73" i="3"/>
  <c r="AV73" i="3"/>
  <c r="AC73" i="3"/>
  <c r="AX72" i="3"/>
  <c r="AW72" i="3"/>
  <c r="AV72" i="3"/>
  <c r="AC72" i="3"/>
  <c r="AX71" i="3"/>
  <c r="AW71" i="3"/>
  <c r="AV71" i="3"/>
  <c r="AC71" i="3"/>
  <c r="AX70" i="3"/>
  <c r="AW70" i="3"/>
  <c r="AV70" i="3"/>
  <c r="AC70" i="3"/>
  <c r="AX69" i="3"/>
  <c r="AW69" i="3"/>
  <c r="AV69" i="3"/>
  <c r="AC69" i="3"/>
  <c r="AX68" i="3"/>
  <c r="AW68" i="3"/>
  <c r="AV68" i="3"/>
  <c r="AC68" i="3"/>
  <c r="AX67" i="3"/>
  <c r="AW67" i="3"/>
  <c r="AV67" i="3"/>
  <c r="AC67" i="3"/>
  <c r="AX66" i="3"/>
  <c r="AW66" i="3"/>
  <c r="AV66" i="3"/>
  <c r="AC66" i="3"/>
  <c r="AX65" i="3"/>
  <c r="AW65" i="3"/>
  <c r="AV65" i="3"/>
  <c r="AC65" i="3"/>
  <c r="AX64" i="3"/>
  <c r="AW64" i="3"/>
  <c r="AV64" i="3"/>
  <c r="AC64" i="3"/>
  <c r="AX63" i="3"/>
  <c r="AW63" i="3"/>
  <c r="AV63" i="3"/>
  <c r="AC63" i="3"/>
  <c r="AX62" i="3"/>
  <c r="AW62" i="3"/>
  <c r="AV62" i="3"/>
  <c r="AC62" i="3"/>
  <c r="AX61" i="3"/>
  <c r="AW61" i="3"/>
  <c r="AV61" i="3"/>
  <c r="AC61" i="3"/>
  <c r="AX60" i="3"/>
  <c r="AW60" i="3"/>
  <c r="AV60" i="3"/>
  <c r="AC60" i="3"/>
  <c r="AX59" i="3"/>
  <c r="AW59" i="3"/>
  <c r="AV59" i="3"/>
  <c r="AC59" i="3"/>
  <c r="AX58" i="3"/>
  <c r="AW58" i="3"/>
  <c r="AV58" i="3"/>
  <c r="AC58" i="3"/>
  <c r="AX57" i="3"/>
  <c r="AW57" i="3"/>
  <c r="AV57" i="3"/>
  <c r="AC57" i="3"/>
  <c r="AX56" i="3"/>
  <c r="AW56" i="3"/>
  <c r="AV56" i="3"/>
  <c r="AC56" i="3"/>
  <c r="AX55" i="3"/>
  <c r="AW55" i="3"/>
  <c r="AV55" i="3"/>
  <c r="AC55" i="3"/>
  <c r="AX54" i="3"/>
  <c r="AW54" i="3"/>
  <c r="AV54" i="3"/>
  <c r="AC54" i="3"/>
  <c r="AX53" i="3"/>
  <c r="AW53" i="3"/>
  <c r="AV53" i="3"/>
  <c r="AC53" i="3"/>
  <c r="AX52" i="3"/>
  <c r="AW52" i="3"/>
  <c r="AV52" i="3"/>
  <c r="AC52" i="3"/>
  <c r="AX51" i="3"/>
  <c r="AW51" i="3"/>
  <c r="AV51" i="3"/>
  <c r="AC51" i="3"/>
  <c r="AX50" i="3"/>
  <c r="AW50" i="3"/>
  <c r="AV50" i="3"/>
  <c r="AC50" i="3"/>
  <c r="AX49" i="3"/>
  <c r="AW49" i="3"/>
  <c r="AV49" i="3"/>
  <c r="AC49" i="3"/>
  <c r="AX48" i="3"/>
  <c r="AW48" i="3"/>
  <c r="AV48" i="3"/>
  <c r="AC48" i="3"/>
  <c r="AX47" i="3"/>
  <c r="AW47" i="3"/>
  <c r="AV47" i="3"/>
  <c r="AC47" i="3"/>
  <c r="AX46" i="3"/>
  <c r="AW46" i="3"/>
  <c r="AV46" i="3"/>
  <c r="AC46" i="3"/>
  <c r="AX45" i="3"/>
  <c r="AW45" i="3"/>
  <c r="AV45" i="3"/>
  <c r="AC45" i="3"/>
  <c r="AX44" i="3"/>
  <c r="AW44" i="3"/>
  <c r="AV44" i="3"/>
  <c r="AC44" i="3"/>
  <c r="AX43" i="3"/>
  <c r="AW43" i="3"/>
  <c r="AV43" i="3"/>
  <c r="AC43" i="3"/>
  <c r="AX42" i="3"/>
  <c r="AW42" i="3"/>
  <c r="AV42" i="3"/>
  <c r="AC42" i="3"/>
  <c r="AX41" i="3"/>
  <c r="AW41" i="3"/>
  <c r="AV41" i="3"/>
  <c r="AC41" i="3"/>
  <c r="AX40" i="3"/>
  <c r="AW40" i="3"/>
  <c r="AV40" i="3"/>
  <c r="AC40" i="3"/>
  <c r="AX39" i="3"/>
  <c r="AW39" i="3"/>
  <c r="AV39" i="3"/>
  <c r="AC39" i="3"/>
  <c r="AX38" i="3"/>
  <c r="AW38" i="3"/>
  <c r="AV38" i="3"/>
  <c r="AC38" i="3"/>
  <c r="AX37" i="3"/>
  <c r="AW37" i="3"/>
  <c r="AV37" i="3"/>
  <c r="AC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AX207" i="3"/>
  <c r="AW207" i="3"/>
  <c r="AV207" i="3"/>
  <c r="AC207" i="3"/>
  <c r="AX206" i="3"/>
  <c r="AW206" i="3"/>
  <c r="AV206" i="3"/>
  <c r="AC206" i="3"/>
  <c r="AX205" i="3"/>
  <c r="AW205" i="3"/>
  <c r="AV205" i="3"/>
  <c r="AC205" i="3"/>
  <c r="AX204" i="3"/>
  <c r="AW204" i="3"/>
  <c r="AV204" i="3"/>
  <c r="AC204" i="3"/>
  <c r="AX203" i="3"/>
  <c r="AW203" i="3"/>
  <c r="AV203" i="3"/>
  <c r="AC203" i="3"/>
  <c r="AX202" i="3"/>
  <c r="AW202" i="3"/>
  <c r="AV202" i="3"/>
  <c r="AC202" i="3"/>
  <c r="AX201" i="3"/>
  <c r="AW201" i="3"/>
  <c r="AV201" i="3"/>
  <c r="AC201" i="3"/>
  <c r="AX200" i="3"/>
  <c r="AW200" i="3"/>
  <c r="AV200" i="3"/>
  <c r="AC200" i="3"/>
  <c r="AX199" i="3"/>
  <c r="AW199" i="3"/>
  <c r="AV199" i="3"/>
  <c r="AC199" i="3"/>
  <c r="AX198" i="3"/>
  <c r="AW198" i="3"/>
  <c r="AV198" i="3"/>
  <c r="AC198" i="3"/>
  <c r="AX197" i="3"/>
  <c r="AW197" i="3"/>
  <c r="AV197" i="3"/>
  <c r="AC197" i="3"/>
  <c r="AX196" i="3"/>
  <c r="AW196" i="3"/>
  <c r="AV196" i="3"/>
  <c r="AC196" i="3"/>
  <c r="AX195" i="3"/>
  <c r="AW195" i="3"/>
  <c r="AV195" i="3"/>
  <c r="AC195" i="3"/>
  <c r="AX194" i="3"/>
  <c r="AW194" i="3"/>
  <c r="AV194" i="3"/>
  <c r="AC194" i="3"/>
  <c r="AX193" i="3"/>
  <c r="AW193" i="3"/>
  <c r="AV193" i="3"/>
  <c r="AC193" i="3"/>
  <c r="AX192" i="3"/>
  <c r="AW192" i="3"/>
  <c r="AV192" i="3"/>
  <c r="AC192" i="3"/>
  <c r="AX191" i="3"/>
  <c r="AW191" i="3"/>
  <c r="AV191" i="3"/>
  <c r="AC191" i="3"/>
  <c r="AX190" i="3"/>
  <c r="AW190" i="3"/>
  <c r="AV190" i="3"/>
  <c r="AC190" i="3"/>
  <c r="AX189" i="3"/>
  <c r="AW189" i="3"/>
  <c r="AV189" i="3"/>
  <c r="AC189" i="3"/>
  <c r="AX188" i="3"/>
  <c r="AW188" i="3"/>
  <c r="AV188" i="3"/>
  <c r="AC188" i="3"/>
  <c r="AX187" i="3"/>
  <c r="AW187" i="3"/>
  <c r="AV187" i="3"/>
  <c r="AC187" i="3"/>
  <c r="AX186" i="3"/>
  <c r="AW186" i="3"/>
  <c r="AV186" i="3"/>
  <c r="AC186" i="3"/>
  <c r="AX185" i="3"/>
  <c r="AW185" i="3"/>
  <c r="AV185" i="3"/>
  <c r="AC185" i="3"/>
  <c r="AX184" i="3"/>
  <c r="AW184" i="3"/>
  <c r="AV184" i="3"/>
  <c r="AC184" i="3"/>
  <c r="AX183" i="3"/>
  <c r="AW183" i="3"/>
  <c r="AV183" i="3"/>
  <c r="AC183" i="3"/>
  <c r="AX182" i="3"/>
  <c r="AW182" i="3"/>
  <c r="AV182" i="3"/>
  <c r="AC182" i="3"/>
  <c r="AX181" i="3"/>
  <c r="AW181" i="3"/>
  <c r="AV181" i="3"/>
  <c r="AC181" i="3"/>
  <c r="AX180" i="3"/>
  <c r="AW180" i="3"/>
  <c r="AV180" i="3"/>
  <c r="AC180" i="3"/>
  <c r="AX179" i="3"/>
  <c r="AW179" i="3"/>
  <c r="AV179" i="3"/>
  <c r="AC179" i="3"/>
  <c r="AX178" i="3"/>
  <c r="AW178" i="3"/>
  <c r="AV178" i="3"/>
  <c r="AC178" i="3"/>
  <c r="AX177" i="3"/>
  <c r="AW177" i="3"/>
  <c r="AV177" i="3"/>
  <c r="AC177" i="3"/>
  <c r="AX176" i="3"/>
  <c r="AW176" i="3"/>
  <c r="AV176" i="3"/>
  <c r="AC176" i="3"/>
  <c r="AX175" i="3"/>
  <c r="AW175" i="3"/>
  <c r="AV175" i="3"/>
  <c r="AC175" i="3"/>
  <c r="AX174" i="3"/>
  <c r="AW174" i="3"/>
  <c r="AV174" i="3"/>
  <c r="AC174" i="3"/>
  <c r="AX173" i="3"/>
  <c r="AW173" i="3"/>
  <c r="AV173" i="3"/>
  <c r="AC173" i="3"/>
  <c r="AX172" i="3"/>
  <c r="AW172" i="3"/>
  <c r="AV172" i="3"/>
  <c r="AC172" i="3"/>
  <c r="AX171" i="3"/>
  <c r="AW171" i="3"/>
  <c r="AV171" i="3"/>
  <c r="AC171" i="3"/>
  <c r="AX170" i="3"/>
  <c r="AW170" i="3"/>
  <c r="AV170" i="3"/>
  <c r="AC170" i="3"/>
  <c r="AX169" i="3"/>
  <c r="AW169" i="3"/>
  <c r="AV169" i="3"/>
  <c r="AC169" i="3"/>
  <c r="AX168" i="3"/>
  <c r="AW168" i="3"/>
  <c r="AV168" i="3"/>
  <c r="AC168" i="3"/>
  <c r="AX167" i="3"/>
  <c r="AW167" i="3"/>
  <c r="AV167" i="3"/>
  <c r="AC167" i="3"/>
  <c r="AX166" i="3"/>
  <c r="AW166" i="3"/>
  <c r="AV166" i="3"/>
  <c r="AC166" i="3"/>
  <c r="AX165" i="3"/>
  <c r="AW165" i="3"/>
  <c r="AV165" i="3"/>
  <c r="AC165" i="3"/>
  <c r="AX164" i="3"/>
  <c r="AW164" i="3"/>
  <c r="AV164" i="3"/>
  <c r="AC164" i="3"/>
  <c r="AX163" i="3"/>
  <c r="AW163" i="3"/>
  <c r="AV163" i="3"/>
  <c r="AC163" i="3"/>
  <c r="AX162" i="3"/>
  <c r="AW162" i="3"/>
  <c r="AV162" i="3"/>
  <c r="AC162" i="3"/>
  <c r="AX161" i="3"/>
  <c r="AW161" i="3"/>
  <c r="AV161" i="3"/>
  <c r="AC161" i="3"/>
  <c r="AX160" i="3"/>
  <c r="AW160" i="3"/>
  <c r="AV160" i="3"/>
  <c r="AC160" i="3"/>
  <c r="AX159" i="3"/>
  <c r="AW159" i="3"/>
  <c r="AV159" i="3"/>
  <c r="AC159" i="3"/>
  <c r="AX158" i="3"/>
  <c r="AW158" i="3"/>
  <c r="AV158" i="3"/>
  <c r="AC158" i="3"/>
  <c r="AX157" i="3"/>
  <c r="AW157" i="3"/>
  <c r="AV157" i="3"/>
  <c r="AC157" i="3"/>
  <c r="AX156" i="3"/>
  <c r="AW156" i="3"/>
  <c r="AV156" i="3"/>
  <c r="AC156" i="3"/>
  <c r="AX155" i="3"/>
  <c r="AW155" i="3"/>
  <c r="AV155" i="3"/>
  <c r="AC155" i="3"/>
  <c r="AX154" i="3"/>
  <c r="AW154" i="3"/>
  <c r="AV154" i="3"/>
  <c r="AC154" i="3"/>
  <c r="AX153" i="3"/>
  <c r="AW153" i="3"/>
  <c r="AV153" i="3"/>
  <c r="AC153" i="3"/>
  <c r="AX152" i="3"/>
  <c r="AW152" i="3"/>
  <c r="AV152" i="3"/>
  <c r="AC152" i="3"/>
  <c r="AX151" i="3"/>
  <c r="AW151" i="3"/>
  <c r="AV151" i="3"/>
  <c r="AC151" i="3"/>
  <c r="AX150" i="3"/>
  <c r="AW150" i="3"/>
  <c r="AV150" i="3"/>
  <c r="AC150" i="3"/>
  <c r="AX149" i="3"/>
  <c r="AW149" i="3"/>
  <c r="AV149" i="3"/>
  <c r="AC149" i="3"/>
  <c r="AX148" i="3"/>
  <c r="AW148" i="3"/>
  <c r="AV148" i="3"/>
  <c r="AC148" i="3"/>
  <c r="AX147" i="3"/>
  <c r="AW147" i="3"/>
  <c r="AV147" i="3"/>
  <c r="AC147" i="3"/>
  <c r="AX146" i="3"/>
  <c r="AW146" i="3"/>
  <c r="AV146" i="3"/>
  <c r="AC146" i="3"/>
  <c r="AX145" i="3"/>
  <c r="AW145" i="3"/>
  <c r="AV145" i="3"/>
  <c r="AC145" i="3"/>
  <c r="AX144" i="3"/>
  <c r="AW144" i="3"/>
  <c r="AV144" i="3"/>
  <c r="AC144" i="3"/>
  <c r="AX143" i="3"/>
  <c r="AW143" i="3"/>
  <c r="AV143" i="3"/>
  <c r="AC143" i="3"/>
  <c r="AX142" i="3"/>
  <c r="AW142" i="3"/>
  <c r="AV142" i="3"/>
  <c r="AC142" i="3"/>
  <c r="AX141" i="3"/>
  <c r="AW141" i="3"/>
  <c r="AV141" i="3"/>
  <c r="AC141" i="3"/>
  <c r="AX140" i="3"/>
  <c r="AW140" i="3"/>
  <c r="AV140" i="3"/>
  <c r="AC140" i="3"/>
  <c r="AX139" i="3"/>
  <c r="AW139" i="3"/>
  <c r="AV139" i="3"/>
  <c r="AC139" i="3"/>
  <c r="AX138" i="3"/>
  <c r="AW138" i="3"/>
  <c r="AV138" i="3"/>
  <c r="AC138" i="3"/>
  <c r="AX137" i="3"/>
  <c r="AW137" i="3"/>
  <c r="AV137" i="3"/>
  <c r="AC137" i="3"/>
  <c r="AX136" i="3"/>
  <c r="AW136" i="3"/>
  <c r="AV136" i="3"/>
  <c r="AC136" i="3"/>
  <c r="AX135" i="3"/>
  <c r="AW135" i="3"/>
  <c r="AV135" i="3"/>
  <c r="AC135" i="3"/>
  <c r="AX134" i="3"/>
  <c r="AW134" i="3"/>
  <c r="AV134" i="3"/>
  <c r="AC134" i="3"/>
  <c r="AX133" i="3"/>
  <c r="AW133" i="3"/>
  <c r="AV133" i="3"/>
  <c r="AC133" i="3"/>
  <c r="AX132" i="3"/>
  <c r="AW132" i="3"/>
  <c r="AV132" i="3"/>
  <c r="AC132" i="3"/>
  <c r="AX131" i="3"/>
  <c r="AW131" i="3"/>
  <c r="AV131" i="3"/>
  <c r="AC131" i="3"/>
  <c r="AX130" i="3"/>
  <c r="AW130" i="3"/>
  <c r="AV130" i="3"/>
  <c r="AC130" i="3"/>
  <c r="AX129" i="3"/>
  <c r="AW129" i="3"/>
  <c r="AV129" i="3"/>
  <c r="AC129" i="3"/>
  <c r="AX128" i="3"/>
  <c r="AW128" i="3"/>
  <c r="AV128" i="3"/>
  <c r="AC128" i="3"/>
  <c r="AX127" i="3"/>
  <c r="AW127" i="3"/>
  <c r="AV127" i="3"/>
  <c r="AC127" i="3"/>
  <c r="AX126" i="3"/>
  <c r="AW126" i="3"/>
  <c r="AV126" i="3"/>
  <c r="AC126" i="3"/>
  <c r="AX125" i="3"/>
  <c r="AW125" i="3"/>
  <c r="AV125" i="3"/>
  <c r="AC125" i="3"/>
  <c r="AX124" i="3"/>
  <c r="AW124" i="3"/>
  <c r="AV124" i="3"/>
  <c r="AC124" i="3"/>
  <c r="AX123" i="3"/>
  <c r="AW123" i="3"/>
  <c r="AV123" i="3"/>
  <c r="AC123" i="3"/>
  <c r="AX122" i="3"/>
  <c r="AW122" i="3"/>
  <c r="AV122" i="3"/>
  <c r="AC122" i="3"/>
  <c r="AX121" i="3"/>
  <c r="AW121" i="3"/>
  <c r="AV121" i="3"/>
  <c r="AC121" i="3"/>
  <c r="AX120" i="3"/>
  <c r="AW120" i="3"/>
  <c r="AV120" i="3"/>
  <c r="AC120" i="3"/>
  <c r="AX119" i="3"/>
  <c r="AW119" i="3"/>
  <c r="AV119" i="3"/>
  <c r="AC119" i="3"/>
  <c r="AX118" i="3"/>
  <c r="AW118" i="3"/>
  <c r="AV118" i="3"/>
  <c r="AC118" i="3"/>
  <c r="AX117" i="3"/>
  <c r="AW117" i="3"/>
  <c r="AV117" i="3"/>
  <c r="AC117" i="3"/>
  <c r="AX116" i="3"/>
  <c r="AW116" i="3"/>
  <c r="AV116" i="3"/>
  <c r="AC116" i="3"/>
  <c r="AX115" i="3"/>
  <c r="AW115" i="3"/>
  <c r="AV115" i="3"/>
  <c r="AC115" i="3"/>
  <c r="AX114" i="3"/>
  <c r="AW114" i="3"/>
  <c r="AV114" i="3"/>
  <c r="AC114" i="3"/>
  <c r="AX113" i="3"/>
  <c r="AW113" i="3"/>
  <c r="AV113" i="3"/>
  <c r="AC113" i="3"/>
  <c r="BT302" i="3"/>
  <c r="BS302" i="3"/>
  <c r="BR302" i="3"/>
  <c r="BQ302" i="3"/>
  <c r="BP302" i="3"/>
  <c r="BO302" i="3"/>
  <c r="BN302" i="3"/>
  <c r="BM302" i="3"/>
  <c r="BL302" i="3"/>
  <c r="BK302" i="3"/>
  <c r="BJ302" i="3"/>
  <c r="BI302" i="3"/>
  <c r="BH302" i="3"/>
  <c r="BG302" i="3"/>
  <c r="BF302" i="3"/>
  <c r="BE302" i="3"/>
  <c r="BD302" i="3"/>
  <c r="BC302" i="3"/>
  <c r="AX302" i="3"/>
  <c r="AW302" i="3"/>
  <c r="AV302" i="3"/>
  <c r="AC302" i="3"/>
  <c r="BT301" i="3"/>
  <c r="BS301" i="3"/>
  <c r="BR301" i="3"/>
  <c r="BQ301" i="3"/>
  <c r="BP301" i="3"/>
  <c r="BO301" i="3"/>
  <c r="BN301" i="3"/>
  <c r="BM301" i="3"/>
  <c r="BL301" i="3"/>
  <c r="BK301" i="3"/>
  <c r="BJ301" i="3"/>
  <c r="BI301" i="3"/>
  <c r="BH301" i="3"/>
  <c r="BG301" i="3"/>
  <c r="BF301" i="3"/>
  <c r="BE301" i="3"/>
  <c r="BD301" i="3"/>
  <c r="BC301" i="3"/>
  <c r="AX301" i="3"/>
  <c r="AW301" i="3"/>
  <c r="AV301" i="3"/>
  <c r="AC301" i="3"/>
  <c r="BT300" i="3"/>
  <c r="BS300" i="3"/>
  <c r="BR300" i="3"/>
  <c r="BQ300" i="3"/>
  <c r="BP300" i="3"/>
  <c r="BO300" i="3"/>
  <c r="BN300" i="3"/>
  <c r="BM300" i="3"/>
  <c r="BL300" i="3"/>
  <c r="BK300" i="3"/>
  <c r="BJ300" i="3"/>
  <c r="BI300" i="3"/>
  <c r="BH300" i="3"/>
  <c r="BG300" i="3"/>
  <c r="BF300" i="3"/>
  <c r="BE300" i="3"/>
  <c r="BD300" i="3"/>
  <c r="BC300" i="3"/>
  <c r="AX300" i="3"/>
  <c r="AW300" i="3"/>
  <c r="AV300" i="3"/>
  <c r="AC300" i="3"/>
  <c r="BT299" i="3"/>
  <c r="BS299" i="3"/>
  <c r="BR299" i="3"/>
  <c r="BQ299" i="3"/>
  <c r="BP299" i="3"/>
  <c r="BO299" i="3"/>
  <c r="BN299" i="3"/>
  <c r="BM299" i="3"/>
  <c r="BL299" i="3"/>
  <c r="BK299" i="3"/>
  <c r="BJ299" i="3"/>
  <c r="BI299" i="3"/>
  <c r="BH299" i="3"/>
  <c r="BG299" i="3"/>
  <c r="BF299" i="3"/>
  <c r="BE299" i="3"/>
  <c r="BD299" i="3"/>
  <c r="BC299" i="3"/>
  <c r="AX299" i="3"/>
  <c r="AW299" i="3"/>
  <c r="AV299" i="3"/>
  <c r="AC299" i="3"/>
  <c r="BT298" i="3"/>
  <c r="BS298" i="3"/>
  <c r="BR298" i="3"/>
  <c r="BQ298" i="3"/>
  <c r="BP298" i="3"/>
  <c r="BO298" i="3"/>
  <c r="BN298" i="3"/>
  <c r="BM298" i="3"/>
  <c r="BL298" i="3"/>
  <c r="BK298" i="3"/>
  <c r="BJ298" i="3"/>
  <c r="BI298" i="3"/>
  <c r="BH298" i="3"/>
  <c r="BG298" i="3"/>
  <c r="BF298" i="3"/>
  <c r="BE298" i="3"/>
  <c r="BD298" i="3"/>
  <c r="BC298" i="3"/>
  <c r="AX298" i="3"/>
  <c r="AW298" i="3"/>
  <c r="AV298" i="3"/>
  <c r="AC298" i="3"/>
  <c r="BT297" i="3"/>
  <c r="BS297" i="3"/>
  <c r="BR297" i="3"/>
  <c r="BQ297" i="3"/>
  <c r="BP297" i="3"/>
  <c r="BO297" i="3"/>
  <c r="BN297" i="3"/>
  <c r="BM297" i="3"/>
  <c r="BL297" i="3"/>
  <c r="BK297" i="3"/>
  <c r="BJ297" i="3"/>
  <c r="BI297" i="3"/>
  <c r="BH297" i="3"/>
  <c r="BG297" i="3"/>
  <c r="BF297" i="3"/>
  <c r="BE297" i="3"/>
  <c r="BD297" i="3"/>
  <c r="BC297" i="3"/>
  <c r="AX297" i="3"/>
  <c r="AW297" i="3"/>
  <c r="AV297" i="3"/>
  <c r="AC297" i="3"/>
  <c r="BT296" i="3"/>
  <c r="BS296" i="3"/>
  <c r="BR296" i="3"/>
  <c r="BQ296" i="3"/>
  <c r="BP296" i="3"/>
  <c r="BO296" i="3"/>
  <c r="BN296" i="3"/>
  <c r="BM296" i="3"/>
  <c r="BL296" i="3"/>
  <c r="BK296" i="3"/>
  <c r="BJ296" i="3"/>
  <c r="BI296" i="3"/>
  <c r="BH296" i="3"/>
  <c r="BG296" i="3"/>
  <c r="BF296" i="3"/>
  <c r="BE296" i="3"/>
  <c r="BD296" i="3"/>
  <c r="BC296" i="3"/>
  <c r="AX296" i="3"/>
  <c r="AW296" i="3"/>
  <c r="AV296" i="3"/>
  <c r="AC296" i="3"/>
  <c r="AX295" i="3"/>
  <c r="AW295" i="3"/>
  <c r="AV295" i="3"/>
  <c r="AC295" i="3"/>
  <c r="AX294" i="3"/>
  <c r="AW294" i="3"/>
  <c r="AV294" i="3"/>
  <c r="AC294" i="3"/>
  <c r="AX293" i="3"/>
  <c r="AW293" i="3"/>
  <c r="AV293" i="3"/>
  <c r="AC293" i="3"/>
  <c r="AX292" i="3"/>
  <c r="AW292" i="3"/>
  <c r="AV292" i="3"/>
  <c r="AC292" i="3"/>
  <c r="AX291" i="3"/>
  <c r="AW291" i="3"/>
  <c r="AV291" i="3"/>
  <c r="AC291" i="3"/>
  <c r="AX290" i="3"/>
  <c r="AW290" i="3"/>
  <c r="AV290" i="3"/>
  <c r="AC290" i="3"/>
  <c r="AX289" i="3"/>
  <c r="AW289" i="3"/>
  <c r="AV289" i="3"/>
  <c r="AC289" i="3"/>
  <c r="AX288" i="3"/>
  <c r="AW288" i="3"/>
  <c r="AV288" i="3"/>
  <c r="AC288" i="3"/>
  <c r="AX287" i="3"/>
  <c r="AW287" i="3"/>
  <c r="AV287" i="3"/>
  <c r="AC287" i="3"/>
  <c r="AX286" i="3"/>
  <c r="AW286" i="3"/>
  <c r="AV286" i="3"/>
  <c r="AC286" i="3"/>
  <c r="AX285" i="3"/>
  <c r="AW285" i="3"/>
  <c r="AV285" i="3"/>
  <c r="AC285" i="3"/>
  <c r="AX284" i="3"/>
  <c r="AW284" i="3"/>
  <c r="AV284" i="3"/>
  <c r="AC284" i="3"/>
  <c r="AX283" i="3"/>
  <c r="AW283" i="3"/>
  <c r="AV283" i="3"/>
  <c r="AC283" i="3"/>
  <c r="AX282" i="3"/>
  <c r="AW282" i="3"/>
  <c r="AV282" i="3"/>
  <c r="AC282" i="3"/>
  <c r="AX281" i="3"/>
  <c r="AW281" i="3"/>
  <c r="AV281" i="3"/>
  <c r="AC281" i="3"/>
  <c r="AX280" i="3"/>
  <c r="AW280" i="3"/>
  <c r="AV280" i="3"/>
  <c r="AC280" i="3"/>
  <c r="AX279" i="3"/>
  <c r="AW279" i="3"/>
  <c r="AV279" i="3"/>
  <c r="AC279" i="3"/>
  <c r="AX278" i="3"/>
  <c r="AW278" i="3"/>
  <c r="AV278" i="3"/>
  <c r="AC278" i="3"/>
  <c r="AX277" i="3"/>
  <c r="AW277" i="3"/>
  <c r="AV277" i="3"/>
  <c r="AC277" i="3"/>
  <c r="AX276" i="3"/>
  <c r="AW276" i="3"/>
  <c r="AV276" i="3"/>
  <c r="AC276" i="3"/>
  <c r="AX275" i="3"/>
  <c r="AW275" i="3"/>
  <c r="AV275" i="3"/>
  <c r="AC275" i="3"/>
  <c r="AX274" i="3"/>
  <c r="AW274" i="3"/>
  <c r="AV274" i="3"/>
  <c r="AC274" i="3"/>
  <c r="AX273" i="3"/>
  <c r="AW273" i="3"/>
  <c r="AV273" i="3"/>
  <c r="AC273" i="3"/>
  <c r="AX272" i="3"/>
  <c r="AW272" i="3"/>
  <c r="AV272" i="3"/>
  <c r="AC272" i="3"/>
  <c r="AX271" i="3"/>
  <c r="AW271" i="3"/>
  <c r="AV271" i="3"/>
  <c r="AC271" i="3"/>
  <c r="AX270" i="3"/>
  <c r="AW270" i="3"/>
  <c r="AV270" i="3"/>
  <c r="AC270" i="3"/>
  <c r="AX269" i="3"/>
  <c r="AW269" i="3"/>
  <c r="AV269" i="3"/>
  <c r="AC269" i="3"/>
  <c r="AX268" i="3"/>
  <c r="AW268" i="3"/>
  <c r="AV268" i="3"/>
  <c r="AC268" i="3"/>
  <c r="AX267" i="3"/>
  <c r="AW267" i="3"/>
  <c r="AV267" i="3"/>
  <c r="AC267" i="3"/>
  <c r="AX266" i="3"/>
  <c r="AW266" i="3"/>
  <c r="AV266" i="3"/>
  <c r="AC266" i="3"/>
  <c r="AX265" i="3"/>
  <c r="AW265" i="3"/>
  <c r="AV265" i="3"/>
  <c r="AC265" i="3"/>
  <c r="AX264" i="3"/>
  <c r="AW264" i="3"/>
  <c r="AV264" i="3"/>
  <c r="AC264" i="3"/>
  <c r="AX263" i="3"/>
  <c r="AW263" i="3"/>
  <c r="AV263" i="3"/>
  <c r="AC263" i="3"/>
  <c r="AX262" i="3"/>
  <c r="AW262" i="3"/>
  <c r="AV262" i="3"/>
  <c r="AC262" i="3"/>
  <c r="AX261" i="3"/>
  <c r="AW261" i="3"/>
  <c r="AV261" i="3"/>
  <c r="AC261" i="3"/>
  <c r="AX260" i="3"/>
  <c r="AW260" i="3"/>
  <c r="AV260" i="3"/>
  <c r="AC260" i="3"/>
  <c r="AX259" i="3"/>
  <c r="AW259" i="3"/>
  <c r="AV259" i="3"/>
  <c r="AC259" i="3"/>
  <c r="AX258" i="3"/>
  <c r="AW258" i="3"/>
  <c r="AV258" i="3"/>
  <c r="AC258" i="3"/>
  <c r="AX257" i="3"/>
  <c r="AW257" i="3"/>
  <c r="AV257" i="3"/>
  <c r="AC257" i="3"/>
  <c r="AX256" i="3"/>
  <c r="AW256" i="3"/>
  <c r="AV256" i="3"/>
  <c r="AC256" i="3"/>
  <c r="AX255" i="3"/>
  <c r="AW255" i="3"/>
  <c r="AV255" i="3"/>
  <c r="AC255" i="3"/>
  <c r="AX254" i="3"/>
  <c r="AW254" i="3"/>
  <c r="AV254" i="3"/>
  <c r="AC254" i="3"/>
  <c r="AX253" i="3"/>
  <c r="AW253" i="3"/>
  <c r="AV253" i="3"/>
  <c r="AC253" i="3"/>
  <c r="AX252" i="3"/>
  <c r="AW252" i="3"/>
  <c r="AV252" i="3"/>
  <c r="AC252" i="3"/>
  <c r="AX251" i="3"/>
  <c r="AW251" i="3"/>
  <c r="AV251" i="3"/>
  <c r="AC251" i="3"/>
  <c r="AX250" i="3"/>
  <c r="AW250" i="3"/>
  <c r="AV250" i="3"/>
  <c r="AC250" i="3"/>
  <c r="AX249" i="3"/>
  <c r="AW249" i="3"/>
  <c r="AV249" i="3"/>
  <c r="AC249" i="3"/>
  <c r="AX248" i="3"/>
  <c r="AW248" i="3"/>
  <c r="AV248" i="3"/>
  <c r="AC248" i="3"/>
  <c r="AX247" i="3"/>
  <c r="AW247" i="3"/>
  <c r="AV247" i="3"/>
  <c r="AC247" i="3"/>
  <c r="AX246" i="3"/>
  <c r="AW246" i="3"/>
  <c r="AV246" i="3"/>
  <c r="AC246" i="3"/>
  <c r="AX245" i="3"/>
  <c r="AW245" i="3"/>
  <c r="AV245" i="3"/>
  <c r="AC245" i="3"/>
  <c r="AX244" i="3"/>
  <c r="AW244" i="3"/>
  <c r="AV244" i="3"/>
  <c r="AC244" i="3"/>
  <c r="AX243" i="3"/>
  <c r="AW243" i="3"/>
  <c r="AV243" i="3"/>
  <c r="AC243" i="3"/>
  <c r="AX242" i="3"/>
  <c r="AW242" i="3"/>
  <c r="AV242" i="3"/>
  <c r="AC242" i="3"/>
  <c r="AX241" i="3"/>
  <c r="AW241" i="3"/>
  <c r="AV241" i="3"/>
  <c r="AC241" i="3"/>
  <c r="AX240" i="3"/>
  <c r="AW240" i="3"/>
  <c r="AV240" i="3"/>
  <c r="AC240" i="3"/>
  <c r="AX239" i="3"/>
  <c r="AW239" i="3"/>
  <c r="AV239" i="3"/>
  <c r="AC239" i="3"/>
  <c r="AX238" i="3"/>
  <c r="AW238" i="3"/>
  <c r="AV238" i="3"/>
  <c r="AC238" i="3"/>
  <c r="AX237" i="3"/>
  <c r="AW237" i="3"/>
  <c r="AV237" i="3"/>
  <c r="AC237" i="3"/>
  <c r="AX236" i="3"/>
  <c r="AW236" i="3"/>
  <c r="AV236" i="3"/>
  <c r="AC236" i="3"/>
  <c r="AX235" i="3"/>
  <c r="AW235" i="3"/>
  <c r="AV235" i="3"/>
  <c r="AC235" i="3"/>
  <c r="AX234" i="3"/>
  <c r="AW234" i="3"/>
  <c r="AV234" i="3"/>
  <c r="AC234" i="3"/>
  <c r="AX233" i="3"/>
  <c r="AW233" i="3"/>
  <c r="AV233" i="3"/>
  <c r="AC233" i="3"/>
  <c r="AX232" i="3"/>
  <c r="AW232" i="3"/>
  <c r="AV232" i="3"/>
  <c r="AC232" i="3"/>
  <c r="AX231" i="3"/>
  <c r="AW231" i="3"/>
  <c r="AV231" i="3"/>
  <c r="AC231" i="3"/>
  <c r="AX230" i="3"/>
  <c r="AW230" i="3"/>
  <c r="AV230" i="3"/>
  <c r="AC230" i="3"/>
  <c r="AX229" i="3"/>
  <c r="AW229" i="3"/>
  <c r="AV229" i="3"/>
  <c r="AC229" i="3"/>
  <c r="AX228" i="3"/>
  <c r="AW228" i="3"/>
  <c r="AV228" i="3"/>
  <c r="AC228" i="3"/>
  <c r="AX227" i="3"/>
  <c r="AW227" i="3"/>
  <c r="AV227" i="3"/>
  <c r="AC227" i="3"/>
  <c r="AX226" i="3"/>
  <c r="AW226" i="3"/>
  <c r="AV226" i="3"/>
  <c r="AC226" i="3"/>
  <c r="AX225" i="3"/>
  <c r="AW225" i="3"/>
  <c r="AV225" i="3"/>
  <c r="AC225" i="3"/>
  <c r="AX224" i="3"/>
  <c r="AW224" i="3"/>
  <c r="AV224" i="3"/>
  <c r="AC224" i="3"/>
  <c r="AX223" i="3"/>
  <c r="AW223" i="3"/>
  <c r="AV223" i="3"/>
  <c r="AC223" i="3"/>
  <c r="AX222" i="3"/>
  <c r="AW222" i="3"/>
  <c r="AV222" i="3"/>
  <c r="AC222" i="3"/>
  <c r="AX221" i="3"/>
  <c r="AW221" i="3"/>
  <c r="AV221" i="3"/>
  <c r="AC221" i="3"/>
  <c r="AX220" i="3"/>
  <c r="AW220" i="3"/>
  <c r="AV220" i="3"/>
  <c r="AC220" i="3"/>
  <c r="AX219" i="3"/>
  <c r="AW219" i="3"/>
  <c r="AV219" i="3"/>
  <c r="AC219" i="3"/>
  <c r="AX218" i="3"/>
  <c r="AW218" i="3"/>
  <c r="AV218" i="3"/>
  <c r="AC218" i="3"/>
  <c r="AX217" i="3"/>
  <c r="AW217" i="3"/>
  <c r="AV217" i="3"/>
  <c r="AC217" i="3"/>
  <c r="AX216" i="3"/>
  <c r="AW216" i="3"/>
  <c r="AV216" i="3"/>
  <c r="AC216" i="3"/>
  <c r="AX215" i="3"/>
  <c r="AW215" i="3"/>
  <c r="AV215" i="3"/>
  <c r="AC215" i="3"/>
  <c r="AX214" i="3"/>
  <c r="AW214" i="3"/>
  <c r="AV214" i="3"/>
  <c r="AC214" i="3"/>
  <c r="AX213" i="3"/>
  <c r="AW213" i="3"/>
  <c r="AV213" i="3"/>
  <c r="AC213" i="3"/>
  <c r="AX212" i="3"/>
  <c r="AW212" i="3"/>
  <c r="AV212" i="3"/>
  <c r="AC212" i="3"/>
  <c r="AX211" i="3"/>
  <c r="AW211" i="3"/>
  <c r="AV211" i="3"/>
  <c r="AC211" i="3"/>
  <c r="AX210" i="3"/>
  <c r="AW210" i="3"/>
  <c r="AV210" i="3"/>
  <c r="AC210" i="3"/>
  <c r="AX209" i="3"/>
  <c r="AW209" i="3"/>
  <c r="AV209" i="3"/>
  <c r="AC209" i="3"/>
  <c r="AX208" i="3"/>
  <c r="AW208" i="3"/>
  <c r="AV208" i="3"/>
  <c r="AC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AX303" i="3"/>
  <c r="AW303" i="3"/>
  <c r="AV303" i="3"/>
  <c r="AC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Q26" i="31"/>
  <c r="O26" i="31"/>
  <c r="I26" i="31"/>
  <c r="R26" i="31"/>
  <c r="C27" i="31"/>
  <c r="E27" i="31"/>
  <c r="Q27" i="31"/>
  <c r="O27" i="31"/>
  <c r="I27" i="31"/>
  <c r="R27" i="31"/>
  <c r="C28" i="31"/>
  <c r="E28" i="31"/>
  <c r="Q28" i="31"/>
  <c r="O28" i="31"/>
  <c r="I28" i="31"/>
  <c r="R28" i="31"/>
  <c r="C29" i="31"/>
  <c r="E29" i="31"/>
  <c r="Q29" i="31"/>
  <c r="O29" i="31"/>
  <c r="I29" i="31"/>
  <c r="R29" i="31"/>
  <c r="C30" i="31"/>
  <c r="E30" i="31"/>
  <c r="Q30" i="31"/>
  <c r="O30" i="31"/>
  <c r="I30" i="31"/>
  <c r="R30" i="31"/>
  <c r="C31" i="31"/>
  <c r="E31" i="31"/>
  <c r="Q31" i="31"/>
  <c r="O31" i="31"/>
  <c r="I31" i="31"/>
  <c r="R31" i="31"/>
  <c r="C32" i="31"/>
  <c r="E32" i="31"/>
  <c r="Q32" i="31"/>
  <c r="O32" i="31"/>
  <c r="I32" i="31"/>
  <c r="R32" i="31"/>
  <c r="C33" i="31"/>
  <c r="E33" i="31"/>
  <c r="Q33" i="31"/>
  <c r="O33" i="31"/>
  <c r="I33" i="31"/>
  <c r="R33" i="31"/>
  <c r="C34" i="31"/>
  <c r="E34" i="31"/>
  <c r="Q34" i="31"/>
  <c r="O34" i="31"/>
  <c r="I34" i="31"/>
  <c r="R34" i="31"/>
  <c r="C35" i="31"/>
  <c r="E35" i="31"/>
  <c r="Q35" i="31"/>
  <c r="O35" i="31"/>
  <c r="I35" i="31"/>
  <c r="R35" i="31"/>
  <c r="C36" i="31"/>
  <c r="E36" i="31"/>
  <c r="Q36" i="31"/>
  <c r="O36" i="31"/>
  <c r="I36" i="31"/>
  <c r="R36" i="31"/>
  <c r="C37" i="31"/>
  <c r="E37" i="31"/>
  <c r="Q37" i="31"/>
  <c r="O37" i="31"/>
  <c r="I37" i="31"/>
  <c r="R37" i="31"/>
  <c r="C38" i="31"/>
  <c r="E38" i="31"/>
  <c r="Q38" i="31"/>
  <c r="O38" i="31"/>
  <c r="I38" i="31"/>
  <c r="R38" i="31"/>
  <c r="C39" i="31"/>
  <c r="E39" i="31"/>
  <c r="Q39" i="31"/>
  <c r="O39" i="31"/>
  <c r="I39" i="31"/>
  <c r="R39" i="31"/>
  <c r="C40" i="31"/>
  <c r="E40" i="31"/>
  <c r="Q40" i="31"/>
  <c r="O40" i="31"/>
  <c r="I40" i="31"/>
  <c r="R40" i="31"/>
  <c r="C41" i="31"/>
  <c r="E41" i="31"/>
  <c r="Q41" i="31"/>
  <c r="O41" i="31"/>
  <c r="I41" i="31"/>
  <c r="R41" i="31"/>
  <c r="C42" i="31"/>
  <c r="E42" i="31"/>
  <c r="Q42" i="31"/>
  <c r="O42" i="31"/>
  <c r="I42" i="31"/>
  <c r="R42" i="31"/>
  <c r="C43" i="31"/>
  <c r="E43" i="31"/>
  <c r="Q43" i="31"/>
  <c r="O43" i="31"/>
  <c r="I43" i="31"/>
  <c r="R43" i="31"/>
  <c r="C44" i="31"/>
  <c r="E44" i="31"/>
  <c r="Q44" i="31"/>
  <c r="O44" i="31"/>
  <c r="I44" i="31"/>
  <c r="R44" i="31"/>
  <c r="C45" i="31"/>
  <c r="E45" i="31"/>
  <c r="Q45" i="31"/>
  <c r="O45" i="31"/>
  <c r="I45" i="31"/>
  <c r="R45" i="31"/>
  <c r="C46" i="31"/>
  <c r="E46" i="31"/>
  <c r="Q46" i="31"/>
  <c r="O46" i="31"/>
  <c r="I46" i="31"/>
  <c r="R46" i="31"/>
  <c r="C47" i="31"/>
  <c r="E47" i="31"/>
  <c r="Q47" i="31"/>
  <c r="O47" i="31"/>
  <c r="I47" i="31"/>
  <c r="R47" i="31"/>
  <c r="C48" i="31"/>
  <c r="E48" i="31"/>
  <c r="Q48" i="31"/>
  <c r="O48" i="31"/>
  <c r="I48" i="31"/>
  <c r="R48" i="31"/>
  <c r="C49" i="31"/>
  <c r="E49" i="31"/>
  <c r="Q49" i="31"/>
  <c r="O49" i="31"/>
  <c r="I49" i="31"/>
  <c r="R49" i="31"/>
  <c r="C50" i="31"/>
  <c r="E50" i="31"/>
  <c r="Q50" i="31"/>
  <c r="O50" i="31"/>
  <c r="I50" i="31"/>
  <c r="R50" i="31"/>
  <c r="C51" i="31"/>
  <c r="E51" i="31"/>
  <c r="Q51" i="31"/>
  <c r="O51" i="31"/>
  <c r="I51" i="31"/>
  <c r="R51" i="31"/>
  <c r="C52" i="31"/>
  <c r="E52" i="31"/>
  <c r="Q52" i="31"/>
  <c r="O52" i="31"/>
  <c r="I52" i="31"/>
  <c r="R52" i="31"/>
  <c r="C53" i="31"/>
  <c r="E53" i="31"/>
  <c r="Q53" i="31"/>
  <c r="O53" i="31"/>
  <c r="I53" i="31"/>
  <c r="R53" i="31"/>
  <c r="C54" i="31"/>
  <c r="E54" i="31"/>
  <c r="Q54" i="31"/>
  <c r="O54" i="31"/>
  <c r="I54" i="31"/>
  <c r="R54" i="31"/>
  <c r="C55" i="31"/>
  <c r="E55" i="31"/>
  <c r="Q55" i="31"/>
  <c r="O55" i="31"/>
  <c r="I55" i="31"/>
  <c r="R55" i="31"/>
  <c r="C56" i="31"/>
  <c r="E56" i="31"/>
  <c r="Q56" i="31"/>
  <c r="O56" i="31"/>
  <c r="I56" i="31"/>
  <c r="R56" i="31"/>
  <c r="C57" i="31"/>
  <c r="E57" i="31"/>
  <c r="Q57" i="31"/>
  <c r="O57" i="31"/>
  <c r="I57" i="31"/>
  <c r="R57" i="31"/>
  <c r="C58" i="31"/>
  <c r="E58" i="31"/>
  <c r="Q58" i="31"/>
  <c r="O58" i="31"/>
  <c r="I58" i="31"/>
  <c r="R58" i="31"/>
  <c r="C59" i="31"/>
  <c r="E59" i="31"/>
  <c r="Q59" i="31"/>
  <c r="O59" i="31"/>
  <c r="I59" i="31"/>
  <c r="R59" i="31"/>
  <c r="C60" i="31"/>
  <c r="E60" i="31"/>
  <c r="Q60" i="31"/>
  <c r="O60" i="31"/>
  <c r="I60" i="31"/>
  <c r="R60" i="31"/>
  <c r="C61" i="31"/>
  <c r="E61" i="31"/>
  <c r="Q61" i="31"/>
  <c r="O61" i="31"/>
  <c r="I61" i="31"/>
  <c r="R61" i="31"/>
  <c r="C62" i="31"/>
  <c r="E62" i="31"/>
  <c r="Q62" i="31"/>
  <c r="O62" i="31"/>
  <c r="I62" i="31"/>
  <c r="R62" i="31"/>
  <c r="C63" i="31"/>
  <c r="E63" i="31"/>
  <c r="Q63" i="31"/>
  <c r="O63" i="31"/>
  <c r="I63" i="31"/>
  <c r="R63" i="31"/>
  <c r="C64" i="31"/>
  <c r="E64" i="31"/>
  <c r="Q64" i="31"/>
  <c r="O64" i="31"/>
  <c r="I64" i="31"/>
  <c r="R64" i="31"/>
  <c r="C65" i="31"/>
  <c r="E65" i="31"/>
  <c r="Q65" i="31"/>
  <c r="O65" i="31"/>
  <c r="I65" i="31"/>
  <c r="R65" i="31"/>
  <c r="C66" i="31"/>
  <c r="E66" i="31"/>
  <c r="Q66" i="31"/>
  <c r="O66" i="31"/>
  <c r="I66" i="31"/>
  <c r="R66" i="31"/>
  <c r="C67" i="31"/>
  <c r="E67" i="31"/>
  <c r="Q67" i="31"/>
  <c r="O67" i="31"/>
  <c r="I67" i="31"/>
  <c r="R67" i="31"/>
  <c r="C68" i="31"/>
  <c r="E68" i="31"/>
  <c r="Q68" i="31"/>
  <c r="O68" i="31"/>
  <c r="I68" i="31"/>
  <c r="R68" i="31"/>
  <c r="C69" i="31"/>
  <c r="E69" i="31"/>
  <c r="Q69" i="31"/>
  <c r="O69" i="31"/>
  <c r="I69" i="31"/>
  <c r="R69" i="31"/>
  <c r="C70" i="31"/>
  <c r="E70" i="31"/>
  <c r="Q70" i="31"/>
  <c r="O70" i="31"/>
  <c r="I70" i="31"/>
  <c r="R70" i="31"/>
  <c r="C71" i="31"/>
  <c r="E71" i="31"/>
  <c r="Q71" i="31"/>
  <c r="O71" i="31"/>
  <c r="I71" i="31"/>
  <c r="R71" i="31"/>
  <c r="C72" i="31"/>
  <c r="E72" i="31"/>
  <c r="Q72" i="31"/>
  <c r="O72" i="31"/>
  <c r="I72" i="31"/>
  <c r="R72" i="31"/>
  <c r="C73" i="31"/>
  <c r="E73" i="31"/>
  <c r="Q73" i="31"/>
  <c r="O73" i="31"/>
  <c r="I73" i="31"/>
  <c r="R73" i="31"/>
  <c r="C74" i="31"/>
  <c r="E74" i="31"/>
  <c r="Q74" i="31"/>
  <c r="O74" i="31"/>
  <c r="I74" i="31"/>
  <c r="R74" i="31"/>
  <c r="C75" i="31"/>
  <c r="E75" i="31"/>
  <c r="Q75" i="31"/>
  <c r="O75" i="31"/>
  <c r="I75" i="31"/>
  <c r="R75" i="31"/>
  <c r="C76" i="31"/>
  <c r="E76" i="31"/>
  <c r="Q76" i="31"/>
  <c r="O76" i="31"/>
  <c r="I76" i="31"/>
  <c r="R76" i="31"/>
  <c r="C77" i="31"/>
  <c r="E77" i="31"/>
  <c r="Q77" i="31"/>
  <c r="O77" i="31"/>
  <c r="I77" i="31"/>
  <c r="R77" i="31"/>
  <c r="C78" i="31"/>
  <c r="E78" i="31"/>
  <c r="Q78" i="31"/>
  <c r="O78" i="31"/>
  <c r="I78" i="31"/>
  <c r="R78" i="31"/>
  <c r="C79" i="31"/>
  <c r="E79" i="31"/>
  <c r="Q79" i="31"/>
  <c r="O79" i="31"/>
  <c r="I79" i="31"/>
  <c r="R79" i="31"/>
  <c r="C80" i="31"/>
  <c r="E80" i="31"/>
  <c r="Q80" i="31"/>
  <c r="O80" i="31"/>
  <c r="I80" i="31"/>
  <c r="R80" i="31"/>
  <c r="C81" i="31"/>
  <c r="E81" i="31"/>
  <c r="Q81" i="31"/>
  <c r="O81" i="31"/>
  <c r="I81" i="31"/>
  <c r="R81" i="31"/>
  <c r="C82" i="31"/>
  <c r="E82" i="31"/>
  <c r="Q82" i="31"/>
  <c r="O82" i="31"/>
  <c r="I82" i="31"/>
  <c r="R82" i="31"/>
  <c r="C83" i="31"/>
  <c r="E83" i="31"/>
  <c r="Q83" i="31"/>
  <c r="O83" i="31"/>
  <c r="I83" i="31"/>
  <c r="R83" i="31"/>
  <c r="C84" i="31"/>
  <c r="E84" i="31"/>
  <c r="Q84" i="31"/>
  <c r="O84" i="31"/>
  <c r="I84" i="31"/>
  <c r="R84" i="31"/>
  <c r="C85" i="31"/>
  <c r="E85" i="31"/>
  <c r="Q85" i="31"/>
  <c r="O85" i="31"/>
  <c r="I85" i="31"/>
  <c r="R85" i="31"/>
  <c r="C86" i="31"/>
  <c r="E86" i="31"/>
  <c r="Q86" i="31"/>
  <c r="O86" i="31"/>
  <c r="I86" i="31"/>
  <c r="R86" i="31"/>
  <c r="C87" i="31"/>
  <c r="E87" i="31"/>
  <c r="Q87" i="31"/>
  <c r="O87" i="31"/>
  <c r="I87" i="31"/>
  <c r="R87" i="31"/>
  <c r="C88" i="31"/>
  <c r="E88" i="31"/>
  <c r="Q88" i="31"/>
  <c r="O88" i="31"/>
  <c r="I88" i="31"/>
  <c r="R88" i="31"/>
  <c r="C89" i="31"/>
  <c r="E89" i="31"/>
  <c r="Q89" i="31"/>
  <c r="O89" i="31"/>
  <c r="I89" i="31"/>
  <c r="R89" i="31"/>
  <c r="C90" i="31"/>
  <c r="E90" i="31"/>
  <c r="Q90" i="31"/>
  <c r="O90" i="31"/>
  <c r="I90" i="31"/>
  <c r="R90" i="31"/>
  <c r="C91" i="31"/>
  <c r="E91" i="31"/>
  <c r="Q91" i="31"/>
  <c r="O91" i="31"/>
  <c r="I91" i="31"/>
  <c r="R91" i="31"/>
  <c r="C92" i="31"/>
  <c r="E92" i="31"/>
  <c r="Q92" i="31"/>
  <c r="O92" i="31"/>
  <c r="I92" i="31"/>
  <c r="R92" i="31"/>
  <c r="C93" i="31"/>
  <c r="E93" i="31"/>
  <c r="Q93" i="31"/>
  <c r="O93" i="31"/>
  <c r="I93" i="31"/>
  <c r="R93" i="31"/>
  <c r="C94" i="31"/>
  <c r="E94" i="31"/>
  <c r="Q94" i="31"/>
  <c r="O94" i="31"/>
  <c r="I94" i="31"/>
  <c r="R94" i="31"/>
  <c r="C95" i="31"/>
  <c r="E95" i="31"/>
  <c r="Q95" i="31"/>
  <c r="O95" i="31"/>
  <c r="I95" i="31"/>
  <c r="R95" i="31"/>
  <c r="C96" i="31"/>
  <c r="E96" i="31"/>
  <c r="Q96" i="31"/>
  <c r="O96" i="31"/>
  <c r="I96" i="31"/>
  <c r="R96" i="31"/>
  <c r="C97" i="31"/>
  <c r="E97" i="31"/>
  <c r="Q97" i="31"/>
  <c r="O97" i="31"/>
  <c r="I97" i="31"/>
  <c r="R97" i="31"/>
  <c r="C98" i="31"/>
  <c r="E98" i="31"/>
  <c r="Q98" i="31"/>
  <c r="O98" i="31"/>
  <c r="I98" i="31"/>
  <c r="R98" i="31"/>
  <c r="C99" i="31"/>
  <c r="E99" i="31"/>
  <c r="Q99" i="31"/>
  <c r="O99" i="31"/>
  <c r="I99" i="31"/>
  <c r="R99" i="31"/>
  <c r="C100" i="31"/>
  <c r="E100" i="31"/>
  <c r="Q100" i="31"/>
  <c r="O100" i="31"/>
  <c r="I100" i="31"/>
  <c r="R100" i="31"/>
  <c r="C101" i="31"/>
  <c r="E101" i="31"/>
  <c r="Q101" i="31"/>
  <c r="O101" i="31"/>
  <c r="I101" i="31"/>
  <c r="R101" i="31"/>
  <c r="C102" i="31"/>
  <c r="E102" i="31"/>
  <c r="Q102" i="31"/>
  <c r="O102" i="31"/>
  <c r="I102" i="31"/>
  <c r="R102" i="31"/>
  <c r="C103" i="31"/>
  <c r="E103" i="31"/>
  <c r="Q103" i="31"/>
  <c r="O103" i="31"/>
  <c r="I103" i="31"/>
  <c r="R103" i="31"/>
  <c r="C104" i="31"/>
  <c r="E104" i="31"/>
  <c r="Q104" i="31"/>
  <c r="O104" i="31"/>
  <c r="I104" i="31"/>
  <c r="R104" i="31"/>
  <c r="C105" i="31"/>
  <c r="E105" i="31"/>
  <c r="Q105" i="31"/>
  <c r="O105" i="31"/>
  <c r="I105" i="31"/>
  <c r="R105" i="31"/>
  <c r="C106" i="31"/>
  <c r="E106" i="31"/>
  <c r="Q106" i="31"/>
  <c r="O106" i="31"/>
  <c r="I106" i="31"/>
  <c r="R106" i="31"/>
  <c r="C107" i="31"/>
  <c r="E107" i="31"/>
  <c r="Q107" i="31"/>
  <c r="O107" i="31"/>
  <c r="I107" i="31"/>
  <c r="R107" i="31"/>
  <c r="C108" i="31"/>
  <c r="E108" i="31"/>
  <c r="Q108" i="31"/>
  <c r="O108" i="31"/>
  <c r="I108" i="31"/>
  <c r="R108" i="31"/>
  <c r="C109" i="31"/>
  <c r="E109" i="31"/>
  <c r="Q109" i="31"/>
  <c r="O109" i="31"/>
  <c r="I109" i="31"/>
  <c r="R109" i="31"/>
  <c r="C110" i="31"/>
  <c r="E110" i="31"/>
  <c r="Q110" i="31"/>
  <c r="O110" i="31"/>
  <c r="I110" i="31"/>
  <c r="R110" i="31"/>
  <c r="C111" i="31"/>
  <c r="E111" i="31"/>
  <c r="Q111" i="31"/>
  <c r="O111" i="31"/>
  <c r="I111" i="31"/>
  <c r="R111" i="31"/>
  <c r="C112" i="31"/>
  <c r="E112" i="31"/>
  <c r="Q112" i="31"/>
  <c r="O112" i="31"/>
  <c r="I112" i="31"/>
  <c r="R112" i="31"/>
  <c r="C113" i="31"/>
  <c r="E113" i="31"/>
  <c r="Q113" i="31"/>
  <c r="O113" i="31"/>
  <c r="I113" i="31"/>
  <c r="R113" i="31"/>
  <c r="C114" i="31"/>
  <c r="E114" i="31"/>
  <c r="Q114" i="31"/>
  <c r="O114" i="31"/>
  <c r="I114" i="31"/>
  <c r="R114" i="31"/>
  <c r="C115" i="31"/>
  <c r="E115" i="31"/>
  <c r="Q115" i="31"/>
  <c r="O115" i="31"/>
  <c r="I115" i="31"/>
  <c r="R115" i="31"/>
  <c r="C116" i="31"/>
  <c r="E116" i="31"/>
  <c r="Q116" i="31"/>
  <c r="O116" i="31"/>
  <c r="I116" i="31"/>
  <c r="R116" i="31"/>
  <c r="C117" i="31"/>
  <c r="E117" i="31"/>
  <c r="Q117" i="31"/>
  <c r="O117" i="31"/>
  <c r="I117" i="31"/>
  <c r="R117" i="31"/>
  <c r="C118" i="31"/>
  <c r="E118" i="31"/>
  <c r="Q118" i="31"/>
  <c r="O118" i="31"/>
  <c r="I118" i="31"/>
  <c r="R118" i="31"/>
  <c r="C119" i="31"/>
  <c r="E119" i="31"/>
  <c r="Q119" i="31"/>
  <c r="O119" i="31"/>
  <c r="I119" i="31"/>
  <c r="R119" i="31"/>
  <c r="C120" i="31"/>
  <c r="E120" i="31"/>
  <c r="Q120" i="31"/>
  <c r="O120" i="31"/>
  <c r="I120" i="31"/>
  <c r="R120" i="31"/>
  <c r="C121" i="31"/>
  <c r="E121" i="31"/>
  <c r="Q121" i="31"/>
  <c r="O121" i="31"/>
  <c r="I121" i="31"/>
  <c r="R121" i="31"/>
  <c r="C122" i="31"/>
  <c r="E122" i="31"/>
  <c r="Q122" i="31"/>
  <c r="O122" i="31"/>
  <c r="I122" i="31"/>
  <c r="R122" i="31"/>
  <c r="C123" i="31"/>
  <c r="E123" i="31"/>
  <c r="Q123" i="31"/>
  <c r="O123" i="31"/>
  <c r="I123" i="31"/>
  <c r="R123" i="31"/>
  <c r="C124" i="31"/>
  <c r="E124" i="31"/>
  <c r="Q124" i="31"/>
  <c r="O124" i="31"/>
  <c r="I124" i="31"/>
  <c r="R124" i="31"/>
  <c r="C125" i="31"/>
  <c r="E125" i="31"/>
  <c r="Q125" i="31"/>
  <c r="O125" i="31"/>
  <c r="I125" i="31"/>
  <c r="R125" i="31"/>
  <c r="C126" i="31"/>
  <c r="E126" i="31"/>
  <c r="Q126" i="31"/>
  <c r="O126" i="31"/>
  <c r="I126" i="31"/>
  <c r="R126" i="31"/>
  <c r="C127" i="31"/>
  <c r="E127" i="31"/>
  <c r="Q127" i="31"/>
  <c r="O127" i="31"/>
  <c r="I127" i="31"/>
  <c r="R127" i="31"/>
  <c r="C128" i="31"/>
  <c r="E128" i="31"/>
  <c r="Q128" i="31"/>
  <c r="O128" i="31"/>
  <c r="I128" i="31"/>
  <c r="R128" i="31"/>
  <c r="C129" i="31"/>
  <c r="E129" i="31"/>
  <c r="Q129" i="31"/>
  <c r="O129" i="31"/>
  <c r="I129" i="31"/>
  <c r="R129" i="31"/>
  <c r="C130" i="31"/>
  <c r="E130" i="31"/>
  <c r="Q130" i="31"/>
  <c r="O130" i="31"/>
  <c r="I130" i="31"/>
  <c r="R130" i="31"/>
  <c r="C131" i="31"/>
  <c r="E131" i="31"/>
  <c r="Q131" i="31"/>
  <c r="O131" i="31"/>
  <c r="I131" i="31"/>
  <c r="R131" i="31"/>
  <c r="C132" i="31"/>
  <c r="E132" i="31"/>
  <c r="Q132" i="31"/>
  <c r="O132" i="31"/>
  <c r="I132" i="31"/>
  <c r="R132" i="31"/>
  <c r="C133" i="31"/>
  <c r="E133" i="31"/>
  <c r="Q133" i="31"/>
  <c r="O133" i="31"/>
  <c r="I133" i="31"/>
  <c r="R133" i="31"/>
  <c r="C134" i="31"/>
  <c r="E134" i="31"/>
  <c r="Q134" i="31"/>
  <c r="O134" i="31"/>
  <c r="I134" i="31"/>
  <c r="R134" i="31"/>
  <c r="C135" i="31"/>
  <c r="E135" i="31"/>
  <c r="Q135" i="31"/>
  <c r="O135" i="31"/>
  <c r="I135" i="31"/>
  <c r="R135" i="31"/>
  <c r="C136" i="31"/>
  <c r="E136" i="31"/>
  <c r="Q136" i="31"/>
  <c r="O136" i="31"/>
  <c r="I136" i="31"/>
  <c r="R136" i="31"/>
  <c r="C137" i="31"/>
  <c r="E137" i="31"/>
  <c r="Q137" i="31"/>
  <c r="O137" i="31"/>
  <c r="I137" i="31"/>
  <c r="R137" i="31"/>
  <c r="C138" i="31"/>
  <c r="E138" i="31"/>
  <c r="Q138" i="31"/>
  <c r="O138" i="31"/>
  <c r="I138" i="31"/>
  <c r="R138" i="31"/>
  <c r="C139" i="31"/>
  <c r="E139" i="31"/>
  <c r="Q139" i="31"/>
  <c r="O139" i="31"/>
  <c r="I139" i="31"/>
  <c r="R139" i="31"/>
  <c r="C140" i="31"/>
  <c r="E140" i="31"/>
  <c r="Q140" i="31"/>
  <c r="O140" i="31"/>
  <c r="I140" i="31"/>
  <c r="R140" i="31"/>
  <c r="C141" i="31"/>
  <c r="E141" i="31"/>
  <c r="Q141" i="31"/>
  <c r="O141" i="31"/>
  <c r="I141" i="31"/>
  <c r="R141" i="31"/>
  <c r="C142" i="31"/>
  <c r="E142" i="31"/>
  <c r="Q142" i="31"/>
  <c r="O142" i="31"/>
  <c r="I142" i="31"/>
  <c r="R142" i="31"/>
  <c r="C143" i="31"/>
  <c r="E143" i="31"/>
  <c r="Q143" i="31"/>
  <c r="O143" i="31"/>
  <c r="I143" i="31"/>
  <c r="R143" i="31"/>
  <c r="C144" i="31"/>
  <c r="E144" i="31"/>
  <c r="Q144" i="31"/>
  <c r="O144" i="31"/>
  <c r="I144" i="31"/>
  <c r="R144" i="31"/>
  <c r="C145" i="31"/>
  <c r="E145" i="31"/>
  <c r="Q145" i="31"/>
  <c r="O145" i="31"/>
  <c r="I145" i="31"/>
  <c r="R145" i="31"/>
  <c r="C146" i="31"/>
  <c r="E146" i="31"/>
  <c r="Q146" i="31"/>
  <c r="O146" i="31"/>
  <c r="I146" i="31"/>
  <c r="R146" i="31"/>
  <c r="C147" i="31"/>
  <c r="E147" i="31"/>
  <c r="Q147" i="31"/>
  <c r="O147" i="31"/>
  <c r="I147" i="31"/>
  <c r="R147" i="31"/>
  <c r="C148" i="31"/>
  <c r="E148" i="31"/>
  <c r="Q148" i="31"/>
  <c r="O148" i="31"/>
  <c r="I148" i="31"/>
  <c r="R148" i="31"/>
  <c r="C149" i="31"/>
  <c r="E149" i="31"/>
  <c r="Q149" i="31"/>
  <c r="O149" i="31"/>
  <c r="I149" i="31"/>
  <c r="R149" i="31"/>
  <c r="C150" i="31"/>
  <c r="E150" i="31"/>
  <c r="Q150" i="31"/>
  <c r="O150" i="31"/>
  <c r="I150" i="31"/>
  <c r="R150" i="31"/>
  <c r="C151" i="31"/>
  <c r="E151" i="31"/>
  <c r="Q151" i="31"/>
  <c r="O151" i="31"/>
  <c r="I151" i="31"/>
  <c r="R151" i="31"/>
  <c r="C152" i="31"/>
  <c r="E152" i="31"/>
  <c r="Q152" i="31"/>
  <c r="O152" i="31"/>
  <c r="I152" i="31"/>
  <c r="R152" i="31"/>
  <c r="C153" i="31"/>
  <c r="E153" i="31"/>
  <c r="Q153" i="31"/>
  <c r="O153" i="31"/>
  <c r="I153" i="31"/>
  <c r="R153" i="31"/>
  <c r="C154" i="31"/>
  <c r="E154" i="31"/>
  <c r="Q154" i="31"/>
  <c r="O154" i="31"/>
  <c r="I154" i="31"/>
  <c r="R154" i="31"/>
  <c r="C155" i="31"/>
  <c r="E155" i="31"/>
  <c r="Q155" i="31"/>
  <c r="O155" i="31"/>
  <c r="I155" i="31"/>
  <c r="R155" i="31"/>
  <c r="C156" i="31"/>
  <c r="E156" i="31"/>
  <c r="Q156" i="31"/>
  <c r="O156" i="31"/>
  <c r="I156" i="31"/>
  <c r="R156" i="31"/>
  <c r="C157" i="31"/>
  <c r="E157" i="31"/>
  <c r="Q157" i="31"/>
  <c r="O157" i="31"/>
  <c r="I157" i="31"/>
  <c r="R157" i="31"/>
  <c r="C158" i="31"/>
  <c r="E158" i="31"/>
  <c r="Q158" i="31"/>
  <c r="O158" i="31"/>
  <c r="I158" i="31"/>
  <c r="R158" i="31"/>
  <c r="C159" i="31"/>
  <c r="E159" i="31"/>
  <c r="Q159" i="31"/>
  <c r="O159" i="31"/>
  <c r="I159" i="31"/>
  <c r="R159" i="31"/>
  <c r="C160" i="31"/>
  <c r="E160" i="31"/>
  <c r="Q160" i="31"/>
  <c r="O160" i="31"/>
  <c r="I160" i="31"/>
  <c r="R160" i="31"/>
  <c r="C161" i="31"/>
  <c r="E161" i="31"/>
  <c r="Q161" i="31"/>
  <c r="O161" i="31"/>
  <c r="I161" i="31"/>
  <c r="R161" i="31"/>
  <c r="C162" i="31"/>
  <c r="E162" i="31"/>
  <c r="Q162" i="31"/>
  <c r="O162" i="31"/>
  <c r="I162" i="31"/>
  <c r="R162" i="31"/>
  <c r="C163" i="31"/>
  <c r="E163" i="31"/>
  <c r="Q163" i="31"/>
  <c r="O163" i="31"/>
  <c r="I163" i="31"/>
  <c r="R163" i="31"/>
  <c r="C164" i="31"/>
  <c r="E164" i="31"/>
  <c r="Q164" i="31"/>
  <c r="O164" i="31"/>
  <c r="I164" i="31"/>
  <c r="R164" i="31"/>
  <c r="C165" i="31"/>
  <c r="E165" i="31"/>
  <c r="Q165" i="31"/>
  <c r="O165" i="31"/>
  <c r="I165" i="31"/>
  <c r="R165" i="31"/>
  <c r="C166" i="31"/>
  <c r="E166" i="31"/>
  <c r="Q166" i="31"/>
  <c r="O166" i="31"/>
  <c r="I166" i="31"/>
  <c r="R166" i="31"/>
  <c r="C167" i="31"/>
  <c r="E167" i="31"/>
  <c r="Q167" i="31"/>
  <c r="O167" i="31"/>
  <c r="I167" i="31"/>
  <c r="R167" i="31"/>
  <c r="C168" i="31"/>
  <c r="E168" i="31"/>
  <c r="Q168" i="31"/>
  <c r="O168" i="31"/>
  <c r="I168" i="31"/>
  <c r="R168" i="31"/>
  <c r="C169" i="31"/>
  <c r="E169" i="31"/>
  <c r="Q169" i="31"/>
  <c r="O169" i="31"/>
  <c r="I169" i="31"/>
  <c r="R169" i="31"/>
  <c r="C170" i="31"/>
  <c r="E170" i="31"/>
  <c r="Q170" i="31"/>
  <c r="O170" i="31"/>
  <c r="I170" i="31"/>
  <c r="R170" i="31"/>
  <c r="C171" i="31"/>
  <c r="E171" i="31"/>
  <c r="Q171" i="31"/>
  <c r="O171" i="31"/>
  <c r="I171" i="31"/>
  <c r="R171" i="31"/>
  <c r="C172" i="31"/>
  <c r="E172" i="31"/>
  <c r="Q172" i="31"/>
  <c r="O172" i="31"/>
  <c r="I172" i="31"/>
  <c r="R172" i="31"/>
  <c r="C173" i="31"/>
  <c r="E173" i="31"/>
  <c r="Q173" i="31"/>
  <c r="O173" i="31"/>
  <c r="I173" i="31"/>
  <c r="R173" i="31"/>
  <c r="C174" i="31"/>
  <c r="E174" i="31"/>
  <c r="Q174" i="31"/>
  <c r="O174" i="31"/>
  <c r="I174" i="31"/>
  <c r="R174" i="31"/>
  <c r="C175" i="31"/>
  <c r="E175" i="31"/>
  <c r="Q175" i="31"/>
  <c r="O175" i="31"/>
  <c r="I175" i="31"/>
  <c r="R175" i="31"/>
  <c r="C176" i="31"/>
  <c r="E176" i="31"/>
  <c r="Q176" i="31"/>
  <c r="O176" i="31"/>
  <c r="I176" i="31"/>
  <c r="R176" i="31"/>
  <c r="C177" i="31"/>
  <c r="E177" i="31"/>
  <c r="Q177" i="31"/>
  <c r="O177" i="31"/>
  <c r="I177" i="31"/>
  <c r="R177" i="31"/>
  <c r="C178" i="31"/>
  <c r="E178" i="31"/>
  <c r="Q178" i="31"/>
  <c r="O178" i="31"/>
  <c r="I178" i="31"/>
  <c r="R178" i="31"/>
  <c r="C179" i="31"/>
  <c r="E179" i="31"/>
  <c r="Q179" i="31"/>
  <c r="O179" i="31"/>
  <c r="I179" i="31"/>
  <c r="R179" i="31"/>
  <c r="C180" i="31"/>
  <c r="E180" i="31"/>
  <c r="Q180" i="31"/>
  <c r="O180" i="31"/>
  <c r="I180" i="31"/>
  <c r="R180" i="31"/>
  <c r="C181" i="31"/>
  <c r="E181" i="31"/>
  <c r="Q181" i="31"/>
  <c r="O181" i="31"/>
  <c r="I181" i="31"/>
  <c r="R181" i="31"/>
  <c r="C182" i="31"/>
  <c r="E182" i="31"/>
  <c r="Q182" i="31"/>
  <c r="O182" i="31"/>
  <c r="I182" i="31"/>
  <c r="R182" i="31"/>
  <c r="C183" i="31"/>
  <c r="E183" i="31"/>
  <c r="Q183" i="31"/>
  <c r="O183" i="31"/>
  <c r="I183" i="31"/>
  <c r="R183" i="31"/>
  <c r="C184" i="31"/>
  <c r="E184" i="31"/>
  <c r="Q184" i="31"/>
  <c r="O184" i="31"/>
  <c r="I184" i="31"/>
  <c r="R184" i="31"/>
  <c r="C185" i="31"/>
  <c r="E185" i="31"/>
  <c r="Q185" i="31"/>
  <c r="O185" i="31"/>
  <c r="I185" i="31"/>
  <c r="R185" i="31"/>
  <c r="C186" i="31"/>
  <c r="E186" i="31"/>
  <c r="Q186" i="31"/>
  <c r="O186" i="31"/>
  <c r="I186" i="31"/>
  <c r="R186" i="31"/>
  <c r="C187" i="31"/>
  <c r="E187" i="31"/>
  <c r="Q187" i="31"/>
  <c r="O187" i="31"/>
  <c r="I187" i="31"/>
  <c r="R187" i="31"/>
  <c r="C188" i="31"/>
  <c r="E188" i="31"/>
  <c r="Q188" i="31"/>
  <c r="O188" i="31"/>
  <c r="I188" i="31"/>
  <c r="R188" i="31"/>
  <c r="C189" i="31"/>
  <c r="E189" i="31"/>
  <c r="Q189" i="31"/>
  <c r="O189" i="31"/>
  <c r="I189" i="31"/>
  <c r="R189" i="31"/>
  <c r="C190" i="31"/>
  <c r="E190" i="31"/>
  <c r="Q190" i="31"/>
  <c r="O190" i="31"/>
  <c r="I190" i="31"/>
  <c r="R190" i="31"/>
  <c r="C191" i="31"/>
  <c r="E191" i="31"/>
  <c r="Q191" i="31"/>
  <c r="O191" i="31"/>
  <c r="I191" i="31"/>
  <c r="R191" i="31"/>
  <c r="C192" i="31"/>
  <c r="E192" i="31"/>
  <c r="Q192" i="31"/>
  <c r="O192" i="31"/>
  <c r="I192" i="31"/>
  <c r="R192" i="31"/>
  <c r="C193" i="31"/>
  <c r="E193" i="31"/>
  <c r="Q193" i="31"/>
  <c r="O193" i="31"/>
  <c r="I193" i="31"/>
  <c r="R193" i="31"/>
  <c r="C194" i="31"/>
  <c r="E194" i="31"/>
  <c r="Q194" i="31"/>
  <c r="O194" i="31"/>
  <c r="I194" i="31"/>
  <c r="R194" i="31"/>
  <c r="C195" i="31"/>
  <c r="E195" i="31"/>
  <c r="Q195" i="31"/>
  <c r="O195" i="31"/>
  <c r="I195" i="31"/>
  <c r="R195" i="31"/>
  <c r="C196" i="31"/>
  <c r="E196" i="31"/>
  <c r="Q196" i="31"/>
  <c r="O196" i="31"/>
  <c r="I196" i="31"/>
  <c r="R196" i="31"/>
  <c r="C197" i="31"/>
  <c r="E197" i="31"/>
  <c r="Q197" i="31"/>
  <c r="O197" i="31"/>
  <c r="I197" i="31"/>
  <c r="R197" i="31"/>
  <c r="C198" i="31"/>
  <c r="E198" i="31"/>
  <c r="Q198" i="31"/>
  <c r="O198" i="31"/>
  <c r="I198" i="31"/>
  <c r="R198" i="31"/>
  <c r="C199" i="31"/>
  <c r="E199" i="31"/>
  <c r="Q199" i="31"/>
  <c r="O199" i="31"/>
  <c r="I199" i="31"/>
  <c r="R199" i="31"/>
  <c r="C200" i="31"/>
  <c r="E200" i="31"/>
  <c r="Q200" i="31"/>
  <c r="O200" i="31"/>
  <c r="I200" i="31"/>
  <c r="R200" i="31"/>
  <c r="C201" i="31"/>
  <c r="E201" i="31"/>
  <c r="Q201" i="31"/>
  <c r="O201" i="31"/>
  <c r="I201" i="31"/>
  <c r="R201" i="31"/>
  <c r="C202" i="31"/>
  <c r="E202" i="31"/>
  <c r="Q202" i="31"/>
  <c r="O202" i="31"/>
  <c r="I202" i="31"/>
  <c r="R202" i="31"/>
  <c r="C203" i="31"/>
  <c r="E203" i="31"/>
  <c r="Q203" i="31"/>
  <c r="O203" i="31"/>
  <c r="I203" i="31"/>
  <c r="R203" i="31"/>
  <c r="C204" i="31"/>
  <c r="E204" i="31"/>
  <c r="Q204" i="31"/>
  <c r="O204" i="31"/>
  <c r="I204" i="31"/>
  <c r="R204" i="31"/>
  <c r="C205" i="31"/>
  <c r="E205" i="31"/>
  <c r="Q205" i="31"/>
  <c r="O205" i="31"/>
  <c r="I205" i="31"/>
  <c r="R205" i="31"/>
  <c r="C206" i="31"/>
  <c r="E206" i="31"/>
  <c r="Q206" i="31"/>
  <c r="O206" i="31"/>
  <c r="I206" i="31"/>
  <c r="R206" i="31"/>
  <c r="C207" i="31"/>
  <c r="E207" i="31"/>
  <c r="Q207" i="31"/>
  <c r="O207" i="31"/>
  <c r="I207" i="31"/>
  <c r="R207" i="31"/>
  <c r="C208" i="31"/>
  <c r="E208" i="31"/>
  <c r="Q208" i="31"/>
  <c r="O208" i="31"/>
  <c r="I208" i="31"/>
  <c r="R208" i="31"/>
  <c r="C209" i="31"/>
  <c r="E209" i="31"/>
  <c r="Q209" i="31"/>
  <c r="O209" i="31"/>
  <c r="I209" i="31"/>
  <c r="R209" i="31"/>
  <c r="C210" i="31"/>
  <c r="E210" i="31"/>
  <c r="Q210" i="31"/>
  <c r="O210" i="31"/>
  <c r="I210" i="31"/>
  <c r="R210" i="31"/>
  <c r="C211" i="31"/>
  <c r="E211" i="31"/>
  <c r="Q211" i="31"/>
  <c r="O211" i="31"/>
  <c r="I211" i="31"/>
  <c r="R211" i="31"/>
  <c r="C212" i="31"/>
  <c r="E212" i="31"/>
  <c r="Q212" i="31"/>
  <c r="O212" i="31"/>
  <c r="I212" i="31"/>
  <c r="R212" i="31"/>
  <c r="C213" i="31"/>
  <c r="E213" i="31"/>
  <c r="Q213" i="31"/>
  <c r="O213" i="31"/>
  <c r="I213" i="31"/>
  <c r="R213" i="31"/>
  <c r="C214" i="31"/>
  <c r="E214" i="31"/>
  <c r="Q214" i="31"/>
  <c r="O214" i="31"/>
  <c r="I214" i="31"/>
  <c r="R214" i="31"/>
  <c r="C215" i="31"/>
  <c r="E215" i="31"/>
  <c r="Q215" i="31"/>
  <c r="O215" i="31"/>
  <c r="I215" i="31"/>
  <c r="R215" i="31"/>
  <c r="C216" i="31"/>
  <c r="E216" i="31"/>
  <c r="Q216" i="31"/>
  <c r="O216" i="31"/>
  <c r="I216" i="31"/>
  <c r="R216" i="31"/>
  <c r="C217" i="31"/>
  <c r="E217" i="31"/>
  <c r="Q217" i="31"/>
  <c r="O217" i="31"/>
  <c r="I217" i="31"/>
  <c r="R217" i="31"/>
  <c r="C218" i="31"/>
  <c r="E218" i="31"/>
  <c r="Q218" i="31"/>
  <c r="O218" i="31"/>
  <c r="I218" i="31"/>
  <c r="R218" i="31"/>
  <c r="C219" i="31"/>
  <c r="E219" i="31"/>
  <c r="Q219" i="31"/>
  <c r="O219" i="31"/>
  <c r="I219" i="31"/>
  <c r="R219" i="31"/>
  <c r="C220" i="31"/>
  <c r="E220" i="31"/>
  <c r="Q220" i="31"/>
  <c r="O220" i="31"/>
  <c r="I220" i="31"/>
  <c r="R220" i="31"/>
  <c r="C221" i="31"/>
  <c r="E221" i="31"/>
  <c r="Q221" i="31"/>
  <c r="O221" i="31"/>
  <c r="I221" i="31"/>
  <c r="R221" i="31"/>
  <c r="C222" i="31"/>
  <c r="E222" i="31"/>
  <c r="Q222" i="31"/>
  <c r="O222" i="31"/>
  <c r="I222" i="31"/>
  <c r="R222" i="31"/>
  <c r="C223" i="31"/>
  <c r="E223" i="31"/>
  <c r="Q223" i="31"/>
  <c r="O223" i="31"/>
  <c r="I223" i="31"/>
  <c r="R223" i="31"/>
  <c r="C224" i="31"/>
  <c r="E224" i="31"/>
  <c r="Q224" i="31"/>
  <c r="O224" i="31"/>
  <c r="I224" i="31"/>
  <c r="R224" i="31"/>
  <c r="C225" i="31"/>
  <c r="E225" i="31"/>
  <c r="Q225" i="31"/>
  <c r="O225" i="31"/>
  <c r="I225" i="31"/>
  <c r="R225" i="31"/>
  <c r="C226" i="31"/>
  <c r="E226" i="31"/>
  <c r="Q226" i="31"/>
  <c r="O226" i="31"/>
  <c r="I226" i="31"/>
  <c r="R226" i="31"/>
  <c r="C227" i="31"/>
  <c r="E227" i="31"/>
  <c r="Q227" i="31"/>
  <c r="O227" i="31"/>
  <c r="I227" i="31"/>
  <c r="R227" i="31"/>
  <c r="C228" i="31"/>
  <c r="E228" i="31"/>
  <c r="Q228" i="31"/>
  <c r="O228" i="31"/>
  <c r="I228" i="31"/>
  <c r="R228" i="31"/>
  <c r="C229" i="31"/>
  <c r="E229" i="31"/>
  <c r="Q229" i="31"/>
  <c r="O229" i="31"/>
  <c r="I229" i="31"/>
  <c r="R229" i="31"/>
  <c r="C230" i="31"/>
  <c r="E230" i="31"/>
  <c r="Q230" i="31"/>
  <c r="O230" i="31"/>
  <c r="I230" i="31"/>
  <c r="R230" i="31"/>
  <c r="C231" i="31"/>
  <c r="E231" i="31"/>
  <c r="Q231" i="31"/>
  <c r="O231" i="31"/>
  <c r="I231" i="31"/>
  <c r="R231" i="31"/>
  <c r="C232" i="31"/>
  <c r="E232" i="31"/>
  <c r="Q232" i="31"/>
  <c r="O232" i="31"/>
  <c r="I232" i="31"/>
  <c r="R232" i="31"/>
  <c r="C233" i="31"/>
  <c r="E233" i="31"/>
  <c r="Q233" i="31"/>
  <c r="O233" i="31"/>
  <c r="I233" i="31"/>
  <c r="R233" i="31"/>
  <c r="C234" i="31"/>
  <c r="E234" i="31"/>
  <c r="Q234" i="31"/>
  <c r="O234" i="31"/>
  <c r="I234" i="31"/>
  <c r="R234" i="31"/>
  <c r="C235" i="31"/>
  <c r="E235" i="31"/>
  <c r="Q235" i="31"/>
  <c r="O235" i="31"/>
  <c r="I235" i="31"/>
  <c r="R235" i="31"/>
  <c r="C236" i="31"/>
  <c r="E236" i="31"/>
  <c r="Q236" i="31"/>
  <c r="O236" i="31"/>
  <c r="I236" i="31"/>
  <c r="R236" i="31"/>
  <c r="C237" i="31"/>
  <c r="E237" i="31"/>
  <c r="Q237" i="31"/>
  <c r="O237" i="31"/>
  <c r="I237" i="31"/>
  <c r="R237" i="31"/>
  <c r="C238" i="31"/>
  <c r="E238" i="31"/>
  <c r="Q238" i="31"/>
  <c r="O238" i="31"/>
  <c r="I238" i="31"/>
  <c r="R238" i="31"/>
  <c r="C239" i="31"/>
  <c r="E239" i="31"/>
  <c r="Q239" i="31"/>
  <c r="O239" i="31"/>
  <c r="I239" i="31"/>
  <c r="R239" i="31"/>
  <c r="C240" i="31"/>
  <c r="E240" i="31"/>
  <c r="Q240" i="31"/>
  <c r="O240" i="31"/>
  <c r="I240" i="31"/>
  <c r="R240" i="31"/>
  <c r="C241" i="31"/>
  <c r="E241" i="31"/>
  <c r="Q241" i="31"/>
  <c r="O241" i="31"/>
  <c r="I241" i="31"/>
  <c r="R241" i="31"/>
  <c r="C242" i="31"/>
  <c r="E242" i="31"/>
  <c r="Q242" i="31"/>
  <c r="O242" i="31"/>
  <c r="I242" i="31"/>
  <c r="R242" i="31"/>
  <c r="C243" i="31"/>
  <c r="E243" i="31"/>
  <c r="Q243" i="31"/>
  <c r="O243" i="31"/>
  <c r="I243" i="31"/>
  <c r="R243" i="31"/>
  <c r="C244" i="31"/>
  <c r="E244" i="31"/>
  <c r="Q244" i="31"/>
  <c r="O244" i="31"/>
  <c r="I244" i="31"/>
  <c r="R244" i="31"/>
  <c r="C245" i="31"/>
  <c r="E245" i="31"/>
  <c r="Q245" i="31"/>
  <c r="O245" i="31"/>
  <c r="I245" i="31"/>
  <c r="R245" i="31"/>
  <c r="C246" i="31"/>
  <c r="E246" i="31"/>
  <c r="Q246" i="31"/>
  <c r="O246" i="31"/>
  <c r="I246" i="31"/>
  <c r="R246" i="31"/>
  <c r="C247" i="31"/>
  <c r="E247" i="31"/>
  <c r="Q247" i="31"/>
  <c r="O247" i="31"/>
  <c r="I247" i="31"/>
  <c r="R247" i="31"/>
  <c r="C248" i="31"/>
  <c r="E248" i="31"/>
  <c r="Q248" i="31"/>
  <c r="O248" i="31"/>
  <c r="I248" i="31"/>
  <c r="R248" i="31"/>
  <c r="C249" i="31"/>
  <c r="E249" i="31"/>
  <c r="Q249" i="31"/>
  <c r="O249" i="31"/>
  <c r="I249" i="31"/>
  <c r="R249" i="31"/>
  <c r="C250" i="31"/>
  <c r="E250" i="31"/>
  <c r="Q250" i="31"/>
  <c r="O250" i="31"/>
  <c r="I250" i="31"/>
  <c r="R250" i="31"/>
  <c r="C251" i="31"/>
  <c r="E251" i="31"/>
  <c r="Q251" i="31"/>
  <c r="O251" i="31"/>
  <c r="I251" i="31"/>
  <c r="R251" i="31"/>
  <c r="C252" i="31"/>
  <c r="E252" i="31"/>
  <c r="Q252" i="31"/>
  <c r="O252" i="31"/>
  <c r="I252" i="31"/>
  <c r="R252" i="31"/>
  <c r="C253" i="31"/>
  <c r="E253" i="31"/>
  <c r="Q253" i="31"/>
  <c r="O253" i="31"/>
  <c r="I253" i="31"/>
  <c r="R253" i="31"/>
  <c r="C254" i="31"/>
  <c r="E254" i="31"/>
  <c r="Q254" i="31"/>
  <c r="O254" i="31"/>
  <c r="I254" i="31"/>
  <c r="R254" i="31"/>
  <c r="C255" i="31"/>
  <c r="E255" i="31"/>
  <c r="Q255" i="31"/>
  <c r="O255" i="31"/>
  <c r="I255" i="31"/>
  <c r="R255" i="31"/>
  <c r="S255" i="31"/>
  <c r="C256" i="31"/>
  <c r="E256" i="31"/>
  <c r="Q256" i="31"/>
  <c r="O256" i="31"/>
  <c r="I256" i="31"/>
  <c r="R256" i="31"/>
  <c r="C257" i="31"/>
  <c r="E257" i="31"/>
  <c r="Q257" i="31"/>
  <c r="O257" i="31"/>
  <c r="I257" i="31"/>
  <c r="R257" i="31"/>
  <c r="S257" i="31"/>
  <c r="C258" i="31"/>
  <c r="E258" i="31"/>
  <c r="Q258" i="31"/>
  <c r="O258" i="31"/>
  <c r="I258" i="31"/>
  <c r="R258" i="31"/>
  <c r="C259" i="31"/>
  <c r="E259" i="31"/>
  <c r="Q259" i="31"/>
  <c r="O259" i="31"/>
  <c r="I259" i="31"/>
  <c r="R259" i="31"/>
  <c r="S259" i="31"/>
  <c r="C260" i="31"/>
  <c r="E260" i="31"/>
  <c r="Q260" i="31"/>
  <c r="O260" i="31"/>
  <c r="I260" i="31"/>
  <c r="R260" i="31"/>
  <c r="C261" i="31"/>
  <c r="E261" i="31"/>
  <c r="Q261" i="31"/>
  <c r="O261" i="31"/>
  <c r="I261" i="31"/>
  <c r="R261" i="31"/>
  <c r="S261" i="31"/>
  <c r="C262" i="31"/>
  <c r="E262" i="31"/>
  <c r="Q262" i="31"/>
  <c r="O262" i="31"/>
  <c r="I262" i="31"/>
  <c r="R262" i="31"/>
  <c r="C263" i="31"/>
  <c r="E263" i="31"/>
  <c r="Q263" i="31"/>
  <c r="O263" i="31"/>
  <c r="I263" i="31"/>
  <c r="R263" i="31"/>
  <c r="S263" i="31"/>
  <c r="C264" i="31"/>
  <c r="E264" i="31"/>
  <c r="Q264" i="31"/>
  <c r="O264" i="31"/>
  <c r="I264" i="31"/>
  <c r="R264" i="31"/>
  <c r="C265" i="31"/>
  <c r="E265" i="31"/>
  <c r="Q265" i="31"/>
  <c r="O265" i="31"/>
  <c r="I265" i="31"/>
  <c r="R265" i="31"/>
  <c r="S265" i="31"/>
  <c r="C266" i="31"/>
  <c r="E266" i="31"/>
  <c r="Q266" i="31"/>
  <c r="O266" i="31"/>
  <c r="I266" i="31"/>
  <c r="R266" i="31"/>
  <c r="C267" i="31"/>
  <c r="E267" i="31"/>
  <c r="Q267" i="31"/>
  <c r="O267" i="31"/>
  <c r="I267" i="31"/>
  <c r="R267" i="31"/>
  <c r="S267" i="31"/>
  <c r="C268" i="31"/>
  <c r="E268" i="31"/>
  <c r="Q268" i="31"/>
  <c r="O268" i="31"/>
  <c r="I268"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Q25" i="31"/>
  <c r="O25" i="31"/>
  <c r="I25" i="31"/>
  <c r="R25"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3" i="49"/>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24" i="1"/>
  <c r="B43" i="1"/>
  <c r="D78" i="9"/>
  <c r="E19" i="6"/>
  <c r="M8" i="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21"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E123" i="33"/>
  <c r="F123"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23"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F66" i="21"/>
  <c r="G66" i="21"/>
  <c r="H66" i="21"/>
  <c r="I66" i="21"/>
  <c r="D111" i="21"/>
  <c r="E111" i="21"/>
  <c r="F111" i="21"/>
  <c r="C111" i="21"/>
  <c r="E79" i="21"/>
  <c r="F79" i="21"/>
  <c r="G79" i="21"/>
  <c r="F81" i="21"/>
  <c r="G81"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R47" i="21"/>
  <c r="T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S43" i="21"/>
  <c r="U38" i="21"/>
  <c r="S38" i="21"/>
  <c r="S36" i="21"/>
  <c r="W40" i="21"/>
  <c r="J8" i="21"/>
  <c r="AC8" i="21"/>
  <c r="H8" i="21"/>
  <c r="U8" i="21"/>
  <c r="U39" i="21"/>
  <c r="W34" i="21"/>
  <c r="U36" i="21"/>
  <c r="W19" i="21"/>
  <c r="J12" i="21"/>
  <c r="AC12" i="21"/>
  <c r="H12" i="21"/>
  <c r="AB12" i="21"/>
  <c r="W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BL587" i="3"/>
  <c r="J14" i="21"/>
  <c r="W14" i="21"/>
  <c r="F14" i="21"/>
  <c r="S14" i="21"/>
  <c r="H14" i="21"/>
  <c r="U14" i="21"/>
  <c r="H28" i="21"/>
  <c r="AB28" i="21"/>
  <c r="F28" i="21"/>
  <c r="AA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M27" i="31"/>
  <c r="M28" i="31"/>
  <c r="M26" i="31"/>
  <c r="S25" i="31"/>
  <c r="K26" i="31"/>
  <c r="K27" i="31"/>
  <c r="K28" i="31"/>
  <c r="AC28" i="34"/>
  <c r="S21" i="40"/>
  <c r="AA12" i="21"/>
  <c r="H25" i="21"/>
  <c r="U25" i="21"/>
  <c r="F25" i="21"/>
  <c r="S25" i="21"/>
  <c r="J25" i="21"/>
  <c r="AC25" i="21"/>
  <c r="E125" i="33"/>
  <c r="F125" i="33"/>
  <c r="H43" i="33"/>
  <c r="AB43" i="33"/>
  <c r="H17" i="37"/>
  <c r="U17" i="37"/>
  <c r="AB27" i="37"/>
  <c r="U32" i="33"/>
  <c r="AA36" i="39"/>
  <c r="F39" i="33"/>
  <c r="AA39"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370" i="3"/>
  <c r="BA379" i="3"/>
  <c r="AZ379" i="3"/>
  <c r="BL380" i="3"/>
  <c r="G381" i="3"/>
  <c r="BA383" i="3"/>
  <c r="AZ383" i="3"/>
  <c r="BL384" i="3"/>
  <c r="G385" i="3"/>
  <c r="BA387" i="3"/>
  <c r="AZ387" i="3"/>
  <c r="BL388" i="3"/>
  <c r="G389" i="3"/>
  <c r="BA391" i="3"/>
  <c r="AZ391" i="3"/>
  <c r="BL392" i="3"/>
  <c r="G393"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G509" i="3"/>
  <c r="BL493" i="3"/>
  <c r="AZ491" i="3"/>
  <c r="AZ376" i="3"/>
  <c r="AZ390" i="3"/>
  <c r="AZ382" i="3"/>
  <c r="AZ493" i="3"/>
  <c r="U36" i="40"/>
  <c r="N4" i="43"/>
  <c r="F81" i="43"/>
  <c r="H83" i="43"/>
  <c r="F48" i="43"/>
  <c r="H52" i="43"/>
  <c r="N7" i="43"/>
  <c r="F70" i="43"/>
  <c r="H73" i="43"/>
  <c r="M6" i="43"/>
  <c r="M11" i="43"/>
  <c r="E17" i="43"/>
  <c r="F6" i="1"/>
  <c r="U17" i="39"/>
  <c r="S14" i="35"/>
  <c r="U43" i="21"/>
  <c r="U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U30" i="33"/>
  <c r="AC13" i="34"/>
  <c r="AA47" i="34"/>
  <c r="W28" i="37"/>
  <c r="S19" i="39"/>
  <c r="F12" i="33"/>
  <c r="H12" i="39"/>
  <c r="AB12" i="39"/>
  <c r="F39" i="40"/>
  <c r="AZ367" i="3"/>
  <c r="S12" i="1"/>
  <c r="R12" i="1"/>
  <c r="B12" i="1"/>
  <c r="E12" i="1"/>
  <c r="S10" i="1"/>
  <c r="AQ10" i="1"/>
  <c r="R10" i="1"/>
  <c r="B10" i="1"/>
  <c r="E10" i="1"/>
  <c r="D1" i="66"/>
  <c r="E10" i="66"/>
  <c r="M12" i="1"/>
  <c r="O12" i="1"/>
  <c r="P12" i="1"/>
  <c r="S13" i="1"/>
  <c r="AR13" i="1"/>
  <c r="R13" i="1"/>
  <c r="S11" i="1"/>
  <c r="AQ11" i="1"/>
  <c r="R11" i="1"/>
  <c r="S9" i="1"/>
  <c r="AR9" i="1"/>
  <c r="R9" i="1"/>
  <c r="J51" i="67"/>
  <c r="C42" i="1"/>
  <c r="H100" i="43"/>
  <c r="C30" i="66"/>
  <c r="E26" i="66"/>
  <c r="AC34" i="33"/>
  <c r="AA34" i="3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AC11" i="21"/>
  <c r="AA14" i="21"/>
  <c r="AB8" i="21"/>
  <c r="S8" i="21"/>
  <c r="M3" i="43"/>
  <c r="N10" i="43"/>
  <c r="M1" i="43"/>
  <c r="M8" i="43"/>
  <c r="N8" i="43"/>
  <c r="N9" i="43"/>
  <c r="D120" i="9"/>
  <c r="C18" i="9"/>
  <c r="D18" i="9"/>
  <c r="F34" i="67"/>
  <c r="F62" i="67"/>
  <c r="M20" i="67"/>
  <c r="F34" i="15"/>
  <c r="F62" i="15"/>
  <c r="E10" i="6"/>
  <c r="BA5" i="3"/>
  <c r="E11" i="6"/>
  <c r="E61" i="39"/>
  <c r="E65" i="39"/>
  <c r="G30" i="6"/>
  <c r="G31" i="6"/>
  <c r="J56" i="9"/>
  <c r="J57" i="9"/>
  <c r="A24" i="51"/>
  <c r="B18" i="72"/>
  <c r="U29" i="34"/>
  <c r="E14" i="6"/>
  <c r="E64" i="39"/>
  <c r="E5" i="6"/>
  <c r="D9" i="11"/>
  <c r="C9" i="11"/>
  <c r="J105" i="43"/>
  <c r="I115" i="43"/>
  <c r="J115" i="43"/>
  <c r="K115" i="43"/>
  <c r="L115" i="43"/>
  <c r="M115" i="43"/>
  <c r="G102" i="43"/>
  <c r="P10" i="1"/>
  <c r="H22" i="43"/>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I118" i="43"/>
  <c r="J118" i="43"/>
  <c r="K118" i="43"/>
  <c r="L118" i="43"/>
  <c r="M118" i="43"/>
  <c r="E116" i="43"/>
  <c r="F116" i="43"/>
  <c r="G116" i="43"/>
  <c r="H116" i="43"/>
  <c r="E118" i="43"/>
  <c r="F118" i="43"/>
  <c r="G118" i="43"/>
  <c r="H118" i="43"/>
  <c r="I117" i="43"/>
  <c r="J117" i="43"/>
  <c r="K117" i="43"/>
  <c r="L117" i="43"/>
  <c r="M117" i="43"/>
  <c r="E57" i="40"/>
  <c r="I116" i="43"/>
  <c r="J116" i="43"/>
  <c r="K116" i="43"/>
  <c r="L116" i="43"/>
  <c r="M116" i="43"/>
  <c r="E115" i="43"/>
  <c r="F115" i="43"/>
  <c r="G115" i="43"/>
  <c r="H115" i="43"/>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c r="L101" i="21"/>
  <c r="M101" i="21"/>
  <c r="F33" i="21"/>
  <c r="H33" i="21"/>
  <c r="AB33" i="21"/>
  <c r="AB14" i="21"/>
  <c r="AB46" i="21"/>
  <c r="U40" i="21"/>
  <c r="AB31" i="21"/>
  <c r="U31" i="21"/>
  <c r="U13" i="21"/>
  <c r="AB13" i="21"/>
  <c r="W8" i="21"/>
  <c r="S35" i="21"/>
  <c r="W37" i="21"/>
  <c r="U15" i="21"/>
  <c r="W39" i="21"/>
  <c r="AC14" i="21"/>
  <c r="W30" i="21"/>
  <c r="S46" i="21"/>
  <c r="H45" i="21"/>
  <c r="U45" i="21"/>
  <c r="F29" i="21"/>
  <c r="S29" i="21"/>
  <c r="F13" i="21"/>
  <c r="AA13" i="21"/>
  <c r="H9" i="21"/>
  <c r="J9" i="21"/>
  <c r="AA31" i="21"/>
  <c r="U17" i="21"/>
  <c r="W29" i="21"/>
  <c r="S19" i="21"/>
  <c r="S9" i="21"/>
  <c r="AA9" i="21"/>
  <c r="K141" i="21"/>
  <c r="K144" i="21"/>
  <c r="K143" i="21"/>
  <c r="U27" i="21"/>
  <c r="AB25" i="21"/>
  <c r="AB44" i="21"/>
  <c r="AA30" i="21"/>
  <c r="W13" i="21"/>
  <c r="W42" i="21"/>
  <c r="AC45" i="21"/>
  <c r="K145" i="21"/>
  <c r="W17" i="21"/>
  <c r="W25" i="21"/>
  <c r="AA29" i="21"/>
  <c r="W31" i="21"/>
  <c r="S27" i="21"/>
  <c r="S17" i="21"/>
  <c r="AC27" i="21"/>
  <c r="AB29" i="21"/>
  <c r="S28" i="21"/>
  <c r="W10" i="21"/>
  <c r="W12"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E8" i="49"/>
  <c r="E21" i="49"/>
  <c r="E10" i="49"/>
  <c r="E9" i="49"/>
  <c r="E5" i="49"/>
  <c r="B6" i="49"/>
  <c r="B4"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AB45" i="21"/>
  <c r="W33" i="21"/>
  <c r="S33" i="21"/>
  <c r="AA33" i="21"/>
  <c r="W32" i="21"/>
  <c r="AB9" i="21"/>
  <c r="U9" i="21"/>
  <c r="S32" i="21"/>
  <c r="W9" i="21"/>
  <c r="AC9" i="21"/>
  <c r="U32"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AA10" i="39"/>
  <c r="D10" i="11"/>
  <c r="C10" i="11"/>
  <c r="D20" i="12"/>
  <c r="C20" i="12"/>
  <c r="C18" i="12"/>
  <c r="D19" i="6"/>
  <c r="D25" i="6"/>
  <c r="D26" i="6"/>
  <c r="D15" i="6"/>
  <c r="C18" i="4"/>
  <c r="D22" i="6"/>
  <c r="D8" i="6"/>
  <c r="D23" i="6"/>
  <c r="D24" i="6"/>
  <c r="D14" i="6"/>
  <c r="D20" i="6"/>
  <c r="R20" i="6"/>
  <c r="D5" i="6"/>
  <c r="D6" i="6"/>
  <c r="D12" i="6"/>
  <c r="D9" i="6"/>
  <c r="D11" i="6"/>
  <c r="D10" i="6"/>
  <c r="D13" i="6"/>
  <c r="L19" i="9"/>
  <c r="D28" i="6"/>
  <c r="D29" i="6"/>
  <c r="E61" i="40"/>
  <c r="H25" i="6"/>
  <c r="R25" i="6"/>
  <c r="H22" i="6"/>
  <c r="H23" i="6"/>
  <c r="H26" i="6"/>
  <c r="H24" i="6"/>
  <c r="C13" i="12"/>
  <c r="P16" i="1"/>
  <c r="C11" i="12"/>
  <c r="C26" i="12"/>
  <c r="D25" i="12"/>
  <c r="F34" i="11"/>
  <c r="C37" i="11"/>
  <c r="F11" i="12"/>
  <c r="AC10" i="40"/>
  <c r="C26" i="69"/>
  <c r="D22" i="69"/>
  <c r="C44" i="69"/>
  <c r="D41" i="69"/>
  <c r="C25" i="11"/>
  <c r="C26" i="11"/>
  <c r="D22" i="11"/>
  <c r="C24" i="11"/>
  <c r="C44" i="11"/>
  <c r="D41" i="11"/>
  <c r="C23" i="11"/>
  <c r="I35" i="43"/>
  <c r="E35" i="43"/>
  <c r="I36" i="43"/>
  <c r="I34" i="43"/>
  <c r="E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E48" i="21"/>
  <c r="E52" i="21"/>
  <c r="F52" i="21"/>
  <c r="R26" i="6"/>
  <c r="R23" i="6"/>
  <c r="R24" i="6"/>
  <c r="R22" i="6"/>
  <c r="D30" i="6"/>
  <c r="D16" i="6"/>
  <c r="B7" i="72"/>
  <c r="C4" i="52"/>
  <c r="B45" i="72"/>
  <c r="B9" i="72"/>
  <c r="D27" i="6"/>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B2" i="43"/>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B6" i="76"/>
  <c r="I5" i="6"/>
  <c r="B2" i="76"/>
  <c r="B3" i="76"/>
  <c r="B3" i="43"/>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2" i="69"/>
  <c r="B3" i="69"/>
  <c r="B3" i="67"/>
  <c r="D2" i="37"/>
  <c r="D2" i="36"/>
  <c r="D2" i="21"/>
  <c r="F20" i="31"/>
  <c r="D2" i="34"/>
  <c r="D2" i="33"/>
  <c r="E2" i="68"/>
  <c r="D2" i="35"/>
  <c r="B20" i="31"/>
  <c r="B2" i="36"/>
  <c r="B3" i="36"/>
  <c r="B2" i="35"/>
  <c r="B3" i="35"/>
  <c r="B2" i="37"/>
  <c r="B3" i="37"/>
  <c r="B2" i="34"/>
  <c r="B3" i="34"/>
  <c r="B2" i="21"/>
  <c r="B3" i="21"/>
  <c r="B3" i="70"/>
  <c r="C102" i="9"/>
  <c r="C21" i="9"/>
  <c r="C20" i="9"/>
  <c r="D20" i="9"/>
  <c r="D102" i="9"/>
  <c r="D22" i="9"/>
  <c r="D21" i="9"/>
  <c r="C103" i="9"/>
  <c r="D103" i="9"/>
  <c r="G20"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B52" i="72"/>
  <c r="B49" i="72"/>
  <c r="C104" i="9"/>
  <c r="D8" i="74"/>
  <c r="C8" i="74"/>
  <c r="M48" i="9"/>
  <c r="C105" i="9"/>
  <c r="H119" i="9"/>
  <c r="H5" i="52"/>
  <c r="B51" i="72"/>
  <c r="B53" i="72"/>
  <c r="D14" i="74"/>
  <c r="H4" i="52"/>
  <c r="B47" i="72"/>
  <c r="D45" i="9"/>
  <c r="D53" i="9"/>
  <c r="I4" i="52"/>
  <c r="B20" i="72"/>
  <c r="B21" i="72"/>
  <c r="B48" i="72"/>
  <c r="D122" i="9"/>
  <c r="B31" i="72"/>
  <c r="E14" i="74"/>
  <c r="B5" i="74"/>
  <c r="F14" i="74"/>
  <c r="C93" i="9"/>
  <c r="C86" i="9"/>
  <c r="D52" i="9"/>
  <c r="C78" i="9"/>
  <c r="C73" i="9"/>
  <c r="C85" i="9"/>
  <c r="C72" i="9"/>
  <c r="D55" i="9"/>
  <c r="M53" i="9"/>
  <c r="C64" i="9"/>
  <c r="C63" i="9"/>
  <c r="B22" i="72"/>
  <c r="D5" i="74"/>
  <c r="C5" i="74"/>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<sst xmlns="http://schemas.openxmlformats.org/spreadsheetml/2006/main" count="9279" uniqueCount="3485">
  <si>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</si>
  <si>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</si>
  <si>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</si>
  <si>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</si>
  <si>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</si>
  <si>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</si>
  <si>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</si>
  <si>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</si>
  <si>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</si>
  <si>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</si>
  <si>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</si>
  <si>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</si>
  <si>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</si>
  <si>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</si>
  <si>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</si>
  <si>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</si>
  <si>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</si>
  <si>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</si>
  <si>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</si>
  <si>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</si>
  <si>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</si>
  <si>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</si>
  <si>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</si>
  <si>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</si>
  <si>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</si>
  <si>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</si>
  <si>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</si>
  <si>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</si>
  <si>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</si>
  <si>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</si>
  <si>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</si>
  <si>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</si>
  <si>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</si>
  <si>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</si>
  <si>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</si>
  <si>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</si>
  <si>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</si>
  <si>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</si>
  <si>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</si>
  <si>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</si>
  <si>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</si>
  <si>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</si>
  <si>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</si>
  <si>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</si>
  <si>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</si>
  <si>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</si>
  <si>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</si>
  <si>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</si>
  <si>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</si>
  <si>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</si>
  <si>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</si>
  <si>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</si>
  <si>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</si>
  <si>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</si>
  <si>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</si>
  <si>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</si>
  <si>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</si>
  <si>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</si>
  <si>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</si>
  <si>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</si>
  <si>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</si>
  <si>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</si>
  <si>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</si>
  <si>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</si>
  <si>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</si>
  <si>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</si>
  <si>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</si>
  <si>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</si>
  <si>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</si>
  <si>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</si>
  <si>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</si>
  <si>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</si>
  <si>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</si>
  <si>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</si>
  <si>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</si>
  <si>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</si>
  <si>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</si>
  <si>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</si>
  <si>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</si>
  <si>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</si>
  <si>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</si>
  <si>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</si>
  <si>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</si>
  <si>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</si>
  <si>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</si>
  <si>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</si>
  <si>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</si>
  <si>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</si>
  <si>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</si>
  <si>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</si>
  <si>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</si>
  <si>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</si>
  <si>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</si>
  <si>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</si>
  <si>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</si>
  <si>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</si>
  <si>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</si>
  <si>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</si>
  <si>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</si>
  <si>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</si>
  <si>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</si>
  <si>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</si>
  <si>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</si>
  <si>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</si>
  <si>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</si>
  <si>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</si>
  <si>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</si>
  <si>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</si>
  <si>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</si>
  <si>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</si>
  <si>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</si>
  <si>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</si>
  <si>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</si>
  <si>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</si>
  <si>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</si>
  <si>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</si>
  <si>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</si>
  <si>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</si>
  <si>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</si>
  <si>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</si>
  <si>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</si>
  <si>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</si>
  <si>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</si>
  <si>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</si>
  <si>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</si>
  <si>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</si>
  <si>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</si>
  <si>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</si>
  <si>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</si>
  <si>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</si>
  <si>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</si>
  <si>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</si>
  <si>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</si>
  <si>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</si>
  <si>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</si>
  <si>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</si>
  <si>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</si>
  <si>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</si>
  <si>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</si>
  <si>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</si>
  <si>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</si>
  <si>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</si>
  <si>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</si>
  <si>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</si>
  <si>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</si>
  <si>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</si>
  <si>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</si>
  <si>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</si>
  <si>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</si>
  <si>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</si>
  <si>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</si>
  <si>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</si>
  <si>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</si>
  <si>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</si>
  <si>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</si>
  <si>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</si>
  <si>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</si>
  <si>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</si>
  <si>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</si>
  <si>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</si>
  <si>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</si>
  <si>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</si>
  <si>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</si>
  <si>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</si>
  <si>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</si>
  <si>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</si>
  <si>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</si>
  <si>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</si>
  <si>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</si>
  <si>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</si>
  <si>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</si>
  <si>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</si>
  <si>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</si>
  <si>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</si>
  <si>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</si>
  <si>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</si>
  <si>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</si>
  <si>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</si>
  <si>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</si>
  <si>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</si>
  <si>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</si>
  <si>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</si>
  <si>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</si>
  <si>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</si>
  <si>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</si>
  <si>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</si>
  <si>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</si>
  <si>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</si>
  <si>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</si>
  <si>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</si>
  <si>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</si>
  <si>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</si>
  <si>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</si>
  <si>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</si>
  <si>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</si>
  <si>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</si>
  <si>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</si>
  <si>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</si>
  <si>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</si>
  <si>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</si>
  <si>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</si>
  <si>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</si>
  <si>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</si>
  <si>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</si>
  <si>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</si>
  <si>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</si>
  <si>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</si>
  <si>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</si>
  <si>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</si>
  <si>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</si>
  <si>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</si>
  <si>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</si>
  <si>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</si>
  <si>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</si>
  <si>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</si>
  <si>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</si>
  <si>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</si>
  <si>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</si>
  <si>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</si>
  <si>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</si>
  <si>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</si>
  <si>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</si>
  <si>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</si>
  <si>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</si>
  <si>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</si>
  <si>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</si>
  <si>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</si>
  <si>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</si>
  <si>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</si>
  <si>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</si>
  <si>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</si>
  <si>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</si>
  <si>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</si>
  <si>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</si>
  <si>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</si>
  <si>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</si>
  <si>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</si>
  <si>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</si>
  <si>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</si>
  <si>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</si>
  <si>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</si>
  <si>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</si>
  <si>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</si>
  <si>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</si>
  <si>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</si>
  <si>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</si>
  <si>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</si>
  <si>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</si>
  <si>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</si>
  <si>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</si>
  <si>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</si>
  <si>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</si>
  <si>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</si>
  <si>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</si>
  <si>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</si>
  <si>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</si>
  <si>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</si>
  <si>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</si>
  <si>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</si>
  <si>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</si>
  <si>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</si>
  <si>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</si>
  <si>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</si>
  <si>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</si>
  <si>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</si>
  <si>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</si>
  <si>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</si>
  <si>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</si>
  <si>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</si>
  <si>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</si>
  <si>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</si>
  <si>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</si>
  <si>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</si>
  <si>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</si>
  <si>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</si>
  <si>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</si>
  <si>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</si>
  <si>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</si>
  <si>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</si>
  <si>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</si>
  <si>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</si>
  <si>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</si>
  <si>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</si>
  <si>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</si>
  <si>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</si>
  <si>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</si>
  <si>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</si>
  <si>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</si>
  <si>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</si>
  <si>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</si>
  <si>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</si>
  <si>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</si>
  <si>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</si>
  <si>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</si>
  <si>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</si>
  <si>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</si>
  <si>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</si>
  <si>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</si>
  <si>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</si>
  <si>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</si>
  <si>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</si>
  <si>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</si>
  <si>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</si>
  <si>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</si>
  <si>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</si>
  <si>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</si>
  <si>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</si>
  <si>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</si>
  <si>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</si>
  <si>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</si>
  <si>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</si>
  <si>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</si>
  <si>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</si>
  <si>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</si>
  <si>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</si>
  <si>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</si>
  <si>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</si>
  <si>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</si>
  <si>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</si>
  <si>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</si>
  <si>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</si>
  <si>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</si>
  <si>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</si>
  <si>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</si>
  <si>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</si>
  <si>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</si>
  <si>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</si>
  <si>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</si>
  <si>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</si>
  <si>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</si>
  <si>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</si>
  <si>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</si>
  <si>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</si>
  <si>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</si>
  <si>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</si>
  <si>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</si>
  <si>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</si>
  <si>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</si>
  <si>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</si>
  <si>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</si>
  <si>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</si>
  <si>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</si>
  <si>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</si>
  <si>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</si>
  <si>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</si>
  <si>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</si>
  <si>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</si>
  <si>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</si>
  <si>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</si>
  <si>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</si>
  <si>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</si>
  <si>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</si>
  <si>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</si>
  <si>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</si>
  <si>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</si>
  <si>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</si>
  <si>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</si>
  <si>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</si>
  <si>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</si>
  <si>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</si>
  <si>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</si>
  <si>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</si>
  <si>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</si>
  <si>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</si>
  <si>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</si>
  <si>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</si>
  <si>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</si>
  <si>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</si>
  <si>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</si>
  <si>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</si>
  <si>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</si>
  <si>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</si>
  <si>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</si>
  <si>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</si>
  <si>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</si>
  <si>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</si>
  <si>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</si>
  <si>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</si>
  <si>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</si>
  <si>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</si>
  <si>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</si>
  <si>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</si>
  <si>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</si>
  <si>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</si>
  <si>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</si>
  <si>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</si>
  <si>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</si>
  <si>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</si>
  <si>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</si>
  <si>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</si>
  <si>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</si>
  <si>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</si>
  <si>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</si>
  <si>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</si>
  <si>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</si>
  <si>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</si>
  <si>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</si>
  <si>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</si>
  <si>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</si>
  <si>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</si>
  <si>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</si>
  <si>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</si>
  <si>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</si>
  <si>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</si>
  <si>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</si>
  <si>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</si>
  <si>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</si>
  <si>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</si>
  <si>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</si>
  <si>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</si>
  <si>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</si>
  <si>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</si>
  <si>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</si>
  <si>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</si>
  <si>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</si>
  <si>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</si>
  <si>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</si>
  <si>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</si>
  <si>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</si>
  <si>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</si>
  <si>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</si>
  <si>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</si>
  <si>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</si>
  <si>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</si>
  <si>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</si>
  <si>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</si>
  <si>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</si>
  <si>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</si>
  <si>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</si>
  <si>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</si>
  <si>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</si>
  <si>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</si>
  <si>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</si>
  <si>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</si>
  <si>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</si>
  <si>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</si>
  <si>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</si>
  <si>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</si>
  <si>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</si>
  <si>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</si>
  <si>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</si>
  <si>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</si>
  <si>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</si>
  <si>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</si>
  <si>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</si>
  <si>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</si>
  <si>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</si>
  <si>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</si>
  <si>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</si>
  <si>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</si>
  <si>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</si>
  <si>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</si>
  <si>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</si>
  <si>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</si>
  <si>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</si>
  <si>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</si>
  <si>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</si>
  <si>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</si>
  <si>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</si>
  <si>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</si>
  <si>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</si>
  <si>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</si>
  <si>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</si>
  <si>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</si>
  <si>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</si>
  <si>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</si>
  <si>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</si>
  <si>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</si>
  <si>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</si>
  <si>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</si>
  <si>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</si>
  <si>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</si>
  <si>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</si>
  <si>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</si>
  <si>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</si>
  <si>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</si>
  <si>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</si>
  <si>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</si>
  <si>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</si>
  <si>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</si>
  <si>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</si>
  <si>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</si>
  <si>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</si>
  <si>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</si>
  <si>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</si>
  <si>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</si>
  <si>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</si>
  <si>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</si>
  <si>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</si>
  <si>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</si>
  <si>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</si>
  <si>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</si>
  <si>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</si>
  <si>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</si>
  <si>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</si>
  <si>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</si>
  <si>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</si>
  <si>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</si>
  <si>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</si>
  <si>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</si>
  <si>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</si>
  <si>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</si>
  <si>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</si>
  <si>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</si>
  <si>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</si>
  <si>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</si>
  <si>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</si>
  <si>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</si>
  <si>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</si>
  <si>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</si>
  <si>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</si>
  <si>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</si>
  <si>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</si>
  <si>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</si>
  <si>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</si>
  <si>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</si>
  <si>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</si>
  <si>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</si>
  <si>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</si>
  <si>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</si>
  <si>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</si>
  <si>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</si>
  <si>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</si>
  <si>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</si>
  <si>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</si>
  <si>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</si>
  <si>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</si>
  <si>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</si>
  <si>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</si>
  <si>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</si>
  <si>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</si>
  <si>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</si>
  <si>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</si>
  <si>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</si>
  <si>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</si>
  <si>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</si>
  <si>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</si>
  <si>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</si>
  <si>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</si>
  <si>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</si>
  <si>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</si>
  <si>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</si>
  <si>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</si>
  <si>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</si>
  <si>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</si>
  <si>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</si>
  <si>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</si>
  <si>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</si>
  <si>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</si>
  <si>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</si>
  <si>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</si>
  <si>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</si>
  <si>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</si>
  <si>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</si>
  <si>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</si>
  <si>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</si>
  <si>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</si>
  <si>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</si>
  <si>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</si>
  <si>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</si>
  <si>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</si>
  <si>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</si>
  <si>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</si>
  <si>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</si>
  <si>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</si>
  <si>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</si>
  <si>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</si>
  <si>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</si>
  <si>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</si>
  <si>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</si>
  <si>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</si>
  <si>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</si>
  <si>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</si>
  <si>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</si>
  <si>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</si>
  <si>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</si>
  <si>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</si>
  <si>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</si>
  <si>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</si>
  <si>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</si>
  <si>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</si>
  <si>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</si>
  <si>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</si>
  <si>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</si>
  <si>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</si>
  <si>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</si>
  <si>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</si>
  <si>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</si>
  <si>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</si>
  <si>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</si>
  <si>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</si>
  <si>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</si>
  <si>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</si>
  <si>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</si>
  <si>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</si>
  <si>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</si>
  <si>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</si>
  <si>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</si>
  <si>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</si>
  <si>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</si>
  <si>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</si>
  <si>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</si>
  <si>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</si>
  <si>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</si>
  <si>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</si>
  <si>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</si>
  <si>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</si>
  <si>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</si>
  <si>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</si>
  <si>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</si>
  <si>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</si>
  <si>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</si>
  <si>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</si>
  <si>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</si>
  <si>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</si>
  <si>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</si>
  <si>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</si>
  <si>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</si>
  <si>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</si>
  <si>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</si>
  <si>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</si>
  <si>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</si>
  <si>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</si>
  <si>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</si>
  <si>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</si>
  <si>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</si>
  <si>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</si>
  <si>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</si>
  <si>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</si>
  <si>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</si>
  <si>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</si>
  <si>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</si>
  <si>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</si>
  <si>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</si>
  <si>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</si>
  <si>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</si>
  <si>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</si>
  <si>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</si>
  <si>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</si>
  <si>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</si>
  <si>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</si>
  <si>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</si>
  <si>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</si>
  <si>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</si>
  <si>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</si>
  <si>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</si>
  <si>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</si>
  <si>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</si>
  <si>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</si>
  <si>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</si>
  <si>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</si>
  <si>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</si>
  <si>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</si>
  <si>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</si>
  <si>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</si>
  <si>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</si>
  <si>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</si>
  <si>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</si>
  <si>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</si>
  <si>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</si>
  <si>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</si>
  <si>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</si>
  <si>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</si>
  <si>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</si>
  <si>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</si>
  <si>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</si>
  <si>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</si>
  <si>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</si>
  <si>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</si>
  <si>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</si>
  <si>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</si>
  <si>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</si>
  <si>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</si>
  <si>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</si>
  <si>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</si>
  <si>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</si>
  <si>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</si>
  <si>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</si>
  <si>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</si>
  <si>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</si>
  <si>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</si>
  <si>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</si>
  <si>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</si>
  <si>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</si>
  <si>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</si>
  <si>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</si>
  <si>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</si>
  <si>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</si>
  <si>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</si>
  <si>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</si>
  <si>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</si>
  <si>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</si>
  <si>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</si>
  <si>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</si>
  <si>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</si>
  <si>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</si>
  <si>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</si>
  <si>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</si>
  <si>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</si>
  <si>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</si>
  <si>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</si>
  <si>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</si>
  <si>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</si>
  <si>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</si>
  <si>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</si>
  <si>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</si>
  <si>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</si>
  <si>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</si>
  <si>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</si>
  <si>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</si>
  <si>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</si>
  <si>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</si>
  <si>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</si>
  <si>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</si>
  <si>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</si>
  <si>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</si>
  <si>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</si>
  <si>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</si>
  <si>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</si>
  <si>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</si>
  <si>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</si>
  <si>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</si>
  <si>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</si>
  <si>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</si>
  <si>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</si>
  <si>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</si>
  <si>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</si>
  <si>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</si>
  <si>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</si>
  <si>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</si>
  <si>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</si>
  <si>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</si>
  <si>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</si>
  <si>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</si>
  <si>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</si>
  <si>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</si>
  <si>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</si>
  <si>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</si>
  <si>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</si>
  <si>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</si>
  <si>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</si>
  <si>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</si>
  <si>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</si>
  <si>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</si>
  <si>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</si>
  <si>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</si>
  <si>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</si>
  <si>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</si>
  <si>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</si>
  <si>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</si>
  <si>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</si>
  <si>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</si>
  <si>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</si>
  <si>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</si>
  <si>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</si>
  <si>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</si>
  <si>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</si>
  <si>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</si>
  <si>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</si>
  <si>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</si>
  <si>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</si>
  <si>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</si>
  <si>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</si>
  <si>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</si>
  <si>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</si>
  <si>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</si>
  <si>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</si>
  <si>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</si>
  <si>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</si>
  <si>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</si>
  <si>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</si>
  <si>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</si>
  <si>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</si>
  <si>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</si>
  <si>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</si>
  <si>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</si>
  <si>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</si>
  <si>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</si>
  <si>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</si>
  <si>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</si>
  <si>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</si>
  <si>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</si>
  <si>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</si>
  <si>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</si>
  <si>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</si>
  <si>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</si>
  <si>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</si>
  <si>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</si>
  <si>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</si>
  <si>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</si>
  <si>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</si>
  <si>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</si>
  <si>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</si>
  <si>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</si>
  <si>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</si>
  <si>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</si>
  <si>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</si>
  <si>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</si>
  <si>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</si>
  <si>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</si>
  <si>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</si>
  <si>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</si>
  <si>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</si>
  <si>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</si>
  <si>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</si>
  <si>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</si>
  <si>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</si>
  <si>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</si>
  <si>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</si>
  <si>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</si>
  <si>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</si>
  <si>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</si>
  <si>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</si>
  <si>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</si>
  <si>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</si>
  <si>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</si>
  <si>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</si>
  <si>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</si>
  <si>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</si>
  <si>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</si>
  <si>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</si>
  <si>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</si>
  <si>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</si>
  <si>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</si>
  <si>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</si>
  <si>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</si>
  <si>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</si>
  <si>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</si>
  <si>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</si>
  <si>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</si>
  <si>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</si>
  <si>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</si>
  <si>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</si>
  <si>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</si>
  <si>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</si>
  <si>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</si>
  <si>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</si>
  <si>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</si>
  <si>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</si>
  <si>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</si>
  <si>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</si>
  <si>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</si>
  <si>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</si>
  <si>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</si>
  <si>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</si>
  <si>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</si>
  <si>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</si>
  <si>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</si>
  <si>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</si>
  <si>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</si>
  <si>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</si>
  <si>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</si>
  <si>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</si>
  <si>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</si>
  <si>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</si>
  <si>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</si>
  <si>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</si>
  <si>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</si>
  <si>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</si>
  <si>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</si>
  <si>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</si>
  <si>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</si>
  <si>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</si>
  <si>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</si>
  <si>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</si>
  <si>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</si>
  <si>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</si>
  <si>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</si>
  <si>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</si>
  <si>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</si>
  <si>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</si>
  <si>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</si>
  <si>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</si>
  <si>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</si>
  <si>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</si>
  <si>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</si>
  <si>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</si>
  <si>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</si>
  <si>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</si>
  <si>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</si>
  <si>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</si>
  <si>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</si>
  <si>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</si>
  <si>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</si>
  <si>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</si>
  <si>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</si>
  <si>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</si>
  <si>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</si>
  <si>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</si>
  <si>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</si>
  <si>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</si>
  <si>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</si>
  <si>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</si>
  <si>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</si>
  <si>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</si>
  <si>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</si>
  <si>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</si>
  <si>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</si>
  <si>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</si>
  <si>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</si>
  <si>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</si>
  <si>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</si>
  <si>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</si>
  <si>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</si>
  <si>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</si>
  <si>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</si>
  <si>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</si>
  <si>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</si>
  <si>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</si>
  <si>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</si>
  <si>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</si>
  <si>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</si>
  <si>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</si>
  <si>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</si>
  <si>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</si>
  <si>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</si>
  <si>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</si>
  <si>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</si>
  <si>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</si>
  <si>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</si>
  <si>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</si>
  <si>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</si>
  <si>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</si>
  <si>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</si>
  <si>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</si>
  <si>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</si>
  <si>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</si>
  <si>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</si>
  <si>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</si>
  <si>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</si>
  <si>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</si>
  <si>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</si>
  <si>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</si>
  <si>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</si>
  <si>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</si>
  <si>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</si>
  <si>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</si>
  <si>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</si>
  <si>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</si>
  <si>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</si>
  <si>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</si>
  <si>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</si>
  <si>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</si>
  <si>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</si>
  <si>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</si>
  <si>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</si>
  <si>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</si>
  <si>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</si>
  <si>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</si>
  <si>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</si>
  <si>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</si>
  <si>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</si>
  <si>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</si>
  <si>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</si>
  <si>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</si>
  <si>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</si>
  <si>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</si>
  <si>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</si>
  <si>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</si>
  <si>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</si>
  <si>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</si>
  <si>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</si>
  <si>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</si>
  <si>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</si>
  <si>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</si>
  <si>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</si>
  <si>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</si>
  <si>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</si>
  <si>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</si>
  <si>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</si>
  <si>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</si>
  <si>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</si>
  <si>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</si>
  <si>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</si>
  <si>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</si>
  <si>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</si>
  <si>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</si>
  <si>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</si>
  <si>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</si>
  <si>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</si>
  <si>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</si>
  <si>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</si>
  <si>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</si>
  <si>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</si>
  <si>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</si>
  <si>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</si>
  <si>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</si>
  <si>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</si>
  <si>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</si>
  <si>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</si>
  <si>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</si>
  <si>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</si>
  <si>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</si>
  <si>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</si>
  <si>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</si>
  <si>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</si>
  <si>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</si>
  <si>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</si>
  <si>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</si>
  <si>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</si>
  <si>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</si>
  <si>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</si>
  <si>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</si>
  <si>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</si>
  <si>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</si>
  <si>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</si>
  <si>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</si>
  <si>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</si>
  <si>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</si>
  <si>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</si>
  <si>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</si>
  <si>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</si>
  <si>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</si>
  <si>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</si>
  <si>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</si>
  <si>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</si>
  <si>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</si>
  <si>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</si>
  <si>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</si>
  <si>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</si>
  <si>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</si>
  <si>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</si>
  <si>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</si>
  <si>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</si>
  <si>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</si>
  <si>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</si>
  <si>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</si>
  <si>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</si>
  <si>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</si>
  <si>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</si>
  <si>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</si>
  <si>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</si>
  <si>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</si>
  <si>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</si>
  <si>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</si>
  <si>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</si>
  <si>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</si>
  <si>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</si>
  <si>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</si>
  <si>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</si>
  <si>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</si>
  <si>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</si>
  <si>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</si>
  <si>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</si>
  <si>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</si>
  <si>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</si>
  <si>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</si>
  <si>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</si>
  <si>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</si>
  <si>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</si>
  <si>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</si>
  <si>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</si>
  <si>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</si>
  <si>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</si>
  <si>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</si>
  <si>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</si>
  <si>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</si>
  <si>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</si>
  <si>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</si>
  <si>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</si>
  <si>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</si>
  <si>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</si>
  <si>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</si>
  <si>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</si>
  <si>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</si>
  <si>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</si>
  <si>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</si>
  <si>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</si>
  <si>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</si>
  <si>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</si>
  <si>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</si>
  <si>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</si>
  <si>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</si>
  <si>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</si>
  <si>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</si>
  <si>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</si>
  <si>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</si>
  <si>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</si>
  <si>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</si>
  <si>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</si>
  <si>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</si>
  <si>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</si>
  <si>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</si>
  <si>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</si>
  <si>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</si>
  <si>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</si>
  <si>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</si>
  <si>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</si>
  <si>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</si>
  <si>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</si>
  <si>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</si>
  <si>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</si>
  <si>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</si>
  <si>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</si>
  <si>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</si>
  <si>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</si>
  <si>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</si>
  <si>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</si>
  <si>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</si>
  <si>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</si>
  <si>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</si>
  <si>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</si>
  <si>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</si>
  <si>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</si>
  <si>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</si>
  <si>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</si>
  <si>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</si>
  <si>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</si>
  <si>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</si>
  <si>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</si>
  <si>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</si>
  <si>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</si>
  <si>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</si>
  <si>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</si>
  <si>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</si>
  <si>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</si>
  <si>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</si>
  <si>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</si>
  <si>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</si>
  <si>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</si>
  <si>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</si>
  <si>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</si>
  <si>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</si>
  <si>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</si>
  <si>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</si>
  <si>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</si>
  <si>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</si>
  <si>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</si>
  <si>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</si>
  <si>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</si>
  <si>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</si>
  <si>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</si>
  <si>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</si>
  <si>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</si>
  <si>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</si>
  <si>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</si>
  <si>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</si>
  <si>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</si>
  <si>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</si>
  <si>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</si>
  <si>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</si>
  <si>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</si>
  <si>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</si>
  <si>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</si>
  <si>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</si>
  <si>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</si>
  <si>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</si>
  <si>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</si>
  <si>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</si>
  <si>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</si>
  <si>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</si>
  <si>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</si>
  <si>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</si>
  <si>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</si>
  <si>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</si>
  <si>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</si>
  <si>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</si>
  <si>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</si>
  <si>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</si>
  <si>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</si>
  <si>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</si>
  <si>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</si>
  <si>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</si>
  <si>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</si>
  <si>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</si>
  <si>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</si>
  <si>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</si>
  <si>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</si>
  <si>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</si>
  <si>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</si>
  <si>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</si>
  <si>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</si>
  <si>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</si>
  <si>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</si>
  <si>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</si>
  <si>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</si>
  <si>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</si>
  <si>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</si>
  <si>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</si>
  <si>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</si>
  <si>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</si>
  <si>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</si>
  <si>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</si>
  <si>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</si>
  <si>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</si>
  <si>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</si>
  <si>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</si>
  <si>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</si>
  <si>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</si>
  <si>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</si>
  <si>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</si>
  <si>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</si>
  <si>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</si>
  <si>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</si>
  <si>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</si>
  <si>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</si>
  <si>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</si>
  <si>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</si>
  <si>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</si>
  <si>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</si>
  <si>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</si>
  <si>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</si>
  <si>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</si>
  <si>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</si>
  <si>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</si>
  <si>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</si>
  <si>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</si>
  <si>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</si>
  <si>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</si>
  <si>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</si>
  <si>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</si>
  <si>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</si>
  <si>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</si>
  <si>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</si>
  <si>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</si>
  <si>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</si>
  <si>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</si>
  <si>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</si>
  <si>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</si>
  <si>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</si>
  <si>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</si>
  <si>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</si>
  <si>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</si>
  <si>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</si>
  <si>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</si>
  <si>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</si>
  <si>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</si>
  <si>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</si>
  <si>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</si>
  <si>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</si>
  <si>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</si>
  <si>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</si>
  <si>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</si>
  <si>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</si>
  <si>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</si>
  <si>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</si>
  <si>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</si>
  <si>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</si>
  <si>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</si>
  <si>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</si>
  <si>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</si>
  <si>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</si>
  <si>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</si>
  <si>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</si>
  <si>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</si>
  <si>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</si>
  <si>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</si>
  <si>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</si>
  <si>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</si>
  <si>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</si>
  <si>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</si>
  <si>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</si>
  <si>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</si>
  <si>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</si>
  <si>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</si>
  <si>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</si>
  <si>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</si>
  <si>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</si>
  <si>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</si>
  <si>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</si>
  <si>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</si>
  <si>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</si>
  <si>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</si>
  <si>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</si>
  <si>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</si>
  <si>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</si>
  <si>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</si>
  <si>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</si>
  <si>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</si>
  <si>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</si>
  <si>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</si>
  <si>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</si>
  <si>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</si>
  <si>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</si>
  <si>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</si>
  <si>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</si>
  <si>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</si>
  <si>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</si>
  <si>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</si>
  <si>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</si>
  <si>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</si>
  <si>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</si>
  <si>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</si>
  <si>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</si>
  <si>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</si>
  <si>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</si>
  <si>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</si>
  <si>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</si>
  <si>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</si>
  <si>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</si>
  <si>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</si>
  <si>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</si>
  <si>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</si>
  <si>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</si>
  <si>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</si>
  <si>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</si>
  <si>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</si>
  <si>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</si>
  <si>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</si>
  <si>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</si>
  <si>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</si>
  <si>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</si>
  <si>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</si>
  <si>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</si>
  <si>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</si>
  <si>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</si>
  <si>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</si>
  <si>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</si>
  <si>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</si>
  <si>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</si>
  <si>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</si>
  <si>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</si>
  <si>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</si>
  <si>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</si>
  <si>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</si>
  <si>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</si>
  <si>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</si>
  <si>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</si>
  <si>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</si>
  <si>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</si>
  <si>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</si>
  <si>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</si>
  <si>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</si>
  <si>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</si>
  <si>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</si>
  <si>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</si>
  <si>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</si>
  <si>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</si>
  <si>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</si>
  <si>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</si>
  <si>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</si>
  <si>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</si>
  <si>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</si>
  <si>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</si>
  <si>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</si>
  <si>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</si>
  <si>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</si>
  <si>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</si>
  <si>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</si>
  <si>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</si>
  <si>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</si>
  <si>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</si>
  <si>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</si>
  <si>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</si>
  <si>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</si>
  <si>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</si>
  <si>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</si>
  <si>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</si>
  <si>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</si>
  <si>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</si>
  <si>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</si>
  <si>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</si>
  <si>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</si>
  <si>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</si>
  <si>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</si>
  <si>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</si>
  <si>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</si>
  <si>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</si>
  <si>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</si>
  <si>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</si>
  <si>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</si>
  <si>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</si>
  <si>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</si>
  <si>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</si>
  <si>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</si>
  <si>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</si>
  <si>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</si>
  <si>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</si>
  <si>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</si>
  <si>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</si>
  <si>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</si>
  <si>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</si>
  <si>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</si>
  <si>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</si>
  <si>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</si>
  <si>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</si>
  <si>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</si>
  <si>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</si>
  <si>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</si>
  <si>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</si>
  <si>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</si>
  <si>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</si>
  <si>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</si>
  <si>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</si>
  <si>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</si>
  <si>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</si>
  <si>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</si>
  <si>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</si>
  <si>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</si>
  <si>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</si>
  <si>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</si>
  <si>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</si>
  <si>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</si>
  <si>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</si>
  <si>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</si>
  <si>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</si>
  <si>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</si>
  <si>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</si>
  <si>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</si>
  <si>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</si>
  <si>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</si>
  <si>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</si>
  <si>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</si>
  <si>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</si>
  <si>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</si>
  <si>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</si>
  <si>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</si>
  <si>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</si>
  <si>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</si>
  <si>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</si>
  <si>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</si>
  <si>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</si>
  <si>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</si>
  <si>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</si>
  <si>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</si>
  <si>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</si>
  <si>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</si>
  <si>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</si>
  <si>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</si>
  <si>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</si>
  <si>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</si>
  <si>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</si>
  <si>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</si>
  <si>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</si>
  <si>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</si>
  <si>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</si>
  <si>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</si>
  <si>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</si>
  <si>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</si>
  <si>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</si>
  <si>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</si>
  <si>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</si>
  <si>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</si>
  <si>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</si>
  <si>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</si>
  <si>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</si>
  <si>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</si>
  <si>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</si>
  <si>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</si>
  <si>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</si>
  <si>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</si>
  <si>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</si>
  <si>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</si>
  <si>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</si>
  <si>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</si>
  <si>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</si>
  <si>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</si>
  <si>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</si>
  <si>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</si>
  <si>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</si>
  <si>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</si>
  <si>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</si>
  <si>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</si>
  <si>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</si>
  <si>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</si>
  <si>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</si>
  <si>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</si>
  <si>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</si>
  <si>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</si>
  <si>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</si>
  <si>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</si>
  <si>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</si>
  <si>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</si>
  <si>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</si>
  <si>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</si>
  <si>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</si>
  <si>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</si>
  <si>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</si>
  <si>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</si>
  <si>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</si>
  <si>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</si>
  <si>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</si>
  <si>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</si>
  <si>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</si>
  <si>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</si>
  <si>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</si>
  <si>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</si>
  <si>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</si>
  <si>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</si>
  <si>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</si>
  <si>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</si>
  <si>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</si>
  <si>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</si>
  <si>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</si>
  <si>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</si>
  <si>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</si>
  <si>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</si>
  <si>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</si>
  <si>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</si>
  <si>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</si>
  <si>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</si>
  <si>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</si>
  <si>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</si>
  <si>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</si>
  <si>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</si>
  <si>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</si>
  <si>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</si>
  <si>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</si>
  <si>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</si>
  <si>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</si>
  <si>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</si>
  <si>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</si>
  <si>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</si>
  <si>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</si>
  <si>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</si>
  <si>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</si>
  <si>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</si>
  <si>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</si>
  <si>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</si>
  <si>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</si>
  <si>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</si>
  <si>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</si>
  <si>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</si>
  <si>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</si>
  <si>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</si>
  <si>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</si>
  <si>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</si>
  <si>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</si>
  <si>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</si>
  <si>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</si>
  <si>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</si>
  <si>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</si>
  <si>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</si>
  <si>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</si>
  <si>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</si>
  <si>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</si>
  <si>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</si>
  <si>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</si>
  <si>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</si>
  <si>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</si>
  <si>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</si>
  <si>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</si>
  <si>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</si>
  <si>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</si>
  <si>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</si>
  <si>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</si>
  <si>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</si>
  <si>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</si>
  <si>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</si>
  <si>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</si>
  <si>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</si>
  <si>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</si>
  <si>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</si>
  <si>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</si>
  <si>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</si>
  <si>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</si>
  <si>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</si>
  <si>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</si>
  <si>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</si>
  <si>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</si>
  <si>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</si>
  <si>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</si>
  <si>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</si>
  <si>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</si>
  <si>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</si>
  <si>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</si>
  <si>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</si>
  <si>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</si>
  <si>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</si>
  <si>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</si>
  <si>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</si>
  <si>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</si>
  <si>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</si>
  <si>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</si>
  <si>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</si>
  <si>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</si>
  <si>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</si>
  <si>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</si>
  <si>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</si>
  <si>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</si>
  <si>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</si>
  <si>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</si>
  <si>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</si>
  <si>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</si>
  <si>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</si>
  <si>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</si>
  <si>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</si>
  <si>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</si>
  <si>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</si>
  <si>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</si>
  <si>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</si>
  <si>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</si>
  <si>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</si>
  <si>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</si>
  <si>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</si>
  <si>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</si>
  <si>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</si>
  <si>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</si>
  <si>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</si>
  <si>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</si>
  <si>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</si>
  <si>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</si>
  <si>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</si>
  <si>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</si>
  <si>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</si>
  <si>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</si>
  <si>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</si>
  <si>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</si>
  <si>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</si>
  <si>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</si>
  <si>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</si>
  <si>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</si>
  <si>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</si>
  <si>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</si>
  <si>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</si>
  <si>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</si>
  <si>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</si>
  <si>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</si>
  <si>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</si>
  <si>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</si>
  <si>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</si>
  <si>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</si>
  <si>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</si>
  <si>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</si>
  <si>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</si>
  <si>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</si>
  <si>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</si>
  <si>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</si>
  <si>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</si>
  <si>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</si>
  <si>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</si>
  <si>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</si>
  <si>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</si>
  <si>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</si>
  <si>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</si>
  <si>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</si>
  <si>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</si>
  <si>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</si>
  <si>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</si>
  <si>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</si>
  <si>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</si>
  <si>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</si>
  <si>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</si>
  <si>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</si>
  <si>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</si>
  <si>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</si>
  <si>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</si>
  <si>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</si>
  <si>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</si>
  <si>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</si>
  <si>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</si>
  <si>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</si>
  <si>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</si>
  <si>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</si>
  <si>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</si>
  <si>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</si>
  <si>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</si>
  <si>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</si>
  <si>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</si>
  <si>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</si>
  <si>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</si>
  <si>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</si>
  <si>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</si>
  <si>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</si>
  <si>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</si>
  <si>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</si>
  <si>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</si>
  <si>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</si>
  <si>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</si>
  <si>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</si>
  <si>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</si>
  <si>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</si>
  <si>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</si>
  <si>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</si>
  <si>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</si>
  <si>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</si>
  <si>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</si>
  <si>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</si>
  <si>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</si>
  <si>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</si>
  <si>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</si>
  <si>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</si>
  <si>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</si>
  <si>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</si>
  <si>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</si>
  <si>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</si>
  <si>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</si>
  <si>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</si>
  <si>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</si>
  <si>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</si>
  <si>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</si>
  <si>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</si>
  <si>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</si>
  <si>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</si>
  <si>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</si>
  <si>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</si>
  <si>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</si>
  <si>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</si>
  <si>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</si>
  <si>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</si>
  <si>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</si>
  <si>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</si>
  <si>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</si>
  <si>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</si>
  <si>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</si>
  <si>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</si>
  <si>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</si>
  <si>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</si>
  <si>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</si>
  <si>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</si>
  <si>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</si>
  <si>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</si>
  <si>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</si>
  <si>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</si>
  <si>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</si>
  <si>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</si>
  <si>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</si>
  <si>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</si>
  <si>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</si>
  <si>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</si>
  <si>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</si>
  <si>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</si>
  <si>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</si>
  <si>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</si>
  <si>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</si>
  <si>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</si>
  <si>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</si>
  <si>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</si>
  <si>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</si>
  <si>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</si>
  <si>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</si>
  <si>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</si>
  <si>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</si>
  <si>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</si>
  <si>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</si>
  <si>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</si>
  <si>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</si>
  <si>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</si>
  <si>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</si>
  <si>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</si>
  <si>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</si>
  <si>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</si>
  <si>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</si>
  <si>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</si>
  <si>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</si>
  <si>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</si>
  <si>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</si>
  <si>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</si>
  <si>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</si>
  <si>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</si>
  <si>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</si>
  <si>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</si>
  <si>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</si>
  <si>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</si>
  <si>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</si>
  <si>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</si>
  <si>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</si>
  <si>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</si>
  <si>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</si>
  <si>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</si>
  <si>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</si>
  <si>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</si>
  <si>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</si>
  <si>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</si>
  <si>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</si>
  <si>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</si>
  <si>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</si>
  <si>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</si>
  <si>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</si>
  <si>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</si>
  <si>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</si>
  <si>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</si>
  <si>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</si>
  <si>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</si>
  <si>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</si>
  <si>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</si>
  <si>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</si>
  <si>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</si>
  <si>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</si>
  <si>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</si>
  <si>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</si>
  <si>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</si>
  <si>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</si>
  <si>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</si>
  <si>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</si>
  <si>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</si>
  <si>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</si>
  <si>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</si>
  <si>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</si>
  <si>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</si>
  <si>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</si>
  <si>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</si>
  <si>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</si>
  <si>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</si>
  <si>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</si>
  <si>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</si>
  <si>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</si>
  <si>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</si>
  <si>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</si>
  <si>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</si>
  <si>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</si>
  <si>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</si>
  <si>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</si>
  <si>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</si>
  <si>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</si>
  <si>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</si>
  <si>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</si>
  <si>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</si>
  <si>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</si>
  <si>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</si>
  <si>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</si>
  <si>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</si>
  <si>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</si>
  <si>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</si>
  <si>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</si>
  <si>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</si>
  <si>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</si>
  <si>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</si>
  <si>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</si>
  <si>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</si>
  <si>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</si>
  <si>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</si>
  <si>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</si>
  <si>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</si>
  <si>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</si>
  <si>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</si>
  <si>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</si>
  <si>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</si>
  <si>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</si>
  <si>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</si>
  <si>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</si>
  <si>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</si>
  <si>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</si>
  <si>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</si>
  <si>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</si>
  <si>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</si>
  <si>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</si>
  <si>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</si>
  <si>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</si>
  <si>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</si>
  <si>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</si>
  <si>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</si>
  <si>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</si>
  <si>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</si>
  <si>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</si>
  <si>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</si>
  <si>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</si>
  <si>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</si>
  <si>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</si>
  <si>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</si>
  <si>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</si>
  <si>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</si>
  <si>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</si>
  <si>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</si>
  <si>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</si>
  <si>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</si>
  <si>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</si>
  <si>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</si>
  <si>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</si>
  <si>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</si>
  <si>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</si>
  <si>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</si>
  <si>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</si>
  <si>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</si>
  <si>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</si>
  <si>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</si>
  <si>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</si>
  <si>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</si>
  <si>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</si>
  <si>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</si>
  <si>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</si>
  <si>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</si>
  <si>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</si>
  <si>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</si>
  <si>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</si>
  <si>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</si>
  <si>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</si>
  <si>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</si>
  <si>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</si>
  <si>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</si>
  <si>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</si>
  <si>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</si>
  <si>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</si>
  <si>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</si>
  <si>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</si>
  <si>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</si>
  <si>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</si>
  <si>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</si>
  <si>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</si>
  <si>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</si>
  <si>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</si>
  <si>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</si>
  <si>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</si>
  <si>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</si>
  <si>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</si>
  <si>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</si>
  <si>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</si>
  <si>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</si>
  <si>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</si>
  <si>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</si>
  <si>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</si>
  <si>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</si>
  <si>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</si>
  <si>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</si>
  <si>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</si>
  <si>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</si>
  <si>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</si>
  <si>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</si>
  <si>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</si>
  <si>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</si>
  <si>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</si>
  <si>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</si>
  <si>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</si>
  <si>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</si>
  <si>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</si>
  <si>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</si>
  <si>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</si>
  <si>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</si>
  <si>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</si>
  <si>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</si>
  <si>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</si>
  <si>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</si>
  <si>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</si>
  <si>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</si>
  <si>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</si>
  <si>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</si>
  <si>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</si>
  <si>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</si>
  <si>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</si>
  <si>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</si>
  <si>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</si>
  <si>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</si>
  <si>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</si>
  <si>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</si>
  <si>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</si>
  <si>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</si>
  <si>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</si>
  <si>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</si>
  <si>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</si>
  <si>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</si>
  <si>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</si>
  <si>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</si>
  <si>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</si>
  <si>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</si>
  <si>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</si>
  <si>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</si>
  <si>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</si>
  <si>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</si>
  <si>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</si>
  <si>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</si>
  <si>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</si>
  <si>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</si>
  <si>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</si>
  <si>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</si>
  <si>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</si>
  <si>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</si>
  <si>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</si>
  <si>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</si>
  <si>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</si>
  <si>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</si>
  <si>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</si>
  <si>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</si>
  <si>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</si>
  <si>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</si>
  <si>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</si>
  <si>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</si>
  <si>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</si>
  <si>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</si>
  <si>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</si>
  <si>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</si>
  <si>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</si>
  <si>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</si>
  <si>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</si>
  <si>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</si>
  <si>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</si>
  <si>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</si>
  <si>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</si>
  <si>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</si>
  <si>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</si>
  <si>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</si>
  <si>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</si>
  <si>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</si>
  <si>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</si>
  <si>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</si>
  <si>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</si>
  <si>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</si>
  <si>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</si>
  <si>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</si>
  <si>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</si>
  <si>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</si>
  <si>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</si>
  <si>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</si>
  <si>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</si>
  <si>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</si>
  <si>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</si>
  <si>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</si>
  <si>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</si>
  <si>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</si>
  <si>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</si>
  <si>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</si>
  <si>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</si>
  <si>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</si>
  <si>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</si>
  <si>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</si>
  <si>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</si>
  <si>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</si>
  <si>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</si>
  <si>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</si>
  <si>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</si>
  <si>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</si>
  <si>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</si>
  <si>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</si>
  <si>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</si>
  <si>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</si>
  <si>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</si>
  <si>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</si>
  <si>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</si>
  <si>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</si>
  <si>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</si>
  <si>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</si>
  <si>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</si>
  <si>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</si>
  <si>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</si>
  <si>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</si>
  <si>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</si>
  <si>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</si>
  <si>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</si>
  <si>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</si>
  <si>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</si>
  <si>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</si>
  <si>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</si>
  <si>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</si>
  <si>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</si>
  <si>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</si>
  <si>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</si>
  <si>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</si>
  <si>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</si>
  <si>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</si>
  <si>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</si>
  <si>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</si>
  <si>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</si>
  <si>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</si>
  <si>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</si>
  <si>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</si>
  <si>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</si>
  <si>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</si>
  <si>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</si>
  <si>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</si>
  <si>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</si>
  <si>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</si>
  <si>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</si>
  <si>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</si>
  <si>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</si>
  <si>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</si>
  <si>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</si>
  <si>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</si>
  <si>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</si>
  <si>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</si>
  <si>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</si>
  <si>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</si>
  <si>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</si>
  <si>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</si>
  <si>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</si>
  <si>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</si>
  <si>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</si>
  <si>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</si>
  <si>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</si>
  <si>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</si>
  <si>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</si>
  <si>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</si>
  <si>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</si>
  <si>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</si>
  <si>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</si>
  <si>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</si>
  <si>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</si>
  <si>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</si>
  <si>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</si>
  <si>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</si>
  <si>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</si>
  <si>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</si>
  <si>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</si>
  <si>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</si>
  <si>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</si>
  <si>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</si>
  <si>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</si>
  <si>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</si>
  <si>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</si>
  <si>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</si>
  <si>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</si>
  <si>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</si>
  <si>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</si>
  <si>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</si>
  <si>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</si>
  <si>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</si>
  <si>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</si>
  <si>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</si>
  <si>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</si>
  <si>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</si>
  <si>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</si>
  <si>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</si>
  <si>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</si>
  <si>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</si>
  <si>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</si>
  <si>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</si>
  <si>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</si>
  <si>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</si>
  <si>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</si>
  <si>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</si>
  <si>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</si>
  <si>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</si>
  <si>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</si>
  <si>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</si>
  <si>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</si>
  <si>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</si>
  <si>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</si>
  <si>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</si>
  <si>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</si>
  <si>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</si>
  <si>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</si>
  <si>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</si>
  <si>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</si>
  <si>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</si>
  <si>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</si>
  <si>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</si>
  <si>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</si>
  <si>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</si>
  <si>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</si>
  <si>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</si>
  <si>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</si>
  <si>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</si>
  <si>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</si>
  <si>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</si>
  <si>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</si>
  <si>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</si>
  <si>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</si>
  <si>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</si>
  <si>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</si>
  <si>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</si>
  <si>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</si>
  <si>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</si>
  <si>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</si>
  <si>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</si>
  <si>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</si>
  <si>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</si>
  <si>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</si>
  <si>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</si>
  <si>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</si>
  <si>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</si>
  <si>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</si>
  <si>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</si>
  <si>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</si>
  <si>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</si>
  <si>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</si>
  <si>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</si>
  <si>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</si>
  <si>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</si>
  <si>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</si>
  <si>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</si>
  <si>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</si>
  <si>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</si>
  <si>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</si>
  <si>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</si>
  <si>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</si>
  <si>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</si>
  <si>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</si>
  <si>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</si>
  <si>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</si>
  <si>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</si>
  <si>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</si>
  <si>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</si>
  <si>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</si>
  <si>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</si>
  <si>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</si>
  <si>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</si>
  <si>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</si>
  <si>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</si>
  <si>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</si>
  <si>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</si>
  <si>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</si>
  <si>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</si>
  <si>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</si>
  <si>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</si>
  <si>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</si>
  <si>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</si>
  <si>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</si>
  <si>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</si>
  <si>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</si>
  <si>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</si>
  <si>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</si>
  <si>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</si>
  <si>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</si>
  <si>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</si>
  <si>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</si>
  <si>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</si>
  <si>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</si>
  <si>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</si>
  <si>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</si>
  <si>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</si>
  <si>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</si>
  <si>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</si>
  <si>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</si>
  <si>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</si>
  <si>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</si>
  <si>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</si>
  <si>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</si>
  <si>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</si>
  <si>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</si>
  <si>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</si>
  <si>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</si>
  <si>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</si>
  <si>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</si>
  <si>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</si>
  <si>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</si>
  <si>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</si>
  <si>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</si>
  <si>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</si>
  <si>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</si>
  <si>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</si>
  <si>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</si>
  <si>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</si>
  <si>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</si>
  <si>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</si>
  <si>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</si>
  <si>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</si>
  <si>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</si>
  <si>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</si>
  <si>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</si>
  <si>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</si>
  <si>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</si>
  <si>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</si>
  <si>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</si>
  <si>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</si>
  <si>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</si>
  <si>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</si>
  <si>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</si>
  <si>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</si>
  <si>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</si>
  <si>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</si>
  <si>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</si>
  <si>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</si>
  <si>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</si>
  <si>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</si>
  <si>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</si>
  <si>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</si>
  <si>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</si>
  <si>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</si>
  <si>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</si>
  <si>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</si>
  <si>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</si>
  <si>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</si>
  <si>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</si>
  <si>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</si>
  <si>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</si>
  <si>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</si>
  <si>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</si>
  <si>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</si>
  <si>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</si>
  <si>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</si>
  <si>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</si>
  <si>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</si>
  <si>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</si>
  <si>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</si>
  <si>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</si>
  <si>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</si>
  <si>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</si>
  <si>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</si>
  <si>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</si>
  <si>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</si>
  <si>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</si>
  <si>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</si>
  <si>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</si>
  <si>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</si>
  <si>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</si>
  <si>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</si>
  <si>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</si>
  <si>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</si>
  <si>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</si>
  <si>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</si>
  <si>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</si>
  <si>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</si>
  <si>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</si>
  <si>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</si>
  <si>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</si>
  <si>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</si>
  <si>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</si>
  <si>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</si>
  <si>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</si>
  <si>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</si>
  <si>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</si>
  <si>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</si>
  <si>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</si>
  <si>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</si>
  <si>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</si>
  <si>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</si>
  <si>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</si>
  <si>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</si>
  <si>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</si>
  <si>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</si>
  <si>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</si>
  <si>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</si>
  <si>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</si>
  <si>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</si>
  <si>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</si>
  <si>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</si>
  <si>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</si>
  <si>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</si>
  <si>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</si>
  <si>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</si>
  <si>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</si>
  <si>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</si>
  <si>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</si>
  <si>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</si>
  <si>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</si>
  <si>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</si>
  <si>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</si>
  <si>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</si>
  <si>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</si>
  <si>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</si>
  <si>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</si>
  <si>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</si>
  <si>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</si>
  <si>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</si>
  <si>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</si>
  <si>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</si>
  <si>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</si>
  <si>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</si>
  <si>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</si>
  <si>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</si>
  <si>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</si>
  <si>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</si>
  <si>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</si>
  <si>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</si>
  <si>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</si>
  <si>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</si>
  <si>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</si>
  <si>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</si>
  <si>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</si>
  <si>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</si>
  <si>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</si>
  <si>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</si>
  <si>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</si>
  <si>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</si>
  <si>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</si>
  <si>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</si>
  <si>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</si>
  <si>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</si>
  <si>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</si>
  <si>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</si>
  <si>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</si>
  <si>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</si>
  <si>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</si>
  <si>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</si>
  <si>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</si>
  <si>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</si>
  <si>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</si>
  <si>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</si>
  <si>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</si>
  <si>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</si>
  <si>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</si>
  <si>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</si>
  <si>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</si>
  <si>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</si>
  <si>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</si>
  <si>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</si>
  <si>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</si>
  <si>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</si>
  <si>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</si>
  <si>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</si>
  <si>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</si>
  <si>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</si>
  <si>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</si>
  <si>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</si>
  <si>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</si>
  <si>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</si>
  <si>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</si>
  <si>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</si>
  <si>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</si>
  <si>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</si>
  <si>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</si>
  <si>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</si>
  <si>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</si>
  <si>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</si>
  <si>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</si>
  <si>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</si>
  <si>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</si>
  <si>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</si>
  <si>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</si>
  <si>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</si>
  <si>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</si>
  <si>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</si>
  <si>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</si>
  <si>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</si>
  <si>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</si>
  <si>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</si>
  <si>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</si>
  <si>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</si>
  <si>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</si>
  <si>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</si>
  <si>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</si>
  <si>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</si>
  <si>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</si>
  <si>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</si>
  <si>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</si>
  <si>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</si>
  <si>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</si>
  <si>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</si>
  <si>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</si>
  <si>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</si>
  <si>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</si>
  <si>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</si>
  <si>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</si>
  <si>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</si>
  <si>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</si>
  <si>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</si>
  <si>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</si>
  <si>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</si>
  <si>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</si>
  <si>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</si>
  <si>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</si>
  <si>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</si>
  <si>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</si>
  <si>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</si>
  <si>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</si>
  <si>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</si>
  <si>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</si>
  <si>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</si>
  <si>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</si>
  <si>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</si>
  <si>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</si>
  <si>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</si>
  <si>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</si>
  <si>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</si>
  <si>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</si>
  <si>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</si>
  <si>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</si>
  <si>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</si>
  <si>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</si>
  <si>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</si>
  <si>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</si>
  <si>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</si>
  <si>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</si>
  <si>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</si>
  <si>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</si>
  <si>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</si>
  <si>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</si>
  <si>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</si>
  <si>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</si>
  <si>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</si>
  <si>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</si>
  <si>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</si>
  <si>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</si>
  <si>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</si>
  <si>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</si>
  <si>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</si>
  <si>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</si>
  <si>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</si>
  <si>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</si>
  <si>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</si>
  <si>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</si>
  <si>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</si>
  <si>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</si>
  <si>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</si>
  <si>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</si>
  <si>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</si>
  <si>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</si>
  <si>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</si>
  <si>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</si>
  <si>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</si>
  <si>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</si>
  <si>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</si>
  <si>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</si>
  <si>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</si>
  <si>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</si>
  <si>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</si>
  <si>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</si>
  <si>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</si>
  <si>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</si>
  <si>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</si>
  <si>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</si>
  <si>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</si>
  <si>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</si>
  <si>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</si>
  <si>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</si>
  <si>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</si>
  <si>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</si>
  <si>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</si>
  <si>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</si>
  <si>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</si>
  <si>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</si>
  <si>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</si>
  <si>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</si>
  <si>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</si>
  <si>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</si>
  <si>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</si>
  <si>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</si>
  <si>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</si>
  <si>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</si>
  <si>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</si>
  <si>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</si>
  <si>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</si>
  <si>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</si>
  <si>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</si>
  <si>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</si>
  <si>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</si>
  <si>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</si>
  <si>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</si>
  <si>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</si>
  <si>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</si>
  <si>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</si>
  <si>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</si>
  <si>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</si>
  <si>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</si>
  <si>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</si>
  <si>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</si>
  <si>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</si>
  <si>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</si>
  <si>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</si>
  <si>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</si>
  <si>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</si>
  <si>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</si>
  <si>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</si>
  <si>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</si>
  <si>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</si>
  <si>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</si>
  <si>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</si>
  <si>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</si>
  <si>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</si>
  <si>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</si>
  <si>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</si>
  <si>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</si>
  <si>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</si>
  <si>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</si>
  <si>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</si>
  <si>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</si>
  <si>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</si>
  <si>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</si>
  <si>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</si>
  <si>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</si>
  <si>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</si>
  <si>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</si>
  <si>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</si>
  <si>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</si>
  <si>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</si>
  <si>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</si>
  <si>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</si>
  <si>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</si>
  <si>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</si>
  <si>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</si>
  <si>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</si>
  <si>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</si>
  <si>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</si>
  <si>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</si>
  <si>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</si>
  <si>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</si>
  <si>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</si>
  <si>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</si>
  <si>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</si>
  <si>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</si>
  <si>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</si>
  <si>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</si>
  <si>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</si>
  <si>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</si>
  <si>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</si>
  <si>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</si>
  <si>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</si>
  <si>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</si>
  <si>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</si>
  <si>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</si>
  <si>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</si>
  <si>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</si>
  <si>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</si>
  <si>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</si>
  <si>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</si>
  <si>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</si>
  <si>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</si>
  <si>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</si>
  <si>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</si>
  <si>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</si>
  <si>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</si>
  <si>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</si>
  <si>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</si>
  <si>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</si>
  <si>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</si>
  <si>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</si>
  <si>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</si>
  <si>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</si>
  <si>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</si>
  <si>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</si>
  <si>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</si>
  <si>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</si>
  <si>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</si>
  <si>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</si>
  <si>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</si>
  <si>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</si>
  <si>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</si>
  <si>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</si>
  <si>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</si>
  <si>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</si>
  <si>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</si>
  <si>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</si>
  <si>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</si>
  <si>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</si>
  <si>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</si>
  <si>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</si>
  <si>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</si>
  <si>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</si>
  <si>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</si>
  <si>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</si>
  <si>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</si>
  <si>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</si>
  <si>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</si>
  <si>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</si>
  <si>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</si>
  <si>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</si>
  <si>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</si>
  <si>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</si>
  <si>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</si>
  <si>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</si>
  <si>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</si>
  <si>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</si>
  <si>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</si>
  <si>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</si>
  <si>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</si>
  <si>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</si>
  <si>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</si>
  <si>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</si>
  <si>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</si>
  <si>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</si>
  <si>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</si>
  <si>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</si>
  <si>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</si>
  <si>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</si>
  <si>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</si>
  <si>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</si>
  <si>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</si>
  <si>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</si>
  <si>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</si>
  <si>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</si>
  <si>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</si>
  <si>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</si>
  <si>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</si>
  <si>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</si>
  <si>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</si>
  <si>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</si>
  <si>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</si>
  <si>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</si>
  <si>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</si>
  <si>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</si>
  <si>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</si>
  <si>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</si>
  <si>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</si>
  <si>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</si>
  <si>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</si>
  <si>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</si>
  <si>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</si>
  <si>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</si>
  <si>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</si>
  <si>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</si>
  <si>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</si>
  <si>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</si>
  <si>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</si>
  <si>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</si>
  <si>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</si>
  <si>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</si>
  <si>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</si>
  <si>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</si>
  <si>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</si>
  <si>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</si>
  <si>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</si>
  <si>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</si>
  <si>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</si>
  <si>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</si>
  <si>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</si>
  <si>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</si>
  <si>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</si>
  <si>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</si>
  <si>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</si>
  <si>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</si>
  <si>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</si>
  <si>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</si>
  <si>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</si>
  <si>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</si>
  <si>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</si>
  <si>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</si>
  <si>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</si>
  <si>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</si>
  <si>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</si>
  <si>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</si>
  <si>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</si>
  <si>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</si>
  <si>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</si>
  <si>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</si>
  <si>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</si>
  <si>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</si>
  <si>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</si>
  <si>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</si>
  <si>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</si>
  <si>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</si>
  <si>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</si>
  <si>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</si>
  <si>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</si>
  <si>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</si>
  <si>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</si>
  <si>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</si>
  <si>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</si>
  <si>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</si>
  <si>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</si>
  <si>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</si>
  <si>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</si>
  <si>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</si>
  <si>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</si>
  <si>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</si>
  <si>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</si>
  <si>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</si>
  <si>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</si>
  <si>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</si>
  <si>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</si>
  <si>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</si>
  <si>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</si>
  <si>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</si>
  <si>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</si>
  <si>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</si>
  <si>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</si>
  <si>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</si>
  <si>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</si>
  <si>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</si>
  <si>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</si>
  <si>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</si>
  <si>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</si>
  <si>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</si>
  <si>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</si>
  <si>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</si>
  <si>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</si>
  <si>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</si>
  <si>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</si>
  <si>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</si>
  <si>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</si>
  <si>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</si>
  <si>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</si>
  <si>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</si>
  <si>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</si>
  <si>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</si>
  <si>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</si>
  <si>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</si>
  <si>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</si>
  <si>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</si>
  <si>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</si>
  <si>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</si>
  <si>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</si>
  <si>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</si>
  <si>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</si>
  <si>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</si>
  <si>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</si>
  <si>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</si>
  <si>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</si>
  <si>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</si>
  <si>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</si>
  <si>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</si>
  <si>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</si>
  <si>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</si>
  <si>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</si>
  <si>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</si>
  <si>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</si>
  <si>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</si>
  <si>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</si>
  <si>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</si>
  <si>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</si>
  <si>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</si>
  <si>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</si>
  <si>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</si>
  <si>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</si>
  <si>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</si>
  <si>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</si>
  <si>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</si>
  <si>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</si>
  <si>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</si>
  <si>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</si>
  <si>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</si>
  <si>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</si>
  <si>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</si>
  <si>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</si>
  <si>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</si>
  <si>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</si>
  <si>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</si>
  <si>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</si>
  <si>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</si>
  <si>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</si>
  <si>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</si>
  <si>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</si>
  <si>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</si>
  <si>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</si>
  <si>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</si>
  <si>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</si>
  <si>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</si>
  <si>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</si>
  <si>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</si>
  <si>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</si>
  <si>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</si>
  <si>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</si>
  <si>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</si>
  <si>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</si>
  <si>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</si>
  <si>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</si>
  <si>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</si>
  <si>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</si>
  <si>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</si>
  <si>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</si>
  <si>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</si>
  <si>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</si>
  <si>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</si>
  <si>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</si>
  <si>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</si>
  <si>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</si>
  <si>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</si>
  <si>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</si>
  <si>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</si>
  <si>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</si>
  <si>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</si>
  <si>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</si>
  <si>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</si>
  <si>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</si>
  <si>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</si>
  <si>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</si>
  <si>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</si>
  <si>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</si>
  <si>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</si>
  <si>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</si>
  <si>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</si>
  <si>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</si>
  <si>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</si>
  <si>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</si>
  <si>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</si>
  <si>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</si>
  <si>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</si>
  <si>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</si>
  <si>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</si>
  <si>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</si>
  <si>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</si>
  <si>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</si>
  <si>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</si>
  <si>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</si>
  <si>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</si>
  <si>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</si>
  <si>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</si>
  <si>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</si>
  <si>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</si>
  <si>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</si>
  <si>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</si>
  <si>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</si>
  <si>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</si>
  <si>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</si>
  <si>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</si>
  <si>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</si>
  <si>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</si>
  <si>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</si>
  <si>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</si>
  <si>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</si>
  <si>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</si>
  <si>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</si>
  <si>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</si>
  <si>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</si>
  <si>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</si>
  <si>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</si>
  <si>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</si>
  <si>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</si>
  <si>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</si>
  <si>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</si>
  <si>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</si>
  <si>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</si>
  <si>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</si>
  <si>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</si>
  <si>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</si>
  <si>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</si>
  <si>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</si>
  <si>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</si>
  <si>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</si>
  <si>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</si>
  <si>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</si>
  <si>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</si>
  <si>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</si>
  <si>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</si>
  <si>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</si>
  <si>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</si>
  <si>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</si>
  <si>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</si>
  <si>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</si>
  <si>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</si>
  <si>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</si>
  <si>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</si>
  <si>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</si>
  <si>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</si>
  <si>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</si>
  <si>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</si>
  <si>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</si>
  <si>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</si>
  <si>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</si>
  <si>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</si>
  <si>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</si>
  <si>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</si>
  <si>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</si>
  <si>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</si>
  <si>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</si>
  <si>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</si>
  <si>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</si>
  <si>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</si>
  <si>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</si>
  <si>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</si>
  <si>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</si>
  <si>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</si>
  <si>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</si>
  <si>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</si>
  <si>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</si>
  <si>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</si>
  <si>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</si>
  <si>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</si>
  <si>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</si>
  <si>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</si>
  <si>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</si>
  <si>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</si>
  <si>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</si>
  <si>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</si>
  <si>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</si>
  <si>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</si>
  <si>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</si>
  <si>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</si>
  <si>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</si>
  <si>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</si>
  <si>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</si>
  <si>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</si>
  <si>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</si>
  <si>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</si>
  <si>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</si>
  <si>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</si>
  <si>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</si>
  <si>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</si>
  <si>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</si>
  <si>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</si>
  <si>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</si>
  <si>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</si>
  <si>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</si>
  <si>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</si>
  <si>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</si>
  <si>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</si>
  <si>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</si>
  <si>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</si>
  <si>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</si>
  <si>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</si>
  <si>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</si>
  <si>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</si>
  <si>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</si>
  <si>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</si>
  <si>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</si>
  <si>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</si>
  <si>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</si>
  <si>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</si>
  <si>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</si>
  <si>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</si>
  <si>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</si>
  <si>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</si>
  <si>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</si>
  <si>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</si>
  <si>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</si>
  <si>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</si>
  <si>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</si>
  <si>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</si>
  <si>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</si>
  <si>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</si>
  <si>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</si>
  <si>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</si>
  <si>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</si>
  <si>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</si>
  <si>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</si>
  <si>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</si>
  <si>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</si>
  <si>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</si>
  <si>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</si>
  <si>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</si>
  <si>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</si>
  <si>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</si>
  <si>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</si>
  <si>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</si>
  <si>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</si>
  <si>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</si>
  <si>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</si>
  <si>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</si>
  <si>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</si>
  <si>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</si>
  <si>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</si>
  <si>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</si>
  <si>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</si>
  <si>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</si>
  <si>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</si>
  <si>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</si>
  <si>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</si>
  <si>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</si>
  <si>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</si>
  <si>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</si>
  <si>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</si>
  <si>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</si>
  <si>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</si>
  <si>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</si>
  <si>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</si>
  <si>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</si>
  <si>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</si>
  <si>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</si>
  <si>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</si>
  <si>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</si>
  <si>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</si>
  <si>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</si>
  <si>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</si>
  <si>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</si>
  <si>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</si>
  <si>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</si>
  <si>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</si>
  <si>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</si>
  <si>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</si>
  <si>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</si>
  <si>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</si>
  <si>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</si>
  <si>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</si>
  <si>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</si>
  <si>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</si>
  <si>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</si>
  <si>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</si>
  <si>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</si>
  <si>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</si>
  <si>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</si>
  <si>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</si>
  <si>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</si>
  <si>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</si>
  <si>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</si>
  <si>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</si>
  <si>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</si>
  <si>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</si>
  <si>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</si>
  <si>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</si>
  <si>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</si>
  <si>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</si>
  <si>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</si>
  <si>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</si>
  <si>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</si>
  <si>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</si>
  <si>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</si>
  <si>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</si>
  <si>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</si>
  <si>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欧红伟</t>
  </si>
  <si>
    <t>崔锴</t>
  </si>
  <si>
    <t>抵押</t>
  </si>
  <si>
    <t>房地产抵押价值</t>
  </si>
  <si>
    <t>北京市</t>
  </si>
  <si>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</si>
  <si>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</si>
  <si>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京通国用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00173</t>
    </r>
    <r>
      <rPr>
        <sz val="12"/>
        <color theme="9" tint="-0.249977111117893"/>
        <rFont val="宋体"/>
        <family val="3"/>
        <charset val="134"/>
      </rPr>
      <t>号</t>
    </r>
    <r>
      <rPr>
        <sz val="12"/>
        <color theme="9" tint="-0.249977111117893"/>
        <rFont val="Arial"/>
        <family val="2"/>
      </rPr>
      <t>]</t>
    </r>
    <phoneticPr fontId="6" type="noConversion"/>
  </si>
  <si>
    <t>否</t>
  </si>
  <si>
    <t>复印件</t>
  </si>
  <si>
    <t>办公项目</t>
  </si>
  <si>
    <t>无</t>
  </si>
  <si>
    <t>现房</t>
  </si>
  <si>
    <t>通路</t>
  </si>
  <si>
    <t>通电</t>
  </si>
  <si>
    <t>通讯</t>
  </si>
  <si>
    <t>通上水</t>
  </si>
  <si>
    <t>通下水</t>
  </si>
  <si>
    <t>通热</t>
  </si>
  <si>
    <t>燃气</t>
  </si>
  <si>
    <t>Ⅷ-亦1</t>
  </si>
  <si>
    <t>1-1-213</t>
  </si>
  <si>
    <t>1-3-411</t>
  </si>
  <si>
    <t>1-3-811</t>
  </si>
  <si>
    <t>3-1-203</t>
  </si>
  <si>
    <t>3-1-204</t>
  </si>
  <si>
    <t>3-1-205</t>
  </si>
  <si>
    <t>3-1-501</t>
  </si>
  <si>
    <t>3-1-504</t>
  </si>
  <si>
    <t>3-1-506</t>
  </si>
  <si>
    <t>3-1-507</t>
  </si>
  <si>
    <t>3-1-508</t>
  </si>
  <si>
    <t>3-1-509</t>
  </si>
  <si>
    <t>3-1-510</t>
  </si>
  <si>
    <t>3-1-511</t>
  </si>
  <si>
    <t>3-1-512</t>
  </si>
  <si>
    <t>3-1-514</t>
  </si>
  <si>
    <t>3-1-515</t>
  </si>
  <si>
    <t>3-1-613</t>
  </si>
  <si>
    <t>3-1-803</t>
  </si>
  <si>
    <t>3-1-804</t>
  </si>
  <si>
    <t>3-1-903</t>
  </si>
  <si>
    <t>3-1-904</t>
  </si>
  <si>
    <t>3-1-1003</t>
  </si>
  <si>
    <t>3-1-1004</t>
  </si>
  <si>
    <t>3-1-1103</t>
  </si>
  <si>
    <t>3-1-1104</t>
  </si>
  <si>
    <t>3-1-1105</t>
  </si>
  <si>
    <t>3-1-1201</t>
  </si>
  <si>
    <t>3-1-1202</t>
  </si>
  <si>
    <t>3-3-305</t>
  </si>
  <si>
    <t>17-1-201</t>
  </si>
  <si>
    <t>17-1-209</t>
  </si>
  <si>
    <t>17-1-210</t>
  </si>
  <si>
    <t>17-1-309</t>
  </si>
  <si>
    <t>17-1-310</t>
  </si>
  <si>
    <t>17-1-414</t>
  </si>
  <si>
    <t>17-1-415</t>
  </si>
  <si>
    <t>17-1-610</t>
  </si>
  <si>
    <t>17-1-615</t>
  </si>
  <si>
    <t>19-1-902</t>
  </si>
  <si>
    <t>19-1-906</t>
  </si>
  <si>
    <t>19-2-202</t>
  </si>
  <si>
    <t>19-2-203</t>
  </si>
  <si>
    <t>19-2-204</t>
  </si>
  <si>
    <t>19-2-205</t>
  </si>
  <si>
    <t>19-2-206</t>
  </si>
  <si>
    <t>19-2-207</t>
  </si>
  <si>
    <t>19-2-303</t>
  </si>
  <si>
    <t>7-1-213</t>
  </si>
  <si>
    <t>1-1-202</t>
  </si>
  <si>
    <t>1-1-203</t>
  </si>
  <si>
    <t>1-1-205</t>
  </si>
  <si>
    <t>1-1-207</t>
  </si>
  <si>
    <t>1-1-208</t>
  </si>
  <si>
    <t>1-1-209</t>
  </si>
  <si>
    <t>1-1-212</t>
  </si>
  <si>
    <t>1-1-214</t>
  </si>
  <si>
    <t>1-1-310</t>
  </si>
  <si>
    <t>1-1-406</t>
  </si>
  <si>
    <t>1-1-603</t>
  </si>
  <si>
    <t>1-1-904</t>
  </si>
  <si>
    <t>1-2-203</t>
  </si>
  <si>
    <t>1-2-204</t>
  </si>
  <si>
    <t>1-2-207</t>
  </si>
  <si>
    <t>1-2-214</t>
  </si>
  <si>
    <t>1-2-902</t>
  </si>
  <si>
    <t>1-2-903</t>
  </si>
  <si>
    <t>1-2-904</t>
  </si>
  <si>
    <t>1-2-905</t>
  </si>
  <si>
    <t>1-3-201</t>
  </si>
  <si>
    <t>1-3-202</t>
  </si>
  <si>
    <t>1-3-203</t>
  </si>
  <si>
    <t>1-3-204</t>
  </si>
  <si>
    <t>1-3-205</t>
  </si>
  <si>
    <t>1-3-206</t>
  </si>
  <si>
    <t>1-3-207</t>
  </si>
  <si>
    <t>1-3-210</t>
  </si>
  <si>
    <t>1-3-314</t>
  </si>
  <si>
    <t>1-3-901</t>
  </si>
  <si>
    <t>1-3-904</t>
  </si>
  <si>
    <t>1-3-905</t>
  </si>
  <si>
    <t>1-3-906</t>
  </si>
  <si>
    <t>3-1-309</t>
  </si>
  <si>
    <t>3-1-311</t>
  </si>
  <si>
    <t>3-1-313</t>
  </si>
  <si>
    <t>3-1-402</t>
  </si>
  <si>
    <t>3-1-711</t>
  </si>
  <si>
    <t>3-1-806</t>
  </si>
  <si>
    <t>3-1-807</t>
  </si>
  <si>
    <t>3-1-808</t>
  </si>
  <si>
    <t>3-1-809</t>
  </si>
  <si>
    <t>3-1-810</t>
  </si>
  <si>
    <t>3-1-811</t>
  </si>
  <si>
    <t>3-1-812</t>
  </si>
  <si>
    <t>3-1-813</t>
  </si>
  <si>
    <t>3-1-1203</t>
  </si>
  <si>
    <t>3-1-1204</t>
  </si>
  <si>
    <t>3-1-1209</t>
  </si>
  <si>
    <t>3-1-1210</t>
  </si>
  <si>
    <t>3-1-1213</t>
  </si>
  <si>
    <t>3-2-409</t>
  </si>
  <si>
    <t>3-2-901</t>
  </si>
  <si>
    <t>3-2-1107</t>
  </si>
  <si>
    <t>3-3-201</t>
  </si>
  <si>
    <t>3-3-402</t>
  </si>
  <si>
    <t>3-3-602</t>
  </si>
  <si>
    <t>3-3-1106</t>
  </si>
  <si>
    <t>15-1-01</t>
  </si>
  <si>
    <t>15-1-03</t>
  </si>
  <si>
    <t>15-1-102</t>
  </si>
  <si>
    <t>15-1-111</t>
  </si>
  <si>
    <t>15-1-302</t>
  </si>
  <si>
    <t>15-2-08</t>
  </si>
  <si>
    <t>15-2-09</t>
  </si>
  <si>
    <t>15-2-12</t>
  </si>
  <si>
    <t>15-2-103</t>
  </si>
  <si>
    <t>15-2-107</t>
  </si>
  <si>
    <t>15-2-108</t>
  </si>
  <si>
    <t>15-2-614</t>
  </si>
  <si>
    <t>17-1-207</t>
  </si>
  <si>
    <t>17-1-614</t>
  </si>
  <si>
    <t>17-1-1205</t>
  </si>
  <si>
    <t>19-1-209</t>
  </si>
  <si>
    <t>19-1-214</t>
  </si>
  <si>
    <t>19-1-810</t>
  </si>
  <si>
    <t>19-2-210</t>
  </si>
  <si>
    <t>19-2-407</t>
  </si>
  <si>
    <t>19-2-414</t>
  </si>
  <si>
    <t>19-2-604</t>
  </si>
  <si>
    <t>19-2-714</t>
  </si>
  <si>
    <t>19-2-905</t>
  </si>
  <si>
    <t>19-2-906</t>
  </si>
  <si>
    <t>13-1-01</t>
  </si>
  <si>
    <t>13-1-02</t>
  </si>
  <si>
    <t>13-1-03</t>
  </si>
  <si>
    <t>13-1-04</t>
  </si>
  <si>
    <t>13-1-05</t>
  </si>
  <si>
    <t>13-1-06</t>
  </si>
  <si>
    <t>13-1-07</t>
  </si>
  <si>
    <t>13-1-08</t>
  </si>
  <si>
    <t>13-1-09</t>
  </si>
  <si>
    <t>13-1-10</t>
  </si>
  <si>
    <t>13-1-11</t>
  </si>
  <si>
    <t>13-1-12</t>
  </si>
  <si>
    <t>13-1-101</t>
  </si>
  <si>
    <t>13-1-102</t>
  </si>
  <si>
    <t>13-1-103</t>
  </si>
  <si>
    <t>13-1-104</t>
  </si>
  <si>
    <t>13-1-105</t>
  </si>
  <si>
    <t>13-1-106</t>
  </si>
  <si>
    <t>13-1-107</t>
  </si>
  <si>
    <t>13-1-108</t>
  </si>
  <si>
    <t>13-1-109</t>
  </si>
  <si>
    <t>13-1-110</t>
  </si>
  <si>
    <t>13-1-111</t>
  </si>
  <si>
    <t>13-1-112</t>
  </si>
  <si>
    <t>13-1-113</t>
  </si>
  <si>
    <t>13-1-114</t>
  </si>
  <si>
    <t>13-2-01</t>
  </si>
  <si>
    <t>13-2-02</t>
  </si>
  <si>
    <t>13-2-03</t>
  </si>
  <si>
    <t>13-2-04</t>
  </si>
  <si>
    <t>13-2-05</t>
  </si>
  <si>
    <t>13-2-06</t>
  </si>
  <si>
    <t>13-2-07</t>
  </si>
  <si>
    <t>13-2-08</t>
  </si>
  <si>
    <t>13-2-09</t>
  </si>
  <si>
    <t>13-2-10</t>
  </si>
  <si>
    <t>13-2-11</t>
  </si>
  <si>
    <t>13-2-12</t>
  </si>
  <si>
    <t>13-2-101</t>
  </si>
  <si>
    <t>13-2-102</t>
  </si>
  <si>
    <t>13-2-103</t>
  </si>
  <si>
    <t>13-2-104</t>
  </si>
  <si>
    <t>13-2-105</t>
  </si>
  <si>
    <t>13-2-106</t>
  </si>
  <si>
    <t>13-2-107</t>
  </si>
  <si>
    <t>13-2-108</t>
  </si>
  <si>
    <t>13-2-109</t>
  </si>
  <si>
    <t>13-2-110</t>
  </si>
  <si>
    <t>13-2-113</t>
  </si>
  <si>
    <t>13-2-215</t>
  </si>
  <si>
    <t>7-1-312</t>
  </si>
  <si>
    <t>7-1-401</t>
  </si>
  <si>
    <t>7-1-707</t>
  </si>
  <si>
    <t>7-1-902</t>
  </si>
  <si>
    <t>7-1-906</t>
  </si>
  <si>
    <t>7-1-1109</t>
  </si>
  <si>
    <t>7-1-1210</t>
  </si>
  <si>
    <t>11-1-206</t>
  </si>
  <si>
    <t>11-1-209</t>
  </si>
  <si>
    <t>11-1-210</t>
  </si>
  <si>
    <t>11-1-211</t>
  </si>
  <si>
    <t>11-1-502</t>
  </si>
  <si>
    <t>11-1-506</t>
  </si>
  <si>
    <t>11-1-509</t>
  </si>
  <si>
    <t>11-1-607</t>
  </si>
  <si>
    <t>11-1-608</t>
  </si>
  <si>
    <t>11-1-614</t>
  </si>
  <si>
    <t>11-1-705</t>
  </si>
  <si>
    <t>11-1-714</t>
  </si>
  <si>
    <t>11-1-814</t>
  </si>
  <si>
    <t>11-1-902</t>
  </si>
  <si>
    <t>11-1-909</t>
  </si>
  <si>
    <t>11-1-910</t>
  </si>
  <si>
    <t>11-1-911</t>
  </si>
  <si>
    <t>11-1-914</t>
  </si>
  <si>
    <t>11-1-1103</t>
  </si>
  <si>
    <t>11-1-1108</t>
  </si>
  <si>
    <t>9-1-208</t>
  </si>
  <si>
    <t>9-1-209</t>
  </si>
  <si>
    <t>9-1-212</t>
  </si>
  <si>
    <t>9-1-214</t>
  </si>
  <si>
    <t>9-1-215</t>
  </si>
  <si>
    <t>9-1-1014</t>
  </si>
  <si>
    <t>9-1-1113</t>
  </si>
  <si>
    <t>9-1-1210</t>
  </si>
  <si>
    <t>9-1-1211</t>
  </si>
  <si>
    <t>9-2-208</t>
  </si>
  <si>
    <t>9-2-209</t>
  </si>
  <si>
    <t>9-2-210</t>
  </si>
  <si>
    <t>9-2-212</t>
  </si>
  <si>
    <t>9-2-213</t>
  </si>
  <si>
    <t>9-2-214</t>
  </si>
  <si>
    <t>9-2-215</t>
  </si>
  <si>
    <t>9-2-610</t>
  </si>
  <si>
    <t>9-2-714</t>
  </si>
  <si>
    <t>5-1-207</t>
  </si>
  <si>
    <t>5-1-208</t>
  </si>
  <si>
    <t>5-1-210</t>
  </si>
  <si>
    <t>5-1-211</t>
  </si>
  <si>
    <t>5-1-212</t>
  </si>
  <si>
    <t>5-1-213</t>
  </si>
  <si>
    <t>5-1-215</t>
  </si>
  <si>
    <t>5-1-501</t>
  </si>
  <si>
    <t>5-1-514</t>
  </si>
  <si>
    <t>11-1-203</t>
  </si>
  <si>
    <t>11-1-204</t>
  </si>
  <si>
    <t>11-1-205</t>
  </si>
  <si>
    <t>17-1-203</t>
  </si>
  <si>
    <t>17-1-204</t>
  </si>
  <si>
    <t>17-1-205</t>
  </si>
  <si>
    <t>5-1-202</t>
  </si>
  <si>
    <t>5-1-203</t>
  </si>
  <si>
    <t>5-1-206</t>
  </si>
  <si>
    <t>是</t>
  </si>
  <si>
    <t>1-2-102</t>
  </si>
  <si>
    <t>1-2-103</t>
  </si>
  <si>
    <t>1-2-104</t>
  </si>
  <si>
    <t>1-2-105</t>
  </si>
  <si>
    <t>1-2-106</t>
  </si>
  <si>
    <t>1-2-107</t>
  </si>
  <si>
    <t>1-3-01</t>
  </si>
  <si>
    <t>1-3-02</t>
  </si>
  <si>
    <t>1-3-03</t>
  </si>
  <si>
    <t>1-3-04</t>
  </si>
  <si>
    <t>1-3-05</t>
  </si>
  <si>
    <t>1-3-06</t>
  </si>
  <si>
    <t>1-3-101</t>
  </si>
  <si>
    <t>1-3-102</t>
  </si>
  <si>
    <t>1-3-103</t>
  </si>
  <si>
    <t>1-3-104</t>
  </si>
  <si>
    <t>1-3-105</t>
  </si>
  <si>
    <t>1-3-106</t>
  </si>
  <si>
    <t>1-3-107</t>
  </si>
  <si>
    <t>1-3-108</t>
  </si>
  <si>
    <t>1-3-110</t>
  </si>
  <si>
    <t>1-3-111</t>
  </si>
  <si>
    <t>7-1-101</t>
  </si>
  <si>
    <t>17-1-101</t>
  </si>
  <si>
    <t>19-1-101</t>
  </si>
  <si>
    <t>19-1-102</t>
  </si>
  <si>
    <t>19-1-103</t>
  </si>
  <si>
    <t>19-1-104</t>
  </si>
  <si>
    <t>19-1-105</t>
  </si>
  <si>
    <t>19-1-106</t>
  </si>
  <si>
    <t>19-1-107</t>
  </si>
  <si>
    <t>19-1-110</t>
  </si>
  <si>
    <t>19-2-101</t>
  </si>
  <si>
    <t>19-2-102</t>
  </si>
  <si>
    <t>19-2-103</t>
  </si>
  <si>
    <t>19-2-104</t>
  </si>
  <si>
    <t>19-2-105</t>
  </si>
  <si>
    <t>19-2-106</t>
  </si>
  <si>
    <t>地上</t>
  </si>
  <si>
    <t>LOFT住宅</t>
  </si>
  <si>
    <t>底商</t>
  </si>
  <si>
    <t>商住</t>
  </si>
  <si>
    <t>商住</t>
    <phoneticPr fontId="7" type="noConversion"/>
  </si>
  <si>
    <t>商业、办公</t>
    <phoneticPr fontId="6" type="noConversion"/>
  </si>
  <si>
    <r>
      <t>33.09</t>
    </r>
    <r>
      <rPr>
        <sz val="12"/>
        <color theme="9" tint="-0.249977111117893"/>
        <rFont val="宋体"/>
        <family val="3"/>
        <charset val="134"/>
      </rPr>
      <t>年、</t>
    </r>
    <r>
      <rPr>
        <sz val="12"/>
        <color theme="9" tint="-0.249977111117893"/>
        <rFont val="Arial"/>
        <family val="2"/>
      </rPr>
      <t>43.10</t>
    </r>
    <r>
      <rPr>
        <sz val="12"/>
        <color theme="9" tint="-0.249977111117893"/>
        <rFont val="宋体"/>
        <family val="3"/>
        <charset val="134"/>
      </rPr>
      <t>年</t>
    </r>
    <phoneticPr fontId="6" type="noConversion"/>
  </si>
  <si>
    <t>成新度</t>
  </si>
  <si>
    <t>收益法</t>
    <phoneticPr fontId="16" type="noConversion"/>
  </si>
  <si>
    <t>收益法-商住</t>
  </si>
  <si>
    <t>收益法-商住</t>
    <phoneticPr fontId="16" type="noConversion"/>
  </si>
  <si>
    <t>收益法-底商</t>
  </si>
  <si>
    <t>收益法-底商</t>
    <phoneticPr fontId="16" type="noConversion"/>
  </si>
  <si>
    <t xml:space="preserve"> </t>
    <phoneticPr fontId="25" type="noConversion"/>
  </si>
  <si>
    <t xml:space="preserve"> </t>
    <phoneticPr fontId="3" type="noConversion"/>
  </si>
  <si>
    <r>
      <rPr>
        <sz val="11"/>
        <color theme="9" tint="-0.249977111117893"/>
        <rFont val="宋体"/>
        <family val="3"/>
        <charset val="134"/>
      </rPr>
      <t>估价对象周边道路状况、公共交通通达情况、停车便捷程度，综合评价交通便捷度较好</t>
    </r>
    <phoneticPr fontId="3" type="noConversion"/>
  </si>
  <si>
    <t>估价对象所在区域公共配套设施齐备情况较好</t>
    <phoneticPr fontId="3" type="noConversion"/>
  </si>
  <si>
    <t>估价对象所在区域基础设施水平七通</t>
    <phoneticPr fontId="3" type="noConversion"/>
  </si>
  <si>
    <t>估价对象位于通州区马驹桥镇物流产业园周围，周边商业氛围较差，人流量一般，商业繁华度一般</t>
    <phoneticPr fontId="3" type="noConversion"/>
  </si>
  <si>
    <t>估价对象位于通州区马驹桥镇物流产业园周围，周边办公集聚程度一般</t>
    <phoneticPr fontId="3" type="noConversion"/>
  </si>
  <si>
    <t>40-50（含）</t>
  </si>
  <si>
    <t>正常</t>
  </si>
  <si>
    <t>成本比率</t>
  </si>
  <si>
    <t>成本法</t>
  </si>
  <si>
    <t>办公</t>
    <phoneticPr fontId="25" type="noConversion"/>
  </si>
  <si>
    <t>一般</t>
  </si>
  <si>
    <t>较好</t>
  </si>
  <si>
    <t>七通</t>
  </si>
  <si>
    <t>区域自然环境：凉水河；人文环境：无高等院校等；综合评价环境状况一般</t>
    <phoneticPr fontId="3" type="noConversion"/>
  </si>
  <si>
    <t>城市快速路——南六环路</t>
    <phoneticPr fontId="3" type="noConversion"/>
  </si>
  <si>
    <t>估价对象周围有星悦国际小区、首开国风美仑等住宅小区，居住社区成熟度一般</t>
    <phoneticPr fontId="25" type="noConversion"/>
  </si>
  <si>
    <t>高速</t>
  </si>
  <si>
    <t>快速</t>
  </si>
  <si>
    <t>主</t>
  </si>
  <si>
    <t>次</t>
  </si>
  <si>
    <t>支路</t>
  </si>
  <si>
    <t>高层</t>
    <phoneticPr fontId="3" type="noConversion"/>
  </si>
  <si>
    <t>中层</t>
    <phoneticPr fontId="3" type="noConversion"/>
  </si>
  <si>
    <t>低层</t>
    <phoneticPr fontId="3" type="noConversion"/>
  </si>
  <si>
    <r>
      <rPr>
        <sz val="11"/>
        <color indexed="8"/>
        <rFont val="宋体"/>
        <family val="3"/>
        <charset val="134"/>
      </rPr>
      <t>道路级别</t>
    </r>
    <phoneticPr fontId="3" type="noConversion"/>
  </si>
  <si>
    <t>楼层</t>
    <phoneticPr fontId="3" type="noConversion"/>
  </si>
  <si>
    <t>钢结构</t>
  </si>
  <si>
    <t>钢混</t>
  </si>
  <si>
    <t>砖混</t>
  </si>
  <si>
    <t>精装修</t>
  </si>
  <si>
    <t>普通装修</t>
  </si>
  <si>
    <t>简装</t>
  </si>
  <si>
    <t>毛坯</t>
  </si>
  <si>
    <t>高档</t>
  </si>
  <si>
    <t>中档</t>
  </si>
  <si>
    <t>专业</t>
  </si>
  <si>
    <t>普通</t>
  </si>
  <si>
    <t>六通</t>
  </si>
  <si>
    <t>五通</t>
  </si>
  <si>
    <t>四通</t>
  </si>
  <si>
    <t>三通</t>
  </si>
  <si>
    <t>LOFT</t>
  </si>
  <si>
    <t>平层</t>
  </si>
  <si>
    <t>次</t>
    <phoneticPr fontId="25" type="noConversion"/>
  </si>
  <si>
    <t>主</t>
    <phoneticPr fontId="25" type="noConversion"/>
  </si>
  <si>
    <t>高层</t>
    <phoneticPr fontId="25" type="noConversion"/>
  </si>
  <si>
    <t>低层</t>
    <phoneticPr fontId="25" type="noConversion"/>
  </si>
  <si>
    <t>泰禾1号街区</t>
    <phoneticPr fontId="3" type="noConversion"/>
  </si>
  <si>
    <t>四季悦城</t>
    <phoneticPr fontId="3" type="noConversion"/>
  </si>
  <si>
    <t>中层</t>
    <phoneticPr fontId="25" type="noConversion"/>
  </si>
  <si>
    <t>超级蜂巢</t>
    <phoneticPr fontId="3" type="noConversion"/>
  </si>
  <si>
    <t>押一</t>
  </si>
  <si>
    <t>按租金收入计税</t>
  </si>
  <si>
    <t>非生产用房</t>
  </si>
  <si>
    <t>首开万科城市之光</t>
    <phoneticPr fontId="3" type="noConversion"/>
  </si>
  <si>
    <t>商业</t>
    <phoneticPr fontId="31" type="noConversion"/>
  </si>
  <si>
    <t>30-40（含）</t>
  </si>
  <si>
    <t>多面临街</t>
    <phoneticPr fontId="31" type="noConversion"/>
  </si>
  <si>
    <t>双面临街</t>
    <phoneticPr fontId="31" type="noConversion"/>
  </si>
  <si>
    <t>单面临街</t>
  </si>
  <si>
    <t>单面临街</t>
    <phoneticPr fontId="31" type="noConversion"/>
  </si>
  <si>
    <t>不临街</t>
    <phoneticPr fontId="31" type="noConversion"/>
  </si>
  <si>
    <t>较好</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</si>
  <si>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</si>
  <si>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</si>
  <si>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</si>
  <si>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</si>
  <si>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</si>
  <si>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</si>
  <si>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</si>
  <si>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</si>
  <si>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</si>
  <si>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</si>
  <si>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</si>
  <si>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</si>
  <si>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独立商业</t>
    <phoneticPr fontId="31" type="noConversion"/>
  </si>
  <si>
    <t>商业街</t>
  </si>
  <si>
    <t>商业街</t>
    <phoneticPr fontId="31" type="noConversion"/>
  </si>
  <si>
    <t>住宅底商</t>
  </si>
  <si>
    <t>住宅底商</t>
    <phoneticPr fontId="31" type="noConversion"/>
  </si>
  <si>
    <t>钢</t>
    <phoneticPr fontId="31" type="noConversion"/>
  </si>
  <si>
    <t>钢混</t>
    <phoneticPr fontId="31" type="noConversion"/>
  </si>
  <si>
    <t>砖混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</si>
  <si>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</si>
  <si>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</si>
  <si>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</si>
  <si>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</si>
  <si>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</si>
  <si>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可餐饮</t>
  </si>
  <si>
    <t>可餐饮</t>
    <phoneticPr fontId="31" type="noConversion"/>
  </si>
  <si>
    <t>不可餐饮</t>
  </si>
  <si>
    <t>不可餐饮</t>
    <phoneticPr fontId="31" type="noConversion"/>
  </si>
  <si>
    <t>超高层高</t>
  </si>
  <si>
    <t>超高层高</t>
    <phoneticPr fontId="31" type="noConversion"/>
  </si>
  <si>
    <t>标准层高</t>
    <phoneticPr fontId="31" type="noConversion"/>
  </si>
  <si>
    <t>适宜</t>
    <phoneticPr fontId="31" type="noConversion"/>
  </si>
  <si>
    <t>比较适宜</t>
  </si>
  <si>
    <t>比较适宜</t>
    <phoneticPr fontId="31" type="noConversion"/>
  </si>
  <si>
    <t>一般适宜</t>
    <phoneticPr fontId="31" type="noConversion"/>
  </si>
  <si>
    <t>较不适宜</t>
    <phoneticPr fontId="31" type="noConversion"/>
  </si>
  <si>
    <t>不适宜</t>
    <phoneticPr fontId="31" type="noConversion"/>
  </si>
  <si>
    <t>可视性</t>
    <phoneticPr fontId="31" type="noConversion"/>
  </si>
  <si>
    <t>1层</t>
  </si>
  <si>
    <t>富力尚悦居</t>
    <phoneticPr fontId="3" type="noConversion"/>
  </si>
  <si>
    <t>售价</t>
  </si>
  <si>
    <t>兴贸三街18号院四季悦城项目商业、办公用房</t>
    <phoneticPr fontId="6" type="noConversion"/>
  </si>
  <si>
    <t>底商</t>
    <phoneticPr fontId="7" type="noConversion"/>
  </si>
  <si>
    <t>内部装修情况</t>
    <phoneticPr fontId="25" type="noConversion"/>
  </si>
  <si>
    <t>高层</t>
  </si>
  <si>
    <t>中层</t>
  </si>
  <si>
    <t>低层</t>
  </si>
  <si>
    <t>人流量</t>
    <phoneticPr fontId="143" type="noConversion"/>
  </si>
  <si>
    <t>可视性</t>
    <phoneticPr fontId="143" type="noConversion"/>
  </si>
  <si>
    <t>临街状况</t>
    <phoneticPr fontId="143" type="noConversion"/>
  </si>
  <si>
    <r>
      <t>1</t>
    </r>
    <r>
      <rPr>
        <sz val="10"/>
        <color indexed="8"/>
        <rFont val="宋体"/>
        <family val="3"/>
        <charset val="134"/>
      </rPr>
      <t>层</t>
    </r>
    <phoneticPr fontId="143" type="noConversion"/>
  </si>
  <si>
    <r>
      <t>2</t>
    </r>
    <r>
      <rPr>
        <sz val="10"/>
        <color indexed="8"/>
        <rFont val="宋体"/>
        <family val="3"/>
        <charset val="134"/>
      </rPr>
      <t>层</t>
    </r>
    <phoneticPr fontId="143" type="noConversion"/>
  </si>
  <si>
    <t>较小</t>
  </si>
  <si>
    <t>较差</t>
  </si>
  <si>
    <r>
      <rPr>
        <sz val="11"/>
        <color theme="1"/>
        <rFont val="宋体"/>
        <family val="3"/>
        <charset val="134"/>
      </rPr>
      <t>典型户型修正</t>
    </r>
    <r>
      <rPr>
        <sz val="11"/>
        <color theme="1"/>
        <rFont val="Arial"/>
        <family val="2"/>
      </rPr>
      <t>-</t>
    </r>
    <r>
      <rPr>
        <sz val="11"/>
        <color theme="1"/>
        <rFont val="宋体"/>
        <family val="3"/>
        <charset val="134"/>
      </rPr>
      <t>商住</t>
    </r>
    <phoneticPr fontId="143" type="noConversion"/>
  </si>
  <si>
    <r>
      <rPr>
        <sz val="11"/>
        <color theme="1"/>
        <rFont val="宋体"/>
        <family val="3"/>
        <charset val="134"/>
      </rPr>
      <t>典型户型修正</t>
    </r>
    <r>
      <rPr>
        <sz val="11"/>
        <color theme="1"/>
        <rFont val="Arial"/>
        <family val="2"/>
      </rPr>
      <t>-</t>
    </r>
    <r>
      <rPr>
        <sz val="11"/>
        <color theme="1"/>
        <rFont val="宋体"/>
        <family val="3"/>
        <charset val="134"/>
      </rPr>
      <t>底商</t>
    </r>
    <phoneticPr fontId="143" type="noConversion"/>
  </si>
  <si>
    <t>简单装修</t>
    <phoneticPr fontId="143" type="noConversion"/>
  </si>
  <si>
    <t>收益法（汇总）</t>
  </si>
  <si>
    <t>典型户型修正（汇总）</t>
  </si>
  <si>
    <t>典型户型修正（汇总）</t>
    <phoneticPr fontId="16" type="noConversion"/>
  </si>
  <si>
    <t>昆仑信托有限责任公司</t>
    <phoneticPr fontId="6" type="noConversion"/>
  </si>
  <si>
    <t>2018-1-0622-P01DYGJ1</t>
    <phoneticPr fontId="6" type="noConversion"/>
  </si>
  <si>
    <t>建筑物价值</t>
  </si>
  <si>
    <t>土地面积</t>
  </si>
  <si>
    <t>北京珠江投资开发有限公司</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</si>
  <si>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京房权通字第</t>
    </r>
    <r>
      <rPr>
        <sz val="12"/>
        <color theme="9" tint="-0.249977111117893"/>
        <rFont val="Arial"/>
        <family val="2"/>
      </rPr>
      <t>1427796</t>
    </r>
    <r>
      <rPr>
        <sz val="12"/>
        <color theme="9" tint="-0.249977111117893"/>
        <rFont val="宋体"/>
        <family val="3"/>
        <charset val="134"/>
      </rPr>
      <t>号等</t>
    </r>
    <r>
      <rPr>
        <sz val="12"/>
        <color theme="9" tint="-0.249977111117893"/>
        <rFont val="Arial"/>
        <family val="2"/>
      </rPr>
      <t>]</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</si>
</sst>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50"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20" fillId="0" borderId="2" xfId="0" applyFont="1" applyBorder="1" applyAlignment="1" applyProtection="1">
      <alignment horizontal="center" vertical="center" wrapText="1"/>
      <protection locked="0"/>
    </xf>
    <xf numFmtId="176" fontId="106" fillId="0" borderId="1" xfId="0" applyNumberFormat="1" applyFont="1" applyBorder="1" applyAlignment="1" applyProtection="1">
      <alignment vertical="center" wrapText="1"/>
      <protection locked="0"/>
    </xf>
    <xf numFmtId="49" fontId="98" fillId="0" borderId="7" xfId="0" applyNumberFormat="1" applyFont="1" applyFill="1" applyBorder="1" applyAlignment="1" applyProtection="1">
      <alignment horizontal="center" vertical="center" wrapText="1"/>
      <protection locked="0"/>
    </xf>
    <xf numFmtId="9" fontId="54" fillId="0" borderId="3"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399229</xdr:colOff>
      <xdr:row>34</xdr:row>
      <xdr:rowOff>104034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571429" cy="5933334"/>
        </a:xfrm>
        <a:prstGeom prst="rect">
          <a:avLst/>
        </a:prstGeom>
      </xdr:spPr>
    </xdr:pic>
    <xdr:clientData/>
  </xdr:twoCellAnchor>
  <xdr:twoCellAnchor editAs="oneCell">
    <xdr:from>
      <xdr:col>10</xdr:col>
      <xdr:colOff>0</xdr:colOff>
      <xdr:row>0</xdr:row>
      <xdr:rowOff>0</xdr:rowOff>
    </xdr:from>
    <xdr:to>
      <xdr:col>22</xdr:col>
      <xdr:colOff>675163</xdr:colOff>
      <xdr:row>30</xdr:row>
      <xdr:rowOff>151738</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0" y="0"/>
          <a:ext cx="8904763" cy="5295238"/>
        </a:xfrm>
        <a:prstGeom prst="rect">
          <a:avLst/>
        </a:prstGeom>
      </xdr:spPr>
    </xdr:pic>
    <xdr:clientData/>
  </xdr:twoCellAnchor>
  <xdr:twoCellAnchor editAs="oneCell">
    <xdr:from>
      <xdr:col>23</xdr:col>
      <xdr:colOff>0</xdr:colOff>
      <xdr:row>0</xdr:row>
      <xdr:rowOff>0</xdr:rowOff>
    </xdr:from>
    <xdr:to>
      <xdr:col>29</xdr:col>
      <xdr:colOff>313772</xdr:colOff>
      <xdr:row>31</xdr:row>
      <xdr:rowOff>161241</xdr:rowOff>
    </xdr:to>
    <xdr:pic>
      <xdr:nvPicPr>
        <xdr:cNvPr id="5" name="图片 4"/>
        <xdr:cNvPicPr>
          <a:picLocks noChangeAspect="1"/>
        </xdr:cNvPicPr>
      </xdr:nvPicPr>
      <xdr:blipFill>
        <a:blip xmlns:r="http://schemas.openxmlformats.org/officeDocument/2006/relationships" r:embed="rId3"/>
        <a:stretch>
          <a:fillRect/>
        </a:stretch>
      </xdr:blipFill>
      <xdr:spPr>
        <a:xfrm>
          <a:off x="15773400" y="0"/>
          <a:ext cx="4428572" cy="54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237496</xdr:colOff>
      <xdr:row>29</xdr:row>
      <xdr:rowOff>75569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38096" cy="5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 sqref="B3"/>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北京市兴贸三街18号院四季悦城项目商业、办公用房房地产抵押价值预评估</v>
      </c>
    </row>
    <row r="3" spans="1:2" s="1593" customFormat="1">
      <c r="A3" s="1591" t="s">
        <v>1221</v>
      </c>
      <c r="B3" s="1592" t="str">
        <f>'预评函-封皮'!B40</f>
        <v>北京珠江投资开发有限公司</v>
      </c>
    </row>
    <row r="4" spans="1:2" s="1593" customFormat="1">
      <c r="A4" s="1591" t="s">
        <v>1222</v>
      </c>
      <c r="B4" s="1592" t="str">
        <f ca="1">'预评函-封皮'!B46</f>
        <v>欧红伟（注册号：1120000080)、崔锴（注册号：1120100036)</v>
      </c>
    </row>
    <row r="5" spans="1:2" s="1587" customFormat="1" ht="15" thickBot="1">
      <c r="A5" s="1594" t="s">
        <v>1223</v>
      </c>
      <c r="B5" s="1595" t="str">
        <f>'预评函-封皮'!B49</f>
        <v>康正预评字2018-1-0622-P01DYGJ1号</v>
      </c>
    </row>
    <row r="6" spans="1:2" s="1590" customFormat="1" ht="15" thickTop="1">
      <c r="A6" s="1588" t="s">
        <v>1224</v>
      </c>
      <c r="B6" s="1589" t="str">
        <f>'预评函-1'!A4</f>
        <v>受贵公司委托，我公司对北京市兴贸三街18号院四季悦城项目商业、办公用房房地产抵押价值进行了预评估。</v>
      </c>
    </row>
    <row r="7" spans="1:2" s="1593" customFormat="1">
      <c r="A7" s="1591" t="s">
        <v>1264</v>
      </c>
      <c r="B7" s="1592" t="str">
        <f>'预评函-1'!A7</f>
        <v>估价对象为北京市兴贸三街18号院四季悦城项目商业、办公用房房地产，为所有。根据《国有土地使用证》[京通国用(2013出）第00173号]，估价对象（分摊）出让国有建设用地使用权面积为0平方米。根据《房屋所有权证》[X京房权通字第1427796号等]，估价对象建筑面积为25398.79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兴贸三街18号院四季悦城项目商业、办公用房房地产,属开发建设的办公项目，该项目尚在开发建设中。根据《国有土地使用证》[京通国用(2013出）第00173号]，估价对象（分摊）出让国有建设用地使用权面积为0平方米。根据《房屋所有权证》[X京房权通字第1427796号等]，估价对象规划建筑面积为25398.79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为估价委托人在向昆仑信托有限责任公司办理贷款手续过程中，确定房地产抵押贷款额度提供参考依据而评估房地产抵押价值。</v>
      </c>
    </row>
    <row r="12" spans="1:2" s="1593" customFormat="1">
      <c r="A12" s="1591" t="s">
        <v>1226</v>
      </c>
      <c r="B12" s="1592" t="str">
        <f>'预评函-1'!A15</f>
        <v>2018年8月23日（评估专业人员实地查勘之日）</v>
      </c>
    </row>
    <row r="13" spans="1:2" s="1593" customFormat="1">
      <c r="A13" s="1591" t="s">
        <v>1227</v>
      </c>
      <c r="B13" s="1592" t="str">
        <f>'预评函-1'!A18</f>
        <v>本次估价的“房地产价值”是指在正常市场情况下，在价值时点2018年8月23日，估价对象规划用途为商业、办公，土地取得方式为出让，出让国有建设用地使用权剩余土地使用年限为33.09年、43.10年，假定未设立法定优先受偿款下的房地产市场价值。</v>
      </c>
    </row>
    <row r="14" spans="1:2" s="1593" customFormat="1">
      <c r="A14" s="1591" t="s">
        <v>1228</v>
      </c>
      <c r="B14" s="1592" t="str">
        <f>'预评函-1'!A19</f>
        <v>其中，“出让国有建设用地使用权价值”是指估价对象用途为商业、办公，实际开发程度为宗地红线外“七通”（即通路、通电、通讯、通上水、通下水、通热、燃气）、红线内场地平整条件下，剩余土地使用年限为33.09年、43.10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本次评估采用的主估价方法为收益法和基准地价系数修正法。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70784</v>
      </c>
    </row>
    <row r="21" spans="1:2" s="1593" customFormat="1">
      <c r="A21" s="1591" t="s">
        <v>1235</v>
      </c>
      <c r="B21" s="1592">
        <f ca="1">'预评函-2'!D7</f>
        <v>27869</v>
      </c>
    </row>
    <row r="22" spans="1:2" s="1593" customFormat="1">
      <c r="A22" s="1591" t="s">
        <v>1236</v>
      </c>
      <c r="B22" s="1592" t="str">
        <f ca="1">'预评函-2'!D6</f>
        <v>柒亿零柒佰捌拾肆万元整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70784</v>
      </c>
    </row>
    <row r="31" spans="1:2" s="1593" customFormat="1">
      <c r="A31" s="1591" t="s">
        <v>1274</v>
      </c>
      <c r="B31" s="1592">
        <f ca="1">'预评函-2'!D15</f>
        <v>27869</v>
      </c>
    </row>
    <row r="32" spans="1:2" s="1593" customFormat="1">
      <c r="A32" s="1591" t="s">
        <v>1241</v>
      </c>
      <c r="B32" s="1592" t="str">
        <f ca="1">'预评函-2'!D14</f>
        <v>柒亿零柒佰捌拾肆万元整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北京市兴贸三街18号院四季悦城项目商业、办公用房房地产</v>
      </c>
    </row>
    <row r="42" spans="1:2" s="1593" customFormat="1">
      <c r="A42" s="1591" t="s">
        <v>1288</v>
      </c>
      <c r="B42" s="1592" t="str">
        <f>'预评函-3'!B2</f>
        <v>建筑面积</v>
      </c>
    </row>
    <row r="43" spans="1:2" s="1593" customFormat="1">
      <c r="A43" s="1591" t="s">
        <v>1289</v>
      </c>
      <c r="B43" s="1592">
        <f>'预评函-3'!B4</f>
        <v>25398.790000000015</v>
      </c>
    </row>
    <row r="44" spans="1:2" s="1593" customFormat="1">
      <c r="A44" s="1591" t="s">
        <v>1273</v>
      </c>
      <c r="B44" s="1592" t="str">
        <f>'预评函-3'!C2</f>
        <v>(分摊)土地面积</v>
      </c>
    </row>
    <row r="45" spans="1:2" s="1593" customFormat="1">
      <c r="A45" s="1591" t="s">
        <v>1245</v>
      </c>
      <c r="B45" s="1592">
        <f>'预评函-3'!C4</f>
        <v>0</v>
      </c>
    </row>
    <row r="46" spans="1:2" s="1593" customFormat="1">
      <c r="A46" s="1591" t="s">
        <v>1271</v>
      </c>
      <c r="B46" s="1592" t="str">
        <f>'预评函-3'!D2</f>
        <v>出让国有建设用地使用权价值</v>
      </c>
    </row>
    <row r="47" spans="1:2" s="1593" customFormat="1">
      <c r="A47" s="1591" t="s">
        <v>1246</v>
      </c>
      <c r="B47" s="1592">
        <f ca="1">'预评函-3'!D4</f>
        <v>6087</v>
      </c>
    </row>
    <row r="48" spans="1:2" s="1593" customFormat="1">
      <c r="A48" s="1591" t="s">
        <v>1247</v>
      </c>
      <c r="B48" s="1592">
        <f ca="1">'预评函-3'!E4</f>
        <v>2397</v>
      </c>
    </row>
    <row r="49" spans="1:2" s="1593" customFormat="1">
      <c r="A49" s="1591" t="s">
        <v>1248</v>
      </c>
      <c r="B49" s="1592" t="str">
        <f ca="1">'预评函-3'!D5</f>
        <v>陆仟零捌拾柒万元整</v>
      </c>
    </row>
    <row r="50" spans="1:2" s="1593" customFormat="1">
      <c r="A50" s="1591" t="s">
        <v>1272</v>
      </c>
      <c r="B50" s="1592" t="str">
        <f>'预评函-3'!F2</f>
        <v>建筑物价值</v>
      </c>
    </row>
    <row r="51" spans="1:2" s="1593" customFormat="1">
      <c r="A51" s="1591" t="s">
        <v>1249</v>
      </c>
      <c r="B51" s="1592">
        <f ca="1">'预评函-3'!F4</f>
        <v>64697</v>
      </c>
    </row>
    <row r="52" spans="1:2" s="1593" customFormat="1">
      <c r="A52" s="1591" t="s">
        <v>1250</v>
      </c>
      <c r="B52" s="1592">
        <f ca="1">'预评函-3'!G4</f>
        <v>25472</v>
      </c>
    </row>
    <row r="53" spans="1:2" s="1593" customFormat="1">
      <c r="A53" s="1591" t="s">
        <v>1278</v>
      </c>
      <c r="B53" s="1592" t="str">
        <f ca="1">'预评函-3'!F5</f>
        <v>陆亿肆仟陆佰玖拾柒万元整</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（1）根据估价对象《房屋所有权证》复印件、《国有土地使用权》复印件，截至价值时点，估价对象抵押权未见登记。</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欧红伟</v>
      </c>
    </row>
    <row r="71" spans="1:2">
      <c r="A71" s="1591" t="s">
        <v>1261</v>
      </c>
      <c r="B71" s="1592">
        <f ca="1">'预评函-4'!B4</f>
        <v>1120000080</v>
      </c>
    </row>
    <row r="72" spans="1:2">
      <c r="A72" s="1591" t="s">
        <v>1262</v>
      </c>
      <c r="B72" s="1600" t="str">
        <f>'预评函-4'!A5</f>
        <v>崔锴</v>
      </c>
    </row>
    <row r="73" spans="1:2" s="1587" customFormat="1" ht="15" thickBot="1">
      <c r="A73" s="1594" t="s">
        <v>1263</v>
      </c>
      <c r="B73" s="1595">
        <f ca="1">'预评函-4'!B5</f>
        <v>1120100036</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6" t="s">
        <v>3348</v>
      </c>
      <c r="C5" s="2014" t="s">
        <v>763</v>
      </c>
      <c r="F5" s="2015" t="s">
        <v>1732</v>
      </c>
      <c r="H5" s="2015" t="s">
        <v>1733</v>
      </c>
      <c r="I5" s="2015" t="s">
        <v>1734</v>
      </c>
      <c r="K5" s="2015" t="s">
        <v>1735</v>
      </c>
      <c r="L5" s="2015" t="s">
        <v>1735</v>
      </c>
      <c r="M5" s="2015" t="s">
        <v>1735</v>
      </c>
      <c r="N5" s="2015" t="s">
        <v>1735</v>
      </c>
      <c r="O5" s="2015" t="s">
        <v>1735</v>
      </c>
      <c r="P5" s="2015" t="s">
        <v>1735</v>
      </c>
      <c r="Q5" s="2015" t="s">
        <v>1735</v>
      </c>
      <c r="R5" s="2015" t="s">
        <v>1142</v>
      </c>
      <c r="S5" s="2015" t="s">
        <v>1735</v>
      </c>
      <c r="T5" s="2015" t="s">
        <v>1736</v>
      </c>
      <c r="U5" s="2015" t="s">
        <v>1735</v>
      </c>
      <c r="W5" s="2015" t="s">
        <v>1735</v>
      </c>
    </row>
    <row r="6" spans="1:23">
      <c r="A6" s="2013" t="s">
        <v>1737</v>
      </c>
      <c r="B6" s="2016" t="s">
        <v>1146</v>
      </c>
      <c r="C6" s="2019" t="s">
        <v>30</v>
      </c>
      <c r="F6" s="2015" t="s">
        <v>1733</v>
      </c>
      <c r="H6" s="2015" t="s">
        <v>1738</v>
      </c>
      <c r="I6" s="2015" t="s">
        <v>1739</v>
      </c>
      <c r="K6" s="2015" t="s">
        <v>1740</v>
      </c>
      <c r="L6" s="2015" t="s">
        <v>1740</v>
      </c>
      <c r="M6" s="2015" t="s">
        <v>1740</v>
      </c>
      <c r="N6" s="2015" t="s">
        <v>1740</v>
      </c>
      <c r="O6" s="2015" t="s">
        <v>1740</v>
      </c>
      <c r="P6" s="2015" t="s">
        <v>1740</v>
      </c>
      <c r="Q6" s="2015" t="s">
        <v>1740</v>
      </c>
      <c r="R6" s="2015" t="s">
        <v>1143</v>
      </c>
      <c r="S6" s="2015" t="s">
        <v>1740</v>
      </c>
      <c r="T6" s="2015"/>
      <c r="U6" s="2015" t="s">
        <v>1740</v>
      </c>
      <c r="W6" s="2015" t="s">
        <v>1740</v>
      </c>
    </row>
    <row r="7" spans="1:23">
      <c r="A7" s="2013" t="s">
        <v>1741</v>
      </c>
      <c r="B7" s="2016" t="s">
        <v>1147</v>
      </c>
      <c r="C7" s="2014" t="s">
        <v>31</v>
      </c>
      <c r="F7" s="2015" t="s">
        <v>1742</v>
      </c>
      <c r="H7" s="2015" t="s">
        <v>1743</v>
      </c>
      <c r="I7" s="2015" t="s">
        <v>1744</v>
      </c>
    </row>
    <row r="8" spans="1:23">
      <c r="A8" s="2013" t="s">
        <v>1745</v>
      </c>
      <c r="B8" s="2013" t="s">
        <v>1746</v>
      </c>
      <c r="C8" s="2014" t="s">
        <v>764</v>
      </c>
      <c r="F8" s="2015" t="s">
        <v>1747</v>
      </c>
      <c r="H8" s="2015"/>
      <c r="I8" s="2015" t="s">
        <v>1748</v>
      </c>
    </row>
    <row r="9" spans="1:23">
      <c r="A9" s="2013" t="s">
        <v>1749</v>
      </c>
      <c r="B9" s="2013" t="s">
        <v>1750</v>
      </c>
      <c r="C9" s="2014" t="s">
        <v>765</v>
      </c>
      <c r="F9" s="2015" t="s">
        <v>1751</v>
      </c>
      <c r="H9" s="2015"/>
    </row>
    <row r="10" spans="1:23">
      <c r="A10" s="2013" t="s">
        <v>1752</v>
      </c>
      <c r="B10" s="2013" t="s">
        <v>1753</v>
      </c>
      <c r="C10" s="2014" t="s">
        <v>766</v>
      </c>
      <c r="F10" s="2015" t="s">
        <v>16</v>
      </c>
    </row>
    <row r="11" spans="1:23">
      <c r="A11" s="2013" t="s">
        <v>1754</v>
      </c>
      <c r="B11" s="2013" t="s">
        <v>1755</v>
      </c>
      <c r="C11" s="2014" t="s">
        <v>767</v>
      </c>
    </row>
    <row r="12" spans="1:23">
      <c r="A12" s="2013" t="s">
        <v>1756</v>
      </c>
      <c r="B12" s="2013" t="s">
        <v>1757</v>
      </c>
      <c r="C12" s="2014" t="s">
        <v>768</v>
      </c>
    </row>
    <row r="13" spans="1:23">
      <c r="A13" s="2013" t="s">
        <v>1758</v>
      </c>
      <c r="B13" s="2013" t="s">
        <v>1759</v>
      </c>
      <c r="C13" s="2014" t="s">
        <v>769</v>
      </c>
    </row>
    <row r="14" spans="1:23">
      <c r="A14" s="2013" t="s">
        <v>1760</v>
      </c>
      <c r="B14" s="2013" t="s">
        <v>1761</v>
      </c>
      <c r="C14" s="2015" t="s">
        <v>16</v>
      </c>
    </row>
    <row r="15" spans="1:23">
      <c r="A15" s="2013" t="s">
        <v>1762</v>
      </c>
      <c r="B15" s="2013" t="s">
        <v>1763</v>
      </c>
      <c r="C15" s="2014"/>
    </row>
    <row r="16" spans="1:23">
      <c r="A16" s="2013" t="s">
        <v>1764</v>
      </c>
      <c r="B16" s="2013" t="s">
        <v>756</v>
      </c>
      <c r="C16" s="2014"/>
    </row>
    <row r="17" spans="1:3">
      <c r="A17" s="2013" t="s">
        <v>1765</v>
      </c>
      <c r="B17" s="2013" t="s">
        <v>3350</v>
      </c>
      <c r="C17" s="2014"/>
    </row>
    <row r="18" spans="1:3">
      <c r="A18" s="2013" t="s">
        <v>1766</v>
      </c>
      <c r="B18" s="2013" t="s">
        <v>3352</v>
      </c>
      <c r="C18" s="2014"/>
    </row>
    <row r="19" spans="1:3">
      <c r="A19" s="2013" t="s">
        <v>1767</v>
      </c>
      <c r="B19" s="2013" t="s">
        <v>3478</v>
      </c>
      <c r="C19" s="2014"/>
    </row>
    <row r="20" spans="1:3">
      <c r="A20" s="2013" t="s">
        <v>1768</v>
      </c>
      <c r="B20" s="2013" t="s">
        <v>757</v>
      </c>
      <c r="C20" s="2014"/>
    </row>
    <row r="21" spans="1:3">
      <c r="A21" s="2013" t="s">
        <v>1769</v>
      </c>
      <c r="B21" s="2013" t="s">
        <v>757</v>
      </c>
      <c r="C21" s="2014"/>
    </row>
    <row r="22" spans="1:3">
      <c r="A22" s="2013" t="s">
        <v>1770</v>
      </c>
      <c r="B22" s="2013" t="s">
        <v>757</v>
      </c>
      <c r="C22" s="2014"/>
    </row>
    <row r="23" spans="1:3">
      <c r="A23" s="2013" t="s">
        <v>1771</v>
      </c>
      <c r="B23" s="2013" t="s">
        <v>757</v>
      </c>
      <c r="C23" s="2014"/>
    </row>
    <row r="24" spans="1:3">
      <c r="A24" s="2013" t="s">
        <v>1772</v>
      </c>
      <c r="B24" s="2013" t="s">
        <v>757</v>
      </c>
      <c r="C24" s="2014"/>
    </row>
    <row r="25" spans="1:3">
      <c r="A25" s="2013" t="s">
        <v>1773</v>
      </c>
      <c r="B25" s="2013" t="s">
        <v>757</v>
      </c>
      <c r="C25" s="2014"/>
    </row>
    <row r="26" spans="1:3">
      <c r="A26" s="2013" t="s">
        <v>1774</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兴贸三街18号院四季悦城项目商业、办公用房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15"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23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15"/>
      <c r="B54" s="2021" t="s">
        <v>864</v>
      </c>
      <c r="C54" s="2018" t="s">
        <v>1281</v>
      </c>
    </row>
    <row r="55" spans="1:4">
      <c r="A55" s="3015"/>
      <c r="B55" s="2021" t="s">
        <v>865</v>
      </c>
      <c r="C55" s="2018" t="s">
        <v>1282</v>
      </c>
    </row>
    <row r="56" spans="1:4">
      <c r="A56" s="3015"/>
      <c r="B56" s="2021" t="s">
        <v>866</v>
      </c>
      <c r="C56" s="2018" t="s">
        <v>1286</v>
      </c>
    </row>
    <row r="57" spans="1:4">
      <c r="A57" s="3015"/>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E17" sqref="E17:I1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1775</v>
      </c>
      <c r="B1" s="3016" t="str">
        <f>IF(B10="北京市","北京市",C10)&amp;F10&amp;IF(结果表!G1="在建","出让国有建设用地使用权及在建建筑物",IF(结果表!G1="土地","出让国有建设用地使用权",))&amp;B9&amp;"预评估"</f>
        <v>北京市兴贸三街18号院四季悦城项目商业、办公用房房地产抵押价值预评估</v>
      </c>
      <c r="C1" s="3017"/>
      <c r="D1" s="3017"/>
      <c r="E1" s="3017"/>
      <c r="F1" s="3017"/>
      <c r="G1" s="3017"/>
      <c r="H1" s="3017"/>
      <c r="I1" s="301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北京市兴贸三街18号院四季悦城项目商业、办公用房房地产抵押价值</v>
      </c>
    </row>
    <row r="2" spans="1:19" ht="18" customHeight="1">
      <c r="A2" s="2025" t="s">
        <v>1776</v>
      </c>
      <c r="B2" s="1039" t="s">
        <v>3480</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北京市兴贸三街18号院四季悦城项目商业、办公用房房地产</v>
      </c>
    </row>
    <row r="3" spans="1:19" ht="18" customHeight="1">
      <c r="A3" s="2034" t="s">
        <v>1777</v>
      </c>
      <c r="B3" s="2035">
        <v>43335</v>
      </c>
      <c r="C3" s="2036" t="s">
        <v>1778</v>
      </c>
      <c r="D3" s="2035">
        <f>B3</f>
        <v>43335</v>
      </c>
      <c r="E3" s="2025"/>
      <c r="F3" s="2025"/>
      <c r="G3" s="2025"/>
      <c r="H3" s="2025"/>
      <c r="I3" s="2025"/>
      <c r="J3" s="2025"/>
      <c r="K3" s="2026"/>
      <c r="L3" s="2027"/>
      <c r="M3" s="2027"/>
      <c r="N3" s="2028"/>
      <c r="O3" s="2029"/>
      <c r="P3" s="2028"/>
      <c r="Q3" s="2028"/>
      <c r="R3" s="2028"/>
      <c r="S3" s="2030"/>
    </row>
    <row r="4" spans="1:19" ht="18" customHeight="1" thickBot="1">
      <c r="A4" s="2037" t="s">
        <v>1779</v>
      </c>
      <c r="B4" s="2038" t="s">
        <v>3035</v>
      </c>
      <c r="C4" s="1037">
        <f ca="1">SUMIF(注册房地产估价师,B4,估价师及机构信息!B3:B24)</f>
        <v>1120000080</v>
      </c>
      <c r="D4" s="2038" t="s">
        <v>3036</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欧红伟（注册号：1120000080)、崔锴（注册号：1120100036)</v>
      </c>
      <c r="L4" s="2027"/>
      <c r="M4" s="2027"/>
      <c r="N4" s="2028"/>
      <c r="O4" s="2029"/>
      <c r="P4" s="2028"/>
      <c r="Q4" s="2028"/>
      <c r="R4" s="2028"/>
      <c r="S4" s="2030"/>
    </row>
    <row r="5" spans="1:19" ht="18" customHeight="1" thickTop="1">
      <c r="A5" s="2043" t="s">
        <v>1780</v>
      </c>
      <c r="B5" s="2946" t="s">
        <v>3483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1781</v>
      </c>
      <c r="B6" s="2947" t="s">
        <v>3479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1782</v>
      </c>
      <c r="B7" s="2050"/>
      <c r="C7" s="2047"/>
      <c r="D7" s="2048"/>
      <c r="E7" s="2033"/>
      <c r="F7" s="2041"/>
      <c r="G7" s="2041"/>
      <c r="H7" s="2041"/>
      <c r="I7" s="2041"/>
      <c r="J7" s="2041"/>
      <c r="K7" s="2051"/>
      <c r="L7" s="2027"/>
      <c r="M7" s="2027"/>
      <c r="N7" s="2028"/>
      <c r="O7" s="2029"/>
      <c r="P7" s="2028"/>
      <c r="Q7" s="2028"/>
      <c r="R7" s="2028"/>
    </row>
    <row r="8" spans="1:19" ht="18" customHeight="1">
      <c r="A8" s="2046" t="s">
        <v>1783</v>
      </c>
      <c r="B8" s="2052" t="s">
        <v>3037</v>
      </c>
      <c r="C8" s="2053"/>
      <c r="D8" s="3019" t="s">
        <v>1784</v>
      </c>
      <c r="E8" s="2054" t="s">
        <v>3038</v>
      </c>
      <c r="F8" s="2055"/>
      <c r="G8" s="2025"/>
      <c r="H8" s="2025"/>
      <c r="I8" s="2025"/>
      <c r="J8" s="2041"/>
      <c r="K8" s="2042"/>
      <c r="L8" s="2027"/>
      <c r="M8" s="2027"/>
      <c r="N8" s="2028"/>
      <c r="O8" s="2029"/>
      <c r="P8" s="2028"/>
      <c r="Q8" s="2028"/>
      <c r="R8" s="2028"/>
    </row>
    <row r="9" spans="1:19" ht="18" customHeight="1" thickBot="1">
      <c r="A9" s="2039" t="s">
        <v>1785</v>
      </c>
      <c r="B9" s="2056" t="s">
        <v>3038</v>
      </c>
      <c r="C9" s="2057"/>
      <c r="D9" s="3020"/>
      <c r="E9" s="2056" t="s">
        <v>70</v>
      </c>
      <c r="F9" s="2058"/>
      <c r="G9" s="2059"/>
      <c r="H9" s="2059"/>
      <c r="I9" s="2059"/>
      <c r="J9" s="2041"/>
      <c r="K9" s="2051"/>
      <c r="L9" s="2027"/>
      <c r="M9" s="2027"/>
      <c r="N9" s="2028"/>
      <c r="O9" s="2029"/>
      <c r="P9" s="2028"/>
      <c r="Q9" s="2028"/>
      <c r="R9" s="2028"/>
    </row>
    <row r="10" spans="1:19" ht="18" customHeight="1" thickTop="1">
      <c r="A10" s="2060" t="s">
        <v>1786</v>
      </c>
      <c r="B10" s="2061" t="s">
        <v>3039</v>
      </c>
      <c r="C10" s="2062"/>
      <c r="D10" s="2045"/>
      <c r="E10" s="2063" t="s">
        <v>1787</v>
      </c>
      <c r="F10" s="2948" t="s">
        <v>3460</v>
      </c>
      <c r="G10" s="2064"/>
      <c r="H10" s="2065"/>
      <c r="I10" s="2045"/>
      <c r="J10" s="2041"/>
      <c r="K10" s="2051"/>
      <c r="L10" s="2027"/>
      <c r="M10" s="2027"/>
      <c r="N10" s="2028"/>
      <c r="O10" s="2029"/>
      <c r="P10" s="2028"/>
      <c r="Q10" s="2028"/>
      <c r="R10" s="2028"/>
    </row>
    <row r="11" spans="1:19" ht="18" customHeight="1">
      <c r="A11" s="2066" t="s">
        <v>1788</v>
      </c>
      <c r="B11" s="2067" t="s">
        <v>3040</v>
      </c>
      <c r="C11" s="2068"/>
      <c r="D11" s="2069"/>
      <c r="E11" s="2041"/>
      <c r="F11" s="2041"/>
      <c r="G11" s="2041"/>
      <c r="H11" s="2041"/>
      <c r="I11" s="2041"/>
      <c r="J11" s="2041"/>
      <c r="K11" s="2051"/>
      <c r="L11" s="2027"/>
      <c r="M11" s="2027"/>
      <c r="N11" s="2028"/>
      <c r="O11" s="2029"/>
      <c r="P11" s="2028"/>
      <c r="Q11" s="2028"/>
      <c r="R11" s="2028"/>
    </row>
    <row r="12" spans="1:19" ht="18" customHeight="1">
      <c r="A12" s="2070" t="s">
        <v>1789</v>
      </c>
      <c r="B12" s="2067" t="s">
        <v>3041</v>
      </c>
      <c r="C12" s="2071" t="s">
        <v>1790</v>
      </c>
      <c r="D12" s="2072" t="s">
        <v>1791</v>
      </c>
      <c r="E12" s="2072" t="s">
        <v>1792</v>
      </c>
      <c r="F12" s="2072" t="s">
        <v>1793</v>
      </c>
      <c r="G12" s="2072" t="s">
        <v>1794</v>
      </c>
      <c r="H12" s="2072" t="s">
        <v>1795</v>
      </c>
      <c r="I12" s="2072" t="s">
        <v>1796</v>
      </c>
      <c r="J12" s="2041"/>
      <c r="K12" s="2051"/>
      <c r="L12" s="2027"/>
      <c r="M12" s="2027"/>
      <c r="N12" s="2028"/>
      <c r="O12" s="2029"/>
      <c r="P12" s="2028"/>
      <c r="Q12" s="2028"/>
      <c r="R12" s="2028"/>
    </row>
    <row r="13" spans="1:19" ht="18" customHeight="1">
      <c r="A13" s="2073"/>
      <c r="B13" s="2074"/>
      <c r="C13" s="2075" t="s">
        <v>1797</v>
      </c>
      <c r="D13" s="2076"/>
      <c r="E13" s="2076">
        <v>55415</v>
      </c>
      <c r="F13" s="2076">
        <v>59068</v>
      </c>
      <c r="G13" s="2076"/>
      <c r="H13" s="2076"/>
      <c r="I13" s="1047"/>
      <c r="J13" s="2041"/>
      <c r="K13" s="2051"/>
      <c r="L13" s="2027"/>
      <c r="M13" s="2027"/>
      <c r="N13" s="2028"/>
      <c r="O13" s="2029"/>
      <c r="P13" s="2028"/>
      <c r="Q13" s="2028"/>
      <c r="R13" s="2028"/>
    </row>
    <row r="14" spans="1:19" ht="18" customHeight="1">
      <c r="A14" s="2073"/>
      <c r="B14" s="2074"/>
      <c r="C14" s="2075" t="s">
        <v>1798</v>
      </c>
      <c r="D14" s="1050"/>
      <c r="E14" s="1050">
        <v>40</v>
      </c>
      <c r="F14" s="1050">
        <v>50</v>
      </c>
      <c r="G14" s="1050"/>
      <c r="H14" s="1050"/>
      <c r="I14" s="1050"/>
      <c r="J14" s="2041"/>
      <c r="K14" s="2077"/>
      <c r="L14" s="2027"/>
      <c r="M14" s="2027"/>
      <c r="N14" s="2028"/>
      <c r="O14" s="2029"/>
      <c r="P14" s="2028"/>
      <c r="Q14" s="2028"/>
      <c r="R14" s="2028"/>
    </row>
    <row r="15" spans="1:19" ht="18" customHeight="1">
      <c r="A15" s="2060"/>
      <c r="B15" s="2078"/>
      <c r="C15" s="2075" t="s">
        <v>1799</v>
      </c>
      <c r="D15" s="1049" t="str">
        <f>IF(B12="出让",IF(D13="","",ROUNDDOWN(MIN((D13-$D$3)/365,D14),2)),D14)</f>
        <v/>
      </c>
      <c r="E15" s="1049">
        <f>IF(B12="出让",IF(E13="","",ROUNDDOWN(MIN((E13-$D$3)/365,E14),2)),E14)</f>
        <v>33.090000000000003</v>
      </c>
      <c r="F15" s="1049">
        <f>IF(B12="出让",IF(F13="","",ROUNDDOWN(MIN((F13-$D$3)/365,F14),2)),F14)</f>
        <v>43.1</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3" t="s">
        <v>1800</v>
      </c>
      <c r="B16" s="3026" t="s">
        <v>3345</v>
      </c>
      <c r="C16" s="3027"/>
      <c r="D16" s="3028"/>
      <c r="E16" s="2082" t="s">
        <v>1801</v>
      </c>
      <c r="F16" s="3029" t="s">
        <v>3346</v>
      </c>
      <c r="G16" s="3030"/>
      <c r="H16" s="3030"/>
      <c r="I16" s="3031"/>
      <c r="J16" s="2028"/>
      <c r="K16" s="2079"/>
      <c r="L16" s="2080"/>
      <c r="M16" s="2080"/>
      <c r="N16" s="2081"/>
      <c r="O16" s="2080"/>
      <c r="P16" s="2081"/>
      <c r="Q16" s="2028"/>
      <c r="R16" s="2028"/>
    </row>
    <row r="17" spans="1:22" ht="18" customHeight="1">
      <c r="A17" s="2083" t="s">
        <v>1802</v>
      </c>
      <c r="B17" s="2034" t="s">
        <v>1803</v>
      </c>
      <c r="C17" s="1054">
        <f>'数据-汇总表'!E3</f>
        <v>25398.790000000015</v>
      </c>
      <c r="D17" s="2084" t="s">
        <v>1804</v>
      </c>
      <c r="E17" s="3032" t="s">
        <v>3484</v>
      </c>
      <c r="F17" s="3033"/>
      <c r="G17" s="3033"/>
      <c r="H17" s="3033"/>
      <c r="I17" s="3034"/>
      <c r="J17" s="2028"/>
      <c r="K17" s="2085"/>
      <c r="L17" s="2080"/>
      <c r="M17" s="2080"/>
      <c r="N17" s="2081"/>
      <c r="O17" s="2080"/>
      <c r="P17" s="2081"/>
      <c r="Q17" s="2028"/>
      <c r="R17" s="2028"/>
      <c r="S17" s="2028"/>
      <c r="T17" s="2028"/>
      <c r="U17" s="2028"/>
      <c r="V17" s="2028"/>
    </row>
    <row r="18" spans="1:22" ht="36" customHeight="1" thickBot="1">
      <c r="A18" s="2086" t="s">
        <v>70</v>
      </c>
      <c r="B18" s="2037" t="s">
        <v>1805</v>
      </c>
      <c r="C18" s="1444">
        <f>'数据-汇总表'!D3</f>
        <v>0</v>
      </c>
      <c r="D18" s="2087" t="s">
        <v>1804</v>
      </c>
      <c r="E18" s="3035" t="s">
        <v>3042</v>
      </c>
      <c r="F18" s="3036"/>
      <c r="G18" s="3036"/>
      <c r="H18" s="3036"/>
      <c r="I18" s="3037"/>
      <c r="J18" s="2028"/>
      <c r="K18" s="2085"/>
      <c r="L18" s="2080"/>
      <c r="M18" s="2080"/>
      <c r="N18" s="2081"/>
      <c r="O18" s="2080"/>
      <c r="P18" s="2081"/>
      <c r="Q18" s="2028"/>
      <c r="R18" s="2028"/>
      <c r="S18" s="2028"/>
      <c r="T18" s="2028"/>
      <c r="U18" s="2028"/>
      <c r="V18" s="2028"/>
    </row>
    <row r="19" spans="1:22" ht="37.5" customHeight="1" thickTop="1" thickBot="1">
      <c r="A19" s="373" t="s">
        <v>1806</v>
      </c>
      <c r="B19" s="352" t="s">
        <v>1807</v>
      </c>
      <c r="C19" s="2088" t="s">
        <v>3043</v>
      </c>
      <c r="D19" s="2089" t="s">
        <v>1808</v>
      </c>
      <c r="E19" s="2090" t="s">
        <v>3043</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1809</v>
      </c>
      <c r="B20" s="3022" t="s">
        <v>1810</v>
      </c>
      <c r="C20" s="3023"/>
      <c r="D20" s="3024" t="s">
        <v>1811</v>
      </c>
      <c r="E20" s="3025"/>
      <c r="F20" s="2094" t="s">
        <v>1812</v>
      </c>
      <c r="G20" s="2041"/>
      <c r="H20" s="2041"/>
      <c r="I20" s="2041"/>
      <c r="J20" s="2041"/>
      <c r="K20" s="3021" t="s">
        <v>1813</v>
      </c>
      <c r="L20" s="74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1"/>
      <c r="O20" s="2080"/>
      <c r="P20" s="2081"/>
      <c r="Q20" s="2028"/>
      <c r="R20" s="2028"/>
      <c r="S20" s="2028"/>
      <c r="T20" s="2028"/>
      <c r="U20" s="2028"/>
      <c r="V20" s="2028"/>
    </row>
    <row r="21" spans="1:22" ht="24.75" customHeight="1">
      <c r="A21" s="2093"/>
      <c r="B21" s="2095" t="s">
        <v>1814</v>
      </c>
      <c r="C21" s="2096" t="s">
        <v>3044</v>
      </c>
      <c r="D21" s="2097" t="s">
        <v>1816</v>
      </c>
      <c r="E21" s="2098" t="s">
        <v>1815</v>
      </c>
      <c r="F21" s="2099"/>
      <c r="G21" s="2041"/>
      <c r="H21" s="2041"/>
      <c r="I21" s="2041"/>
      <c r="J21" s="2041"/>
      <c r="K21" s="3021"/>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1"/>
      <c r="O21" s="2080"/>
      <c r="P21" s="2081"/>
      <c r="Q21" s="2028"/>
      <c r="R21" s="2028"/>
      <c r="S21" s="2028"/>
      <c r="T21" s="2028"/>
      <c r="U21" s="2028"/>
      <c r="V21" s="2028"/>
    </row>
    <row r="22" spans="1:22" ht="24.75" customHeight="1" thickBot="1">
      <c r="A22" s="2093"/>
      <c r="B22" s="2100" t="s">
        <v>1817</v>
      </c>
      <c r="C22" s="2096" t="s">
        <v>1818</v>
      </c>
      <c r="D22" s="2025"/>
      <c r="E22" s="2025"/>
      <c r="F22" s="2101"/>
      <c r="G22" s="2041"/>
      <c r="H22" s="2041"/>
      <c r="I22" s="2041"/>
      <c r="J22" s="2041"/>
      <c r="K22" s="3021"/>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1819</v>
      </c>
      <c r="B23" s="183" t="s">
        <v>1820</v>
      </c>
      <c r="C23" s="2103"/>
      <c r="D23" s="2104" t="s">
        <v>1820</v>
      </c>
      <c r="E23" s="2105"/>
      <c r="F23" s="2101"/>
      <c r="G23" s="2041"/>
      <c r="H23" s="2041"/>
      <c r="I23" s="2041"/>
      <c r="J23" s="2041"/>
      <c r="K23" s="2106"/>
      <c r="L23" s="745"/>
      <c r="M23" s="2027"/>
      <c r="N23" s="2081"/>
      <c r="O23" s="2080"/>
      <c r="P23" s="2081"/>
      <c r="Q23" s="2028"/>
      <c r="R23" s="2028"/>
      <c r="S23" s="2028"/>
      <c r="T23" s="2028"/>
      <c r="U23" s="2028"/>
      <c r="V23" s="2028"/>
    </row>
    <row r="24" spans="1:22" ht="18" customHeight="1">
      <c r="A24" s="2107"/>
      <c r="B24" s="183" t="s">
        <v>1821</v>
      </c>
      <c r="C24" s="2108"/>
      <c r="D24" s="2102" t="s">
        <v>1821</v>
      </c>
      <c r="E24" s="2109"/>
      <c r="F24" s="2101"/>
      <c r="G24" s="2041"/>
      <c r="H24" s="2041"/>
      <c r="I24" s="2041"/>
      <c r="J24" s="2041"/>
      <c r="K24" s="2106"/>
      <c r="L24" s="745"/>
      <c r="M24" s="2027"/>
      <c r="N24" s="2081"/>
      <c r="O24" s="2080"/>
      <c r="P24" s="2081"/>
      <c r="Q24" s="2028"/>
      <c r="R24" s="2028"/>
      <c r="S24" s="2028"/>
      <c r="T24" s="2028"/>
      <c r="U24" s="2028"/>
      <c r="V24" s="2028"/>
    </row>
    <row r="25" spans="1:22" ht="18" customHeight="1">
      <c r="A25" s="2107"/>
      <c r="B25" s="183" t="s">
        <v>1822</v>
      </c>
      <c r="C25" s="2108"/>
      <c r="D25" s="2102" t="s">
        <v>1822</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1823</v>
      </c>
      <c r="C26" s="2112"/>
      <c r="D26" s="2113" t="s">
        <v>1824</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39" t="s">
        <v>1825</v>
      </c>
      <c r="B27" s="2060" t="s">
        <v>1826</v>
      </c>
      <c r="C27" s="2116" t="s">
        <v>3045</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39"/>
      <c r="B28" s="2034" t="s">
        <v>1827</v>
      </c>
      <c r="C28" s="2118" t="s">
        <v>3046</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39"/>
      <c r="B29" s="2034" t="s">
        <v>1828</v>
      </c>
      <c r="C29" s="2121" t="s">
        <v>3043</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40"/>
      <c r="B30" s="2034" t="s">
        <v>1829</v>
      </c>
      <c r="C30" s="3041"/>
      <c r="D30" s="3042"/>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43" t="s">
        <v>1830</v>
      </c>
      <c r="B31" s="2123" t="s">
        <v>3047</v>
      </c>
      <c r="C31" s="2124" t="str">
        <f>IF(B31="现房","成新及维护状况正常否",IF(B31="在建","工程状态是否正常",IF(B31="土地","是否闲置","-")))</f>
        <v>成新及维护状况正常否</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44"/>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44"/>
      <c r="B33" s="2127"/>
      <c r="C33" s="2066"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1831</v>
      </c>
      <c r="B34" s="2130" t="s">
        <v>3048</v>
      </c>
      <c r="C34" s="2130" t="s">
        <v>3049</v>
      </c>
      <c r="D34" s="2130" t="s">
        <v>3050</v>
      </c>
      <c r="E34" s="2130" t="s">
        <v>3051</v>
      </c>
      <c r="F34" s="2130" t="s">
        <v>3052</v>
      </c>
      <c r="G34" s="2130" t="s">
        <v>3053</v>
      </c>
      <c r="H34" s="2130" t="s">
        <v>3054</v>
      </c>
      <c r="I34" s="2041"/>
      <c r="J34" s="2041"/>
      <c r="K34" s="1794">
        <f>COUNTIF(B34:H34,"——")</f>
        <v>0</v>
      </c>
      <c r="L34" s="2071" t="s">
        <v>1832</v>
      </c>
      <c r="M34" s="2071" t="s">
        <v>1833</v>
      </c>
      <c r="N34" s="2071" t="s">
        <v>1834</v>
      </c>
      <c r="O34" s="2071" t="s">
        <v>1835</v>
      </c>
      <c r="P34" s="2071" t="s">
        <v>1836</v>
      </c>
      <c r="Q34" s="2071" t="s">
        <v>1837</v>
      </c>
      <c r="R34" s="2071" t="s">
        <v>1838</v>
      </c>
      <c r="S34" s="3038" t="s">
        <v>1839</v>
      </c>
      <c r="T34" s="2131" t="str">
        <f>NUMBERSTRING(7-K34,1)&amp;"通"</f>
        <v>七通</v>
      </c>
      <c r="U34" s="2028"/>
      <c r="V34" s="2028"/>
    </row>
    <row r="35" spans="1:22" ht="18" customHeight="1">
      <c r="A35" s="2132"/>
      <c r="B35" s="3045" t="s">
        <v>1840</v>
      </c>
      <c r="C35" s="3045"/>
      <c r="D35" s="3045"/>
      <c r="E35" s="3045"/>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8"/>
      <c r="T35" s="48" t="str">
        <f>IF(T34="一通",L35,IF(T34="二通",M35,IF(T34="三通",N35,IF(T34="四通",O35,IF(T34="五通",P35,IF(T34="六通",Q35,R35))))))</f>
        <v>通路、通电、通讯、通上水、通下水、通热、燃气</v>
      </c>
      <c r="U35" s="2028"/>
      <c r="V35" s="2028"/>
    </row>
    <row r="36" spans="1:22" ht="18" customHeight="1">
      <c r="A36" s="2134"/>
      <c r="B36" s="2133" t="s">
        <v>1841</v>
      </c>
      <c r="C36" s="2133" t="s">
        <v>1842</v>
      </c>
      <c r="D36" s="2133" t="s">
        <v>1843</v>
      </c>
      <c r="E36" s="2133" t="s">
        <v>1844</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1845</v>
      </c>
      <c r="B37" s="2137" t="s">
        <v>528</v>
      </c>
      <c r="C37" s="2137" t="s">
        <v>528</v>
      </c>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1846</v>
      </c>
      <c r="B38" s="2139" t="s">
        <v>3055</v>
      </c>
      <c r="C38" s="2139" t="s">
        <v>3055</v>
      </c>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5"/>
      <c r="L40" s="2080"/>
      <c r="M40" s="2080"/>
      <c r="N40" s="2081"/>
      <c r="O40" s="2080"/>
      <c r="P40" s="2028"/>
      <c r="Q40" s="2028"/>
      <c r="R40" s="2028"/>
      <c r="S40" s="2028"/>
      <c r="T40" s="2028"/>
      <c r="U40" s="2028"/>
      <c r="V40" s="2028"/>
    </row>
    <row r="41" spans="1:22" ht="18" customHeight="1">
      <c r="A41" s="8" t="s">
        <v>1848</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1849</v>
      </c>
      <c r="B42" s="1794" t="s">
        <v>1850</v>
      </c>
      <c r="C42" s="1794" t="s">
        <v>1851</v>
      </c>
      <c r="D42" s="1794" t="s">
        <v>1852</v>
      </c>
      <c r="E42" s="1794" t="s">
        <v>1853</v>
      </c>
      <c r="F42" s="1794" t="s">
        <v>1854</v>
      </c>
      <c r="G42" s="1794" t="s">
        <v>1855</v>
      </c>
      <c r="H42" s="1794" t="s">
        <v>1856</v>
      </c>
      <c r="I42" s="1794" t="s">
        <v>1857</v>
      </c>
      <c r="J42" s="2149" t="s">
        <v>1858</v>
      </c>
      <c r="K42" s="2072" t="s">
        <v>1859</v>
      </c>
      <c r="L42" s="2072" t="s">
        <v>1860</v>
      </c>
      <c r="M42" s="2072" t="s">
        <v>1861</v>
      </c>
      <c r="N42" s="1794" t="s">
        <v>1862</v>
      </c>
      <c r="O42" s="1794" t="s">
        <v>1863</v>
      </c>
      <c r="P42" s="1794" t="s">
        <v>1864</v>
      </c>
      <c r="Q42" s="2071" t="s">
        <v>1865</v>
      </c>
      <c r="R42" s="2071" t="s">
        <v>1866</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9" activePane="bottomRight" state="frozen"/>
      <selection activeCell="C50" sqref="C50"/>
      <selection pane="topRight" activeCell="C50" sqref="C50"/>
      <selection pane="bottomLeft" activeCell="C50" sqref="C50"/>
      <selection pane="bottomRight" activeCell="K289" sqref="K289"/>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1872</v>
      </c>
      <c r="AZ2" s="1270"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25398.790000000015</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1876</v>
      </c>
      <c r="B5" s="1802"/>
      <c r="C5" s="1802"/>
      <c r="D5" s="1805"/>
      <c r="E5" s="16" t="s">
        <v>1</v>
      </c>
      <c r="F5" s="16">
        <f>SUM(F13:F587)</f>
        <v>0</v>
      </c>
      <c r="G5" s="16">
        <f>SUM(G13:G587)</f>
        <v>25398.790000000015</v>
      </c>
      <c r="H5" s="16">
        <f t="shared" ref="H5:AT5" si="0">SUM(H13:H656)</f>
        <v>25398.790000000015</v>
      </c>
      <c r="I5" s="16">
        <f t="shared" si="0"/>
        <v>21431.910000000003</v>
      </c>
      <c r="J5" s="16">
        <f t="shared" si="0"/>
        <v>0</v>
      </c>
      <c r="K5" s="16">
        <f t="shared" si="0"/>
        <v>3966.8800000000006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25398.790000000015</v>
      </c>
      <c r="BA5" s="18">
        <f t="shared" si="1"/>
        <v>25398.790000000015</v>
      </c>
      <c r="BB5" s="18">
        <f t="shared" si="1"/>
        <v>21431.910000000003</v>
      </c>
      <c r="BC5" s="18">
        <f t="shared" si="1"/>
        <v>3966.8800000000006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1877</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1877</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1878</v>
      </c>
      <c r="B7" s="2106" t="s">
        <v>1879</v>
      </c>
      <c r="C7" s="2106" t="s">
        <v>1880</v>
      </c>
      <c r="D7" s="2106" t="s">
        <v>1881</v>
      </c>
      <c r="E7" s="2106" t="s">
        <v>1882</v>
      </c>
      <c r="F7" s="2106"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1885</v>
      </c>
      <c r="AV7" s="23" t="s">
        <v>1886</v>
      </c>
      <c r="AW7" s="2163" t="s">
        <v>1887</v>
      </c>
      <c r="AX7" s="23" t="s">
        <v>1880</v>
      </c>
      <c r="AY7" s="1802"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17"/>
      <c r="K8" s="1817"/>
      <c r="L8" s="1817"/>
      <c r="M8" s="1817"/>
      <c r="N8" s="1817"/>
      <c r="O8" s="1817"/>
      <c r="P8" s="1817"/>
      <c r="Q8" s="1817"/>
      <c r="R8" s="1817"/>
      <c r="S8" s="1817"/>
      <c r="T8" s="1817"/>
      <c r="U8" s="1817"/>
      <c r="V8" s="2183"/>
      <c r="W8" s="1817"/>
      <c r="X8" s="1817"/>
      <c r="Y8" s="1817"/>
      <c r="Z8" s="1817"/>
      <c r="AA8" s="2183"/>
      <c r="AB8" s="2184"/>
      <c r="AC8" s="981" t="s">
        <v>1891</v>
      </c>
      <c r="AD8" s="2185"/>
      <c r="AE8" s="2177"/>
      <c r="AF8" s="1817"/>
      <c r="AG8" s="1817"/>
      <c r="AH8" s="1817"/>
      <c r="AI8" s="1817"/>
      <c r="AJ8" s="1817"/>
      <c r="AK8" s="1817"/>
      <c r="AL8" s="1817"/>
      <c r="AM8" s="1817"/>
      <c r="AN8" s="1817"/>
      <c r="AO8" s="1817"/>
      <c r="AP8" s="1817"/>
      <c r="AQ8" s="1817"/>
      <c r="AR8" s="1817"/>
      <c r="AS8" s="1817"/>
      <c r="AT8" s="1292" t="s">
        <v>1892</v>
      </c>
      <c r="AU8" s="2179" t="s">
        <v>1893</v>
      </c>
      <c r="AV8" s="1292"/>
      <c r="AW8" s="2162"/>
      <c r="AX8" s="1292"/>
      <c r="AY8" s="2163"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1896</v>
      </c>
      <c r="I9" s="2188" t="s">
        <v>3340</v>
      </c>
      <c r="J9" s="981"/>
      <c r="K9" s="2188" t="s">
        <v>3340</v>
      </c>
      <c r="L9" s="981"/>
      <c r="M9" s="2188"/>
      <c r="N9" s="981"/>
      <c r="O9" s="2188"/>
      <c r="P9" s="981"/>
      <c r="Q9" s="2188"/>
      <c r="R9" s="981"/>
      <c r="S9" s="2188"/>
      <c r="T9" s="981"/>
      <c r="U9" s="2188"/>
      <c r="V9" s="981"/>
      <c r="W9" s="2188"/>
      <c r="X9" s="2189"/>
      <c r="Y9" s="2188"/>
      <c r="Z9" s="981"/>
      <c r="AA9" s="2188"/>
      <c r="AB9" s="981"/>
      <c r="AC9" s="2180"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0"/>
      <c r="AT9" s="2179"/>
      <c r="AU9" s="2179" t="s">
        <v>1899</v>
      </c>
      <c r="AV9" s="1292"/>
      <c r="AW9" s="2162"/>
      <c r="AX9" s="1292"/>
      <c r="AY9" s="28"/>
      <c r="AZ9" s="28" t="s">
        <v>1889</v>
      </c>
      <c r="BA9" s="2191" t="s">
        <v>1900</v>
      </c>
      <c r="BB9" s="2192"/>
      <c r="BC9" s="1338"/>
      <c r="BD9" s="1338"/>
      <c r="BE9" s="1338"/>
      <c r="BF9" s="1338"/>
      <c r="BG9" s="1338"/>
      <c r="BH9" s="1338"/>
      <c r="BI9" s="1338"/>
      <c r="BJ9" s="1338"/>
      <c r="BK9" s="2193"/>
      <c r="BL9" s="15" t="s">
        <v>1901</v>
      </c>
      <c r="BM9" s="1817"/>
      <c r="BN9" s="2182"/>
      <c r="BO9" s="1817"/>
      <c r="BP9" s="1817"/>
      <c r="BQ9" s="1817"/>
      <c r="BR9" s="1817"/>
      <c r="BS9" s="1817"/>
      <c r="BT9" s="26"/>
    </row>
    <row r="10" spans="1:72" s="2186" customFormat="1" ht="12.75">
      <c r="A10" s="2179"/>
      <c r="B10" s="2179"/>
      <c r="C10" s="2179"/>
      <c r="D10" s="2179"/>
      <c r="E10" s="2179"/>
      <c r="F10" s="2179"/>
      <c r="G10" s="1292"/>
      <c r="H10" s="28"/>
      <c r="I10" s="2188" t="s">
        <v>27</v>
      </c>
      <c r="J10" s="981"/>
      <c r="K10" s="2194" t="s">
        <v>1377</v>
      </c>
      <c r="L10" s="981"/>
      <c r="M10" s="2194"/>
      <c r="N10" s="981"/>
      <c r="O10" s="2194"/>
      <c r="P10" s="981"/>
      <c r="Q10" s="2194"/>
      <c r="R10" s="981"/>
      <c r="S10" s="2194"/>
      <c r="T10" s="981"/>
      <c r="U10" s="2194"/>
      <c r="V10" s="981"/>
      <c r="W10" s="2194"/>
      <c r="X10" s="981"/>
      <c r="Y10" s="2194"/>
      <c r="Z10" s="981"/>
      <c r="AA10" s="2194"/>
      <c r="AB10" s="981"/>
      <c r="AC10" s="1292"/>
      <c r="AD10" s="15" t="s">
        <v>1902</v>
      </c>
      <c r="AE10" s="2195"/>
      <c r="AF10" s="15" t="s">
        <v>1902</v>
      </c>
      <c r="AG10" s="2195"/>
      <c r="AH10" s="15" t="s">
        <v>1903</v>
      </c>
      <c r="AI10" s="2195"/>
      <c r="AJ10" s="15" t="s">
        <v>1903</v>
      </c>
      <c r="AK10" s="2195"/>
      <c r="AL10" s="15" t="s">
        <v>1904</v>
      </c>
      <c r="AM10" s="1298"/>
      <c r="AN10" s="15" t="s">
        <v>1904</v>
      </c>
      <c r="AO10" s="1298"/>
      <c r="AP10" s="15" t="s">
        <v>1905</v>
      </c>
      <c r="AQ10" s="1298"/>
      <c r="AR10" s="15" t="s">
        <v>1905</v>
      </c>
      <c r="AS10" s="1298"/>
      <c r="AT10" s="2179"/>
      <c r="AU10" s="2179"/>
      <c r="AV10" s="1292"/>
      <c r="AW10" s="2162"/>
      <c r="AX10" s="1292"/>
      <c r="AY10" s="28"/>
      <c r="AZ10" s="28"/>
      <c r="BA10" s="2196" t="s">
        <v>1896</v>
      </c>
      <c r="BB10" s="2197" t="str">
        <f>I9</f>
        <v>地上</v>
      </c>
      <c r="BC10" s="29" t="str">
        <f>K9</f>
        <v>地上</v>
      </c>
      <c r="BD10" s="29">
        <f>M9</f>
        <v>0</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t="s">
        <v>3341</v>
      </c>
      <c r="J11" s="2200"/>
      <c r="K11" s="2199" t="s">
        <v>3342</v>
      </c>
      <c r="L11" s="2200"/>
      <c r="M11" s="2199"/>
      <c r="N11" s="2200"/>
      <c r="O11" s="2199"/>
      <c r="P11" s="2200"/>
      <c r="Q11" s="2199"/>
      <c r="R11" s="2200"/>
      <c r="S11" s="2199"/>
      <c r="T11" s="2200"/>
      <c r="U11" s="2199"/>
      <c r="V11" s="2200"/>
      <c r="W11" s="2199"/>
      <c r="X11" s="2200"/>
      <c r="Y11" s="2199"/>
      <c r="Z11" s="2200"/>
      <c r="AA11" s="2199"/>
      <c r="AB11" s="2200"/>
      <c r="AC11" s="1292"/>
      <c r="AD11" s="2201" t="s">
        <v>1906</v>
      </c>
      <c r="AE11" s="1818"/>
      <c r="AF11" s="2201" t="s">
        <v>1906</v>
      </c>
      <c r="AG11" s="1818"/>
      <c r="AH11" s="2201" t="s">
        <v>1907</v>
      </c>
      <c r="AI11" s="2202"/>
      <c r="AJ11" s="2201" t="s">
        <v>1907</v>
      </c>
      <c r="AK11" s="1818"/>
      <c r="AL11" s="1816"/>
      <c r="AM11" s="1818"/>
      <c r="AN11" s="1816"/>
      <c r="AO11" s="1818"/>
      <c r="AP11" s="1816"/>
      <c r="AQ11" s="1818"/>
      <c r="AR11" s="1816"/>
      <c r="AS11" s="1818"/>
      <c r="AT11" s="2162"/>
      <c r="AU11" s="2179"/>
      <c r="AV11" s="1292"/>
      <c r="AW11" s="2162"/>
      <c r="AX11" s="1292"/>
      <c r="AY11" s="28"/>
      <c r="AZ11" s="28"/>
      <c r="BA11" s="28"/>
      <c r="BB11" s="2184" t="str">
        <f>I10</f>
        <v>办公</v>
      </c>
      <c r="BC11" s="2184" t="str">
        <f>K10</f>
        <v>商业</v>
      </c>
      <c r="BD11" s="2184">
        <f>M10</f>
        <v>0</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6"/>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4" t="s">
        <v>1909</v>
      </c>
      <c r="AT12" s="2207"/>
      <c r="AU12" s="2204"/>
      <c r="AV12" s="31"/>
      <c r="AW12" s="2163"/>
      <c r="AX12" s="31"/>
      <c r="AY12" s="2208"/>
      <c r="AZ12" s="28"/>
      <c r="BA12" s="2196"/>
      <c r="BB12" s="24" t="str">
        <f>I11</f>
        <v>LOFT住宅</v>
      </c>
      <c r="BC12" s="2209" t="str">
        <f>K11</f>
        <v>底商</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
        <v>3056</v>
      </c>
      <c r="D13" s="2210" t="s">
        <v>3301</v>
      </c>
      <c r="E13" s="16">
        <f>IF($C$3="是",ROUND($A$3*G13/$B$3,2),ROUND($A$3*(G13-AT13)/$B$3,2))</f>
        <v>0</v>
      </c>
      <c r="F13" s="32"/>
      <c r="G13" s="33">
        <f>H13+AC13+AT13</f>
        <v>65.97</v>
      </c>
      <c r="H13" s="20">
        <f>SUMIF(I$12:AB$12,"总值",I13:AB13)</f>
        <v>65.97</v>
      </c>
      <c r="I13" s="2211">
        <v>65.97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1-1-213</v>
      </c>
      <c r="AY13" s="1805">
        <f>ROUND($AY$6*AZ13/$AZ$5,2)</f>
        <v>0</v>
      </c>
      <c r="AZ13" s="16">
        <f>BA13+BL13</f>
        <v>65.97</v>
      </c>
      <c r="BA13" s="16">
        <f>SUM(BB13:BK13)</f>
        <v>65.97</v>
      </c>
      <c r="BB13" s="16">
        <f>IF($D13="是",I13-J13,0)</f>
        <v>65.97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1272" t="s">
        <v>3057</v>
      </c>
      <c r="D14" s="2210" t="s">
        <v>3301</v>
      </c>
      <c r="E14" s="16">
        <f>IF($C$3="是",ROUND($A$3*G14/$B$3,2),ROUND($A$3*(G14-AT14)/$B$3,2))</f>
        <v>0</v>
      </c>
      <c r="F14" s="32"/>
      <c r="G14" s="33">
        <f>H14+AC14+AT14</f>
        <v>65.97</v>
      </c>
      <c r="H14" s="20">
        <f>SUMIF(I$12:AB$12,"总值",I14:AB14)</f>
        <v>65.97</v>
      </c>
      <c r="I14" s="2211">
        <v>65.97</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1-3-411</v>
      </c>
      <c r="AY14" s="1805">
        <f>ROUND($AY$6*AZ14/$AZ$5,2)</f>
        <v>0</v>
      </c>
      <c r="AZ14" s="16">
        <f>BA14+BL14</f>
        <v>65.97</v>
      </c>
      <c r="BA14" s="16">
        <f>SUM(BB14:BK14)</f>
        <v>65.97</v>
      </c>
      <c r="BB14" s="16">
        <f>IF($D14="是",I14-J14,0)</f>
        <v>65.97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1272" t="s">
        <v>3058</v>
      </c>
      <c r="D15" s="2210" t="s">
        <v>3301</v>
      </c>
      <c r="E15" s="16">
        <f>IF($C$3="是",ROUND($A$3*G15/$B$3,2),ROUND($A$3*(G15-AT15)/$B$3,2))</f>
        <v>0</v>
      </c>
      <c r="F15" s="32"/>
      <c r="G15" s="33">
        <f>H15+AC15+AT15</f>
        <v>65.97</v>
      </c>
      <c r="H15" s="20">
        <f>SUMIF(I$12:AB$12,"总值",I15:AB15)</f>
        <v>65.97</v>
      </c>
      <c r="I15" s="2211">
        <v>65.97</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1-3-811</v>
      </c>
      <c r="AY15" s="1805">
        <f>ROUND($AY$6*AZ15/$AZ$5,2)</f>
        <v>0</v>
      </c>
      <c r="AZ15" s="16">
        <f>BA15+BL15</f>
        <v>65.97</v>
      </c>
      <c r="BA15" s="16">
        <f>SUM(BB15:BK15)</f>
        <v>65.97</v>
      </c>
      <c r="BB15" s="16">
        <f>IF($D15="是",I15-J15,0)</f>
        <v>65.97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1272" t="s">
        <v>3059</v>
      </c>
      <c r="D16" s="2210" t="s">
        <v>3301</v>
      </c>
      <c r="E16" s="16">
        <f>IF($C$3="是",ROUND($A$3*G16/$B$3,2),ROUND($A$3*(G16-AT16)/$B$3,2))</f>
        <v>0</v>
      </c>
      <c r="F16" s="32"/>
      <c r="G16" s="33">
        <f>H16+AC16+AT16</f>
        <v>65.38</v>
      </c>
      <c r="H16" s="20">
        <f>SUMIF(I$12:AB$12,"总值",I16:AB16)</f>
        <v>65.38</v>
      </c>
      <c r="I16" s="2211">
        <v>65.38</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3-1-203</v>
      </c>
      <c r="AY16" s="1805">
        <f>ROUND($AY$6*AZ16/$AZ$5,2)</f>
        <v>0</v>
      </c>
      <c r="AZ16" s="16">
        <f>BA16+BL16</f>
        <v>65.38</v>
      </c>
      <c r="BA16" s="16">
        <f>SUM(BB16:BK16)</f>
        <v>65.38</v>
      </c>
      <c r="BB16" s="16">
        <f>IF($D16="是",I16-J16,0)</f>
        <v>65.38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1272" t="s">
        <v>3060</v>
      </c>
      <c r="D17" s="2210" t="s">
        <v>3301</v>
      </c>
      <c r="E17" s="16">
        <f>IF($C$3="是",ROUND($A$3*G17/$B$3,2),ROUND($A$3*(G17-AT17)/$B$3,2))</f>
        <v>0</v>
      </c>
      <c r="F17" s="32"/>
      <c r="G17" s="33">
        <f>H17+AC17+AT17</f>
        <v>64.69</v>
      </c>
      <c r="H17" s="20">
        <f>SUMIF(I$12:AB$12,"总值",I17:AB17)</f>
        <v>64.69</v>
      </c>
      <c r="I17" s="2211">
        <v>64.69</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3-1-204</v>
      </c>
      <c r="AY17" s="1805">
        <f>ROUND($AY$6*AZ17/$AZ$5,2)</f>
        <v>0</v>
      </c>
      <c r="AZ17" s="16">
        <f>BA17+BL17</f>
        <v>64.69</v>
      </c>
      <c r="BA17" s="16">
        <f>SUM(BB17:BK17)</f>
        <v>64.69</v>
      </c>
      <c r="BB17" s="16">
        <f>IF($D17="是",I17-J17,0)</f>
        <v>64.69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49" t="s">
        <v>3061</v>
      </c>
      <c r="D18" s="2210" t="s">
        <v>3301</v>
      </c>
      <c r="E18" s="35">
        <f t="shared" ref="E18:E112" si="7">IF($C$3="是",ROUND($A$3*G18/$B$3,2),ROUND($A$3*(G18-AT18)/$B$3,2))</f>
        <v>0</v>
      </c>
      <c r="F18" s="36"/>
      <c r="G18" s="37">
        <f t="shared" ref="G18:G109" si="8">H18+AC18+AT18</f>
        <v>65.38</v>
      </c>
      <c r="H18" s="38">
        <f t="shared" ref="H18:H109" si="9">SUMIF(I$12:AB$12,"总值",I18:AB18)</f>
        <v>65.38</v>
      </c>
      <c r="I18" s="39">
        <v>65.38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t="str">
        <f t="shared" ref="AX18:AX112" si="13">C18</f>
        <v>3-1-205</v>
      </c>
      <c r="AY18" s="42">
        <f t="shared" ref="AY18:AY109" si="14">ROUND($AY$6*AZ18/$AZ$5,2)</f>
        <v>0</v>
      </c>
      <c r="AZ18" s="35">
        <f t="shared" ref="AZ18:AZ109" si="15">BA18+BL18</f>
        <v>65.38</v>
      </c>
      <c r="BA18" s="35">
        <f t="shared" ref="BA18:BA109" si="16">SUM(BB18:BK18)</f>
        <v>65.38</v>
      </c>
      <c r="BB18" s="35">
        <f t="shared" ref="BB18:BB109" si="17">IF($D18="是",I18-J18,0)</f>
        <v>65.38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9" t="s">
        <v>3062</v>
      </c>
      <c r="D19" s="2210" t="s">
        <v>3301</v>
      </c>
      <c r="E19" s="35">
        <f t="shared" si="7"/>
        <v>0</v>
      </c>
      <c r="F19" s="36"/>
      <c r="G19" s="37">
        <f t="shared" si="8"/>
        <v>90.64</v>
      </c>
      <c r="H19" s="38">
        <f t="shared" si="9"/>
        <v>90.64</v>
      </c>
      <c r="I19" s="39">
        <v>90.64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t="str">
        <f t="shared" si="13"/>
        <v>3-1-501</v>
      </c>
      <c r="AY19" s="42">
        <f t="shared" si="14"/>
        <v>0</v>
      </c>
      <c r="AZ19" s="35">
        <f t="shared" si="15"/>
        <v>90.64</v>
      </c>
      <c r="BA19" s="35">
        <f t="shared" si="16"/>
        <v>90.64</v>
      </c>
      <c r="BB19" s="35">
        <f t="shared" si="17"/>
        <v>90.64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49" t="s">
        <v>3063</v>
      </c>
      <c r="D20" s="2210" t="s">
        <v>3301</v>
      </c>
      <c r="E20" s="35">
        <f t="shared" si="7"/>
        <v>0</v>
      </c>
      <c r="F20" s="36"/>
      <c r="G20" s="37">
        <f t="shared" si="8"/>
        <v>64.69</v>
      </c>
      <c r="H20" s="38">
        <f t="shared" si="9"/>
        <v>64.69</v>
      </c>
      <c r="I20" s="39">
        <v>64.69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t="str">
        <f t="shared" si="13"/>
        <v>3-1-504</v>
      </c>
      <c r="AY20" s="42">
        <f t="shared" si="14"/>
        <v>0</v>
      </c>
      <c r="AZ20" s="35">
        <f t="shared" si="15"/>
        <v>64.69</v>
      </c>
      <c r="BA20" s="35">
        <f t="shared" si="16"/>
        <v>64.69</v>
      </c>
      <c r="BB20" s="35">
        <f t="shared" si="17"/>
        <v>64.69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49" t="s">
        <v>3064</v>
      </c>
      <c r="D21" s="2210" t="s">
        <v>3301</v>
      </c>
      <c r="E21" s="35">
        <f t="shared" si="7"/>
        <v>0</v>
      </c>
      <c r="F21" s="36"/>
      <c r="G21" s="37">
        <f t="shared" si="8"/>
        <v>91.19</v>
      </c>
      <c r="H21" s="38">
        <f t="shared" si="9"/>
        <v>91.19</v>
      </c>
      <c r="I21" s="39">
        <v>91.19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t="str">
        <f t="shared" si="13"/>
        <v>3-1-506</v>
      </c>
      <c r="AY21" s="42">
        <f t="shared" si="14"/>
        <v>0</v>
      </c>
      <c r="AZ21" s="35">
        <f t="shared" si="15"/>
        <v>91.19</v>
      </c>
      <c r="BA21" s="35">
        <f t="shared" si="16"/>
        <v>91.19</v>
      </c>
      <c r="BB21" s="35">
        <f t="shared" si="17"/>
        <v>91.19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49" t="s">
        <v>3065</v>
      </c>
      <c r="D22" s="2210" t="s">
        <v>3301</v>
      </c>
      <c r="E22" s="35">
        <f t="shared" si="7"/>
        <v>0</v>
      </c>
      <c r="F22" s="36"/>
      <c r="G22" s="37">
        <f t="shared" si="8"/>
        <v>90.1</v>
      </c>
      <c r="H22" s="38">
        <f t="shared" si="9"/>
        <v>90.1</v>
      </c>
      <c r="I22" s="39">
        <v>90.1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t="str">
        <f t="shared" si="13"/>
        <v>3-1-507</v>
      </c>
      <c r="AY22" s="42">
        <f t="shared" si="14"/>
        <v>0</v>
      </c>
      <c r="AZ22" s="35">
        <f t="shared" si="15"/>
        <v>90.1</v>
      </c>
      <c r="BA22" s="35">
        <f t="shared" si="16"/>
        <v>90.1</v>
      </c>
      <c r="BB22" s="35">
        <f t="shared" si="17"/>
        <v>90.1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49" t="s">
        <v>3066</v>
      </c>
      <c r="D23" s="2210" t="s">
        <v>3301</v>
      </c>
      <c r="E23" s="35">
        <f t="shared" si="7"/>
        <v>0</v>
      </c>
      <c r="F23" s="36"/>
      <c r="G23" s="37">
        <f t="shared" si="8"/>
        <v>92.19</v>
      </c>
      <c r="H23" s="38">
        <f t="shared" si="9"/>
        <v>92.19</v>
      </c>
      <c r="I23" s="39">
        <v>92.19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t="str">
        <f t="shared" si="13"/>
        <v>3-1-508</v>
      </c>
      <c r="AY23" s="42">
        <f t="shared" si="14"/>
        <v>0</v>
      </c>
      <c r="AZ23" s="35">
        <f t="shared" si="15"/>
        <v>92.19</v>
      </c>
      <c r="BA23" s="35">
        <f t="shared" si="16"/>
        <v>92.19</v>
      </c>
      <c r="BB23" s="35">
        <f t="shared" si="17"/>
        <v>92.19</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49" t="s">
        <v>3067</v>
      </c>
      <c r="D24" s="2210" t="s">
        <v>3301</v>
      </c>
      <c r="E24" s="35">
        <f t="shared" si="7"/>
        <v>0</v>
      </c>
      <c r="F24" s="36"/>
      <c r="G24" s="37">
        <f t="shared" si="8"/>
        <v>91.19</v>
      </c>
      <c r="H24" s="38">
        <f t="shared" si="9"/>
        <v>91.19</v>
      </c>
      <c r="I24" s="39">
        <v>91.19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t="str">
        <f t="shared" si="13"/>
        <v>3-1-509</v>
      </c>
      <c r="AY24" s="42">
        <f t="shared" si="14"/>
        <v>0</v>
      </c>
      <c r="AZ24" s="35">
        <f t="shared" si="15"/>
        <v>91.19</v>
      </c>
      <c r="BA24" s="35">
        <f t="shared" si="16"/>
        <v>91.19</v>
      </c>
      <c r="BB24" s="35">
        <f t="shared" si="17"/>
        <v>91.19</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49" t="s">
        <v>3068</v>
      </c>
      <c r="D25" s="2210" t="s">
        <v>3301</v>
      </c>
      <c r="E25" s="35">
        <f t="shared" si="7"/>
        <v>0</v>
      </c>
      <c r="F25" s="36"/>
      <c r="G25" s="37">
        <f t="shared" si="8"/>
        <v>91.19</v>
      </c>
      <c r="H25" s="38">
        <f t="shared" si="9"/>
        <v>91.19</v>
      </c>
      <c r="I25" s="39">
        <v>91.19</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t="str">
        <f t="shared" si="13"/>
        <v>3-1-510</v>
      </c>
      <c r="AY25" s="42">
        <f t="shared" si="14"/>
        <v>0</v>
      </c>
      <c r="AZ25" s="35">
        <f t="shared" si="15"/>
        <v>91.19</v>
      </c>
      <c r="BA25" s="35">
        <f t="shared" si="16"/>
        <v>91.19</v>
      </c>
      <c r="BB25" s="35">
        <f t="shared" si="17"/>
        <v>91.19</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49" t="s">
        <v>3069</v>
      </c>
      <c r="D26" s="2210" t="s">
        <v>3301</v>
      </c>
      <c r="E26" s="35">
        <f t="shared" si="7"/>
        <v>0</v>
      </c>
      <c r="F26" s="36"/>
      <c r="G26" s="37">
        <f t="shared" si="8"/>
        <v>91.19</v>
      </c>
      <c r="H26" s="38">
        <f t="shared" si="9"/>
        <v>91.19</v>
      </c>
      <c r="I26" s="39">
        <v>91.19</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t="str">
        <f t="shared" si="13"/>
        <v>3-1-511</v>
      </c>
      <c r="AY26" s="42">
        <f t="shared" si="14"/>
        <v>0</v>
      </c>
      <c r="AZ26" s="35">
        <f t="shared" si="15"/>
        <v>91.19</v>
      </c>
      <c r="BA26" s="35">
        <f t="shared" si="16"/>
        <v>91.19</v>
      </c>
      <c r="BB26" s="35">
        <f t="shared" si="17"/>
        <v>91.19</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49" t="s">
        <v>3070</v>
      </c>
      <c r="D27" s="2210" t="s">
        <v>3301</v>
      </c>
      <c r="E27" s="35">
        <f t="shared" si="7"/>
        <v>0</v>
      </c>
      <c r="F27" s="36"/>
      <c r="G27" s="37">
        <f t="shared" si="8"/>
        <v>91.19</v>
      </c>
      <c r="H27" s="38">
        <f t="shared" si="9"/>
        <v>91.19</v>
      </c>
      <c r="I27" s="39">
        <v>91.19</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t="str">
        <f t="shared" si="13"/>
        <v>3-1-512</v>
      </c>
      <c r="AY27" s="42">
        <f t="shared" si="14"/>
        <v>0</v>
      </c>
      <c r="AZ27" s="35">
        <f t="shared" si="15"/>
        <v>91.19</v>
      </c>
      <c r="BA27" s="35">
        <f t="shared" si="16"/>
        <v>91.19</v>
      </c>
      <c r="BB27" s="35">
        <f t="shared" si="17"/>
        <v>91.19</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49" t="s">
        <v>3071</v>
      </c>
      <c r="D28" s="2210" t="s">
        <v>3301</v>
      </c>
      <c r="E28" s="35">
        <f t="shared" si="7"/>
        <v>0</v>
      </c>
      <c r="F28" s="36"/>
      <c r="G28" s="37">
        <f t="shared" si="8"/>
        <v>91.19</v>
      </c>
      <c r="H28" s="38">
        <f t="shared" si="9"/>
        <v>91.19</v>
      </c>
      <c r="I28" s="39">
        <v>91.19</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t="str">
        <f t="shared" si="13"/>
        <v>3-1-514</v>
      </c>
      <c r="AY28" s="42">
        <f t="shared" si="14"/>
        <v>0</v>
      </c>
      <c r="AZ28" s="35">
        <f t="shared" si="15"/>
        <v>91.19</v>
      </c>
      <c r="BA28" s="35">
        <f t="shared" si="16"/>
        <v>91.19</v>
      </c>
      <c r="BB28" s="35">
        <f t="shared" si="17"/>
        <v>91.19</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49" t="s">
        <v>3072</v>
      </c>
      <c r="D29" s="2210" t="s">
        <v>3301</v>
      </c>
      <c r="E29" s="35">
        <f t="shared" si="7"/>
        <v>0</v>
      </c>
      <c r="F29" s="36"/>
      <c r="G29" s="37">
        <f t="shared" si="8"/>
        <v>92.74</v>
      </c>
      <c r="H29" s="38">
        <f t="shared" si="9"/>
        <v>92.74</v>
      </c>
      <c r="I29" s="39">
        <v>92.74</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t="str">
        <f t="shared" si="13"/>
        <v>3-1-515</v>
      </c>
      <c r="AY29" s="42">
        <f t="shared" si="14"/>
        <v>0</v>
      </c>
      <c r="AZ29" s="35">
        <f t="shared" si="15"/>
        <v>92.74</v>
      </c>
      <c r="BA29" s="35">
        <f t="shared" si="16"/>
        <v>92.74</v>
      </c>
      <c r="BB29" s="35">
        <f t="shared" si="17"/>
        <v>92.74</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49" t="s">
        <v>3073</v>
      </c>
      <c r="D30" s="2210" t="s">
        <v>3301</v>
      </c>
      <c r="E30" s="35">
        <f t="shared" si="7"/>
        <v>0</v>
      </c>
      <c r="F30" s="36"/>
      <c r="G30" s="37">
        <f t="shared" si="8"/>
        <v>91.19</v>
      </c>
      <c r="H30" s="38">
        <f t="shared" si="9"/>
        <v>91.19</v>
      </c>
      <c r="I30" s="39">
        <v>91.19</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t="str">
        <f t="shared" si="13"/>
        <v>3-1-613</v>
      </c>
      <c r="AY30" s="42">
        <f t="shared" si="14"/>
        <v>0</v>
      </c>
      <c r="AZ30" s="35">
        <f t="shared" si="15"/>
        <v>91.19</v>
      </c>
      <c r="BA30" s="35">
        <f t="shared" si="16"/>
        <v>91.19</v>
      </c>
      <c r="BB30" s="35">
        <f t="shared" si="17"/>
        <v>91.19</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49" t="s">
        <v>3074</v>
      </c>
      <c r="D31" s="2210" t="s">
        <v>3301</v>
      </c>
      <c r="E31" s="35">
        <f t="shared" si="7"/>
        <v>0</v>
      </c>
      <c r="F31" s="36"/>
      <c r="G31" s="37">
        <f t="shared" si="8"/>
        <v>65.38</v>
      </c>
      <c r="H31" s="38">
        <f t="shared" si="9"/>
        <v>65.38</v>
      </c>
      <c r="I31" s="39">
        <v>65.38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t="str">
        <f t="shared" si="13"/>
        <v>3-1-803</v>
      </c>
      <c r="AY31" s="42">
        <f t="shared" si="14"/>
        <v>0</v>
      </c>
      <c r="AZ31" s="35">
        <f t="shared" si="15"/>
        <v>65.38</v>
      </c>
      <c r="BA31" s="35">
        <f t="shared" si="16"/>
        <v>65.38</v>
      </c>
      <c r="BB31" s="35">
        <f t="shared" si="17"/>
        <v>65.38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49" t="s">
        <v>3075</v>
      </c>
      <c r="D32" s="2210" t="s">
        <v>3301</v>
      </c>
      <c r="E32" s="35">
        <f t="shared" si="7"/>
        <v>0</v>
      </c>
      <c r="F32" s="36"/>
      <c r="G32" s="37">
        <f t="shared" si="8"/>
        <v>64.69</v>
      </c>
      <c r="H32" s="38">
        <f t="shared" si="9"/>
        <v>64.69</v>
      </c>
      <c r="I32" s="39">
        <v>64.69</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t="str">
        <f t="shared" si="13"/>
        <v>3-1-804</v>
      </c>
      <c r="AY32" s="42">
        <f t="shared" si="14"/>
        <v>0</v>
      </c>
      <c r="AZ32" s="35">
        <f t="shared" si="15"/>
        <v>64.69</v>
      </c>
      <c r="BA32" s="35">
        <f t="shared" si="16"/>
        <v>64.69</v>
      </c>
      <c r="BB32" s="35">
        <f t="shared" si="17"/>
        <v>64.69</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9" t="s">
        <v>3076</v>
      </c>
      <c r="D33" s="2210" t="s">
        <v>3301</v>
      </c>
      <c r="E33" s="35">
        <f t="shared" si="7"/>
        <v>0</v>
      </c>
      <c r="F33" s="36"/>
      <c r="G33" s="37">
        <f t="shared" si="8"/>
        <v>65.38</v>
      </c>
      <c r="H33" s="38">
        <f t="shared" si="9"/>
        <v>65.38</v>
      </c>
      <c r="I33" s="39">
        <v>65.38</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t="str">
        <f t="shared" si="13"/>
        <v>3-1-903</v>
      </c>
      <c r="AY33" s="42">
        <f t="shared" si="14"/>
        <v>0</v>
      </c>
      <c r="AZ33" s="35">
        <f t="shared" si="15"/>
        <v>65.38</v>
      </c>
      <c r="BA33" s="35">
        <f t="shared" si="16"/>
        <v>65.38</v>
      </c>
      <c r="BB33" s="35">
        <f t="shared" si="17"/>
        <v>65.38</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49" t="s">
        <v>3077</v>
      </c>
      <c r="D34" s="2210" t="s">
        <v>3301</v>
      </c>
      <c r="E34" s="35">
        <f t="shared" si="7"/>
        <v>0</v>
      </c>
      <c r="F34" s="36"/>
      <c r="G34" s="37">
        <f t="shared" si="8"/>
        <v>64.69</v>
      </c>
      <c r="H34" s="38">
        <f t="shared" si="9"/>
        <v>64.69</v>
      </c>
      <c r="I34" s="39">
        <v>64.69</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t="str">
        <f t="shared" si="13"/>
        <v>3-1-904</v>
      </c>
      <c r="AY34" s="42">
        <f t="shared" si="14"/>
        <v>0</v>
      </c>
      <c r="AZ34" s="35">
        <f t="shared" si="15"/>
        <v>64.69</v>
      </c>
      <c r="BA34" s="35">
        <f t="shared" si="16"/>
        <v>64.69</v>
      </c>
      <c r="BB34" s="35">
        <f t="shared" si="17"/>
        <v>64.69</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49" t="s">
        <v>3078</v>
      </c>
      <c r="D35" s="2210" t="s">
        <v>3301</v>
      </c>
      <c r="E35" s="35">
        <f t="shared" si="7"/>
        <v>0</v>
      </c>
      <c r="F35" s="36"/>
      <c r="G35" s="37">
        <f t="shared" si="8"/>
        <v>65.38</v>
      </c>
      <c r="H35" s="38">
        <f t="shared" si="9"/>
        <v>65.38</v>
      </c>
      <c r="I35" s="39">
        <v>65.38</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t="str">
        <f t="shared" si="13"/>
        <v>3-1-1003</v>
      </c>
      <c r="AY35" s="42">
        <f t="shared" si="14"/>
        <v>0</v>
      </c>
      <c r="AZ35" s="35">
        <f t="shared" si="15"/>
        <v>65.38</v>
      </c>
      <c r="BA35" s="35">
        <f t="shared" si="16"/>
        <v>65.38</v>
      </c>
      <c r="BB35" s="35">
        <f t="shared" si="17"/>
        <v>65.38</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49" t="s">
        <v>3079</v>
      </c>
      <c r="D36" s="2210" t="s">
        <v>3301</v>
      </c>
      <c r="E36" s="35">
        <f t="shared" si="7"/>
        <v>0</v>
      </c>
      <c r="F36" s="36"/>
      <c r="G36" s="37">
        <f t="shared" si="8"/>
        <v>64.69</v>
      </c>
      <c r="H36" s="38">
        <f t="shared" si="9"/>
        <v>64.69</v>
      </c>
      <c r="I36" s="39">
        <v>64.69</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t="str">
        <f t="shared" si="13"/>
        <v>3-1-1004</v>
      </c>
      <c r="AY36" s="42">
        <f t="shared" si="14"/>
        <v>0</v>
      </c>
      <c r="AZ36" s="35">
        <f t="shared" si="15"/>
        <v>64.69</v>
      </c>
      <c r="BA36" s="35">
        <f t="shared" si="16"/>
        <v>64.69</v>
      </c>
      <c r="BB36" s="35">
        <f t="shared" si="17"/>
        <v>64.69</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49" t="s">
        <v>3080</v>
      </c>
      <c r="D37" s="2210" t="s">
        <v>3301</v>
      </c>
      <c r="E37" s="35">
        <f t="shared" si="7"/>
        <v>0</v>
      </c>
      <c r="F37" s="36"/>
      <c r="G37" s="37">
        <f t="shared" si="8"/>
        <v>65.38</v>
      </c>
      <c r="H37" s="38">
        <f t="shared" si="9"/>
        <v>65.38</v>
      </c>
      <c r="I37" s="39">
        <v>65.38</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t="str">
        <f t="shared" si="13"/>
        <v>3-1-1103</v>
      </c>
      <c r="AY37" s="42">
        <f t="shared" si="14"/>
        <v>0</v>
      </c>
      <c r="AZ37" s="35">
        <f t="shared" si="15"/>
        <v>65.38</v>
      </c>
      <c r="BA37" s="35">
        <f t="shared" si="16"/>
        <v>65.38</v>
      </c>
      <c r="BB37" s="35">
        <f t="shared" si="17"/>
        <v>65.38</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49" t="s">
        <v>3081</v>
      </c>
      <c r="D38" s="2210" t="s">
        <v>3301</v>
      </c>
      <c r="E38" s="35">
        <f t="shared" si="7"/>
        <v>0</v>
      </c>
      <c r="F38" s="36"/>
      <c r="G38" s="37">
        <f t="shared" si="8"/>
        <v>64.69</v>
      </c>
      <c r="H38" s="38">
        <f t="shared" si="9"/>
        <v>64.69</v>
      </c>
      <c r="I38" s="39">
        <v>64.69</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t="str">
        <f t="shared" si="13"/>
        <v>3-1-1104</v>
      </c>
      <c r="AY38" s="42">
        <f t="shared" si="14"/>
        <v>0</v>
      </c>
      <c r="AZ38" s="35">
        <f t="shared" si="15"/>
        <v>64.69</v>
      </c>
      <c r="BA38" s="35">
        <f t="shared" si="16"/>
        <v>64.69</v>
      </c>
      <c r="BB38" s="35">
        <f t="shared" si="17"/>
        <v>64.69</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49" t="s">
        <v>3082</v>
      </c>
      <c r="D39" s="2210" t="s">
        <v>3301</v>
      </c>
      <c r="E39" s="35">
        <f t="shared" si="7"/>
        <v>0</v>
      </c>
      <c r="F39" s="36"/>
      <c r="G39" s="37">
        <f t="shared" si="8"/>
        <v>65.38</v>
      </c>
      <c r="H39" s="38">
        <f t="shared" si="9"/>
        <v>65.38</v>
      </c>
      <c r="I39" s="39">
        <v>65.38</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t="str">
        <f t="shared" si="13"/>
        <v>3-1-1105</v>
      </c>
      <c r="AY39" s="42">
        <f t="shared" si="14"/>
        <v>0</v>
      </c>
      <c r="AZ39" s="35">
        <f t="shared" si="15"/>
        <v>65.38</v>
      </c>
      <c r="BA39" s="35">
        <f t="shared" si="16"/>
        <v>65.38</v>
      </c>
      <c r="BB39" s="35">
        <f t="shared" si="17"/>
        <v>65.38</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49" t="s">
        <v>3083</v>
      </c>
      <c r="D40" s="2210" t="s">
        <v>3301</v>
      </c>
      <c r="E40" s="35">
        <f t="shared" si="7"/>
        <v>0</v>
      </c>
      <c r="F40" s="36"/>
      <c r="G40" s="37">
        <f t="shared" si="8"/>
        <v>91.55</v>
      </c>
      <c r="H40" s="38">
        <f t="shared" si="9"/>
        <v>91.55</v>
      </c>
      <c r="I40" s="39">
        <v>91.55</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t="str">
        <f t="shared" si="13"/>
        <v>3-1-1201</v>
      </c>
      <c r="AY40" s="42">
        <f t="shared" si="14"/>
        <v>0</v>
      </c>
      <c r="AZ40" s="35">
        <f t="shared" si="15"/>
        <v>91.55</v>
      </c>
      <c r="BA40" s="35">
        <f t="shared" si="16"/>
        <v>91.55</v>
      </c>
      <c r="BB40" s="35">
        <f t="shared" si="17"/>
        <v>91.55</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49" t="s">
        <v>3084</v>
      </c>
      <c r="D41" s="2210" t="s">
        <v>3301</v>
      </c>
      <c r="E41" s="35">
        <f t="shared" si="7"/>
        <v>0</v>
      </c>
      <c r="F41" s="36"/>
      <c r="G41" s="37">
        <f t="shared" si="8"/>
        <v>65.38</v>
      </c>
      <c r="H41" s="38">
        <f t="shared" si="9"/>
        <v>65.38</v>
      </c>
      <c r="I41" s="39">
        <v>65.38</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t="str">
        <f t="shared" si="13"/>
        <v>3-1-1202</v>
      </c>
      <c r="AY41" s="42">
        <f t="shared" si="14"/>
        <v>0</v>
      </c>
      <c r="AZ41" s="35">
        <f t="shared" si="15"/>
        <v>65.38</v>
      </c>
      <c r="BA41" s="35">
        <f t="shared" si="16"/>
        <v>65.38</v>
      </c>
      <c r="BB41" s="35">
        <f t="shared" si="17"/>
        <v>65.38</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49" t="s">
        <v>3085</v>
      </c>
      <c r="D42" s="2210" t="s">
        <v>3301</v>
      </c>
      <c r="E42" s="35">
        <f t="shared" si="7"/>
        <v>0</v>
      </c>
      <c r="F42" s="36"/>
      <c r="G42" s="37">
        <f t="shared" si="8"/>
        <v>65.38</v>
      </c>
      <c r="H42" s="38">
        <f t="shared" si="9"/>
        <v>65.38</v>
      </c>
      <c r="I42" s="39">
        <v>65.38</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t="str">
        <f t="shared" si="13"/>
        <v>3-3-305</v>
      </c>
      <c r="AY42" s="42">
        <f t="shared" si="14"/>
        <v>0</v>
      </c>
      <c r="AZ42" s="35">
        <f t="shared" si="15"/>
        <v>65.38</v>
      </c>
      <c r="BA42" s="35">
        <f t="shared" si="16"/>
        <v>65.38</v>
      </c>
      <c r="BB42" s="35">
        <f t="shared" si="17"/>
        <v>65.38</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49" t="s">
        <v>3086</v>
      </c>
      <c r="D43" s="2210" t="s">
        <v>3301</v>
      </c>
      <c r="E43" s="35">
        <f t="shared" si="7"/>
        <v>0</v>
      </c>
      <c r="F43" s="36"/>
      <c r="G43" s="37">
        <f t="shared" si="8"/>
        <v>93.17</v>
      </c>
      <c r="H43" s="38">
        <f t="shared" si="9"/>
        <v>93.17</v>
      </c>
      <c r="I43" s="39">
        <v>93.17</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t="str">
        <f t="shared" si="13"/>
        <v>17-1-201</v>
      </c>
      <c r="AY43" s="42">
        <f t="shared" si="14"/>
        <v>0</v>
      </c>
      <c r="AZ43" s="35">
        <f t="shared" si="15"/>
        <v>93.17</v>
      </c>
      <c r="BA43" s="35">
        <f t="shared" si="16"/>
        <v>93.17</v>
      </c>
      <c r="BB43" s="35">
        <f t="shared" si="17"/>
        <v>93.17</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49" t="s">
        <v>3087</v>
      </c>
      <c r="D44" s="2210" t="s">
        <v>3301</v>
      </c>
      <c r="E44" s="35">
        <f t="shared" si="7"/>
        <v>0</v>
      </c>
      <c r="F44" s="36"/>
      <c r="G44" s="37">
        <f t="shared" si="8"/>
        <v>91.11</v>
      </c>
      <c r="H44" s="38">
        <f t="shared" si="9"/>
        <v>91.11</v>
      </c>
      <c r="I44" s="39">
        <v>91.11</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t="str">
        <f t="shared" si="13"/>
        <v>17-1-209</v>
      </c>
      <c r="AY44" s="42">
        <f t="shared" si="14"/>
        <v>0</v>
      </c>
      <c r="AZ44" s="35">
        <f t="shared" si="15"/>
        <v>91.11</v>
      </c>
      <c r="BA44" s="35">
        <f t="shared" si="16"/>
        <v>91.11</v>
      </c>
      <c r="BB44" s="35">
        <f t="shared" si="17"/>
        <v>91.11</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49" t="s">
        <v>3088</v>
      </c>
      <c r="D45" s="2210" t="s">
        <v>3301</v>
      </c>
      <c r="E45" s="35">
        <f t="shared" si="7"/>
        <v>0</v>
      </c>
      <c r="F45" s="36"/>
      <c r="G45" s="37">
        <f t="shared" si="8"/>
        <v>91.79</v>
      </c>
      <c r="H45" s="38">
        <f t="shared" si="9"/>
        <v>91.79</v>
      </c>
      <c r="I45" s="39">
        <v>91.79</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t="str">
        <f t="shared" si="13"/>
        <v>17-1-210</v>
      </c>
      <c r="AY45" s="42">
        <f t="shared" si="14"/>
        <v>0</v>
      </c>
      <c r="AZ45" s="35">
        <f t="shared" si="15"/>
        <v>91.79</v>
      </c>
      <c r="BA45" s="35">
        <f t="shared" si="16"/>
        <v>91.79</v>
      </c>
      <c r="BB45" s="35">
        <f t="shared" si="17"/>
        <v>91.79</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49" t="s">
        <v>3089</v>
      </c>
      <c r="D46" s="2210" t="s">
        <v>3301</v>
      </c>
      <c r="E46" s="35">
        <f t="shared" si="7"/>
        <v>0</v>
      </c>
      <c r="F46" s="36"/>
      <c r="G46" s="37">
        <f t="shared" si="8"/>
        <v>91.11</v>
      </c>
      <c r="H46" s="38">
        <f t="shared" si="9"/>
        <v>91.11</v>
      </c>
      <c r="I46" s="39">
        <v>91.11</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t="str">
        <f t="shared" si="13"/>
        <v>17-1-309</v>
      </c>
      <c r="AY46" s="42">
        <f t="shared" si="14"/>
        <v>0</v>
      </c>
      <c r="AZ46" s="35">
        <f t="shared" si="15"/>
        <v>91.11</v>
      </c>
      <c r="BA46" s="35">
        <f t="shared" si="16"/>
        <v>91.11</v>
      </c>
      <c r="BB46" s="35">
        <f t="shared" si="17"/>
        <v>91.11</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49" t="s">
        <v>3090</v>
      </c>
      <c r="D47" s="2210" t="s">
        <v>3301</v>
      </c>
      <c r="E47" s="35">
        <f t="shared" si="7"/>
        <v>0</v>
      </c>
      <c r="F47" s="36"/>
      <c r="G47" s="37">
        <f t="shared" si="8"/>
        <v>91.79</v>
      </c>
      <c r="H47" s="38">
        <f t="shared" si="9"/>
        <v>91.79</v>
      </c>
      <c r="I47" s="39">
        <v>91.79</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t="str">
        <f t="shared" si="13"/>
        <v>17-1-310</v>
      </c>
      <c r="AY47" s="42">
        <f t="shared" si="14"/>
        <v>0</v>
      </c>
      <c r="AZ47" s="35">
        <f t="shared" si="15"/>
        <v>91.79</v>
      </c>
      <c r="BA47" s="35">
        <f t="shared" si="16"/>
        <v>91.79</v>
      </c>
      <c r="BB47" s="35">
        <f t="shared" si="17"/>
        <v>91.79</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49" t="s">
        <v>3091</v>
      </c>
      <c r="D48" s="2210" t="s">
        <v>3301</v>
      </c>
      <c r="E48" s="35">
        <f t="shared" si="7"/>
        <v>0</v>
      </c>
      <c r="F48" s="36"/>
      <c r="G48" s="37">
        <f t="shared" si="8"/>
        <v>91.79</v>
      </c>
      <c r="H48" s="38">
        <f t="shared" si="9"/>
        <v>91.79</v>
      </c>
      <c r="I48" s="39">
        <v>91.79</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t="str">
        <f t="shared" si="13"/>
        <v>17-1-414</v>
      </c>
      <c r="AY48" s="42">
        <f t="shared" si="14"/>
        <v>0</v>
      </c>
      <c r="AZ48" s="35">
        <f t="shared" si="15"/>
        <v>91.79</v>
      </c>
      <c r="BA48" s="35">
        <f t="shared" si="16"/>
        <v>91.79</v>
      </c>
      <c r="BB48" s="35">
        <f t="shared" si="17"/>
        <v>91.79</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49" t="s">
        <v>3092</v>
      </c>
      <c r="D49" s="2210" t="s">
        <v>3301</v>
      </c>
      <c r="E49" s="35">
        <f t="shared" si="7"/>
        <v>0</v>
      </c>
      <c r="F49" s="36"/>
      <c r="G49" s="37">
        <f t="shared" si="8"/>
        <v>91.11</v>
      </c>
      <c r="H49" s="38">
        <f t="shared" si="9"/>
        <v>91.11</v>
      </c>
      <c r="I49" s="39">
        <v>91.11</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t="str">
        <f t="shared" si="13"/>
        <v>17-1-415</v>
      </c>
      <c r="AY49" s="42">
        <f t="shared" si="14"/>
        <v>0</v>
      </c>
      <c r="AZ49" s="35">
        <f t="shared" si="15"/>
        <v>91.11</v>
      </c>
      <c r="BA49" s="35">
        <f t="shared" si="16"/>
        <v>91.11</v>
      </c>
      <c r="BB49" s="35">
        <f t="shared" si="17"/>
        <v>91.11</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49" t="s">
        <v>3093</v>
      </c>
      <c r="D50" s="2210" t="s">
        <v>3301</v>
      </c>
      <c r="E50" s="35">
        <f t="shared" si="7"/>
        <v>0</v>
      </c>
      <c r="F50" s="36"/>
      <c r="G50" s="37">
        <f t="shared" si="8"/>
        <v>91.79</v>
      </c>
      <c r="H50" s="38">
        <f t="shared" si="9"/>
        <v>91.79</v>
      </c>
      <c r="I50" s="39">
        <v>91.79</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t="str">
        <f t="shared" si="13"/>
        <v>17-1-610</v>
      </c>
      <c r="AY50" s="42">
        <f t="shared" si="14"/>
        <v>0</v>
      </c>
      <c r="AZ50" s="35">
        <f t="shared" si="15"/>
        <v>91.79</v>
      </c>
      <c r="BA50" s="35">
        <f t="shared" si="16"/>
        <v>91.79</v>
      </c>
      <c r="BB50" s="35">
        <f t="shared" si="17"/>
        <v>91.79</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49" t="s">
        <v>3094</v>
      </c>
      <c r="D51" s="2210" t="s">
        <v>3301</v>
      </c>
      <c r="E51" s="35">
        <f t="shared" si="7"/>
        <v>0</v>
      </c>
      <c r="F51" s="36"/>
      <c r="G51" s="37">
        <f t="shared" si="8"/>
        <v>91.11</v>
      </c>
      <c r="H51" s="38">
        <f t="shared" si="9"/>
        <v>91.11</v>
      </c>
      <c r="I51" s="39">
        <v>91.11</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t="str">
        <f t="shared" si="13"/>
        <v>17-1-615</v>
      </c>
      <c r="AY51" s="42">
        <f t="shared" si="14"/>
        <v>0</v>
      </c>
      <c r="AZ51" s="35">
        <f t="shared" si="15"/>
        <v>91.11</v>
      </c>
      <c r="BA51" s="35">
        <f t="shared" si="16"/>
        <v>91.11</v>
      </c>
      <c r="BB51" s="35">
        <f t="shared" si="17"/>
        <v>91.11</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49" t="s">
        <v>3095</v>
      </c>
      <c r="D52" s="2210" t="s">
        <v>3301</v>
      </c>
      <c r="E52" s="35">
        <f t="shared" si="7"/>
        <v>0</v>
      </c>
      <c r="F52" s="36"/>
      <c r="G52" s="37">
        <f t="shared" si="8"/>
        <v>92.62</v>
      </c>
      <c r="H52" s="38">
        <f t="shared" si="9"/>
        <v>92.62</v>
      </c>
      <c r="I52" s="39">
        <v>92.62</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t="str">
        <f t="shared" si="13"/>
        <v>19-1-902</v>
      </c>
      <c r="AY52" s="42">
        <f t="shared" si="14"/>
        <v>0</v>
      </c>
      <c r="AZ52" s="35">
        <f t="shared" si="15"/>
        <v>92.62</v>
      </c>
      <c r="BA52" s="35">
        <f t="shared" si="16"/>
        <v>92.62</v>
      </c>
      <c r="BB52" s="35">
        <f t="shared" si="17"/>
        <v>92.62</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49" t="s">
        <v>3096</v>
      </c>
      <c r="D53" s="2210" t="s">
        <v>3301</v>
      </c>
      <c r="E53" s="35">
        <f t="shared" si="7"/>
        <v>0</v>
      </c>
      <c r="F53" s="36"/>
      <c r="G53" s="37">
        <f t="shared" si="8"/>
        <v>92.62</v>
      </c>
      <c r="H53" s="38">
        <f t="shared" si="9"/>
        <v>92.62</v>
      </c>
      <c r="I53" s="39">
        <v>92.62</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t="str">
        <f t="shared" si="13"/>
        <v>19-1-906</v>
      </c>
      <c r="AY53" s="42">
        <f t="shared" si="14"/>
        <v>0</v>
      </c>
      <c r="AZ53" s="35">
        <f t="shared" si="15"/>
        <v>92.62</v>
      </c>
      <c r="BA53" s="35">
        <f t="shared" si="16"/>
        <v>92.62</v>
      </c>
      <c r="BB53" s="35">
        <f t="shared" si="17"/>
        <v>92.62</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49" t="s">
        <v>3097</v>
      </c>
      <c r="D54" s="2210" t="s">
        <v>3301</v>
      </c>
      <c r="E54" s="35">
        <f t="shared" si="7"/>
        <v>0</v>
      </c>
      <c r="F54" s="36"/>
      <c r="G54" s="37">
        <f t="shared" si="8"/>
        <v>92.62</v>
      </c>
      <c r="H54" s="38">
        <f t="shared" si="9"/>
        <v>92.62</v>
      </c>
      <c r="I54" s="39">
        <v>92.62</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t="str">
        <f t="shared" si="13"/>
        <v>19-2-202</v>
      </c>
      <c r="AY54" s="42">
        <f t="shared" si="14"/>
        <v>0</v>
      </c>
      <c r="AZ54" s="35">
        <f t="shared" si="15"/>
        <v>92.62</v>
      </c>
      <c r="BA54" s="35">
        <f t="shared" si="16"/>
        <v>92.62</v>
      </c>
      <c r="BB54" s="35">
        <f t="shared" si="17"/>
        <v>92.62</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49" t="s">
        <v>3098</v>
      </c>
      <c r="D55" s="2210" t="s">
        <v>3301</v>
      </c>
      <c r="E55" s="35">
        <f t="shared" si="7"/>
        <v>0</v>
      </c>
      <c r="F55" s="36"/>
      <c r="G55" s="37">
        <f t="shared" si="8"/>
        <v>92.62</v>
      </c>
      <c r="H55" s="38">
        <f t="shared" si="9"/>
        <v>92.62</v>
      </c>
      <c r="I55" s="39">
        <v>92.62</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t="str">
        <f t="shared" si="13"/>
        <v>19-2-203</v>
      </c>
      <c r="AY55" s="42">
        <f t="shared" si="14"/>
        <v>0</v>
      </c>
      <c r="AZ55" s="35">
        <f t="shared" si="15"/>
        <v>92.62</v>
      </c>
      <c r="BA55" s="35">
        <f t="shared" si="16"/>
        <v>92.62</v>
      </c>
      <c r="BB55" s="35">
        <f t="shared" si="17"/>
        <v>92.62</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49" t="s">
        <v>3099</v>
      </c>
      <c r="D56" s="2210" t="s">
        <v>3301</v>
      </c>
      <c r="E56" s="35">
        <f t="shared" si="7"/>
        <v>0</v>
      </c>
      <c r="F56" s="36"/>
      <c r="G56" s="37">
        <f t="shared" si="8"/>
        <v>92.62</v>
      </c>
      <c r="H56" s="38">
        <f t="shared" si="9"/>
        <v>92.62</v>
      </c>
      <c r="I56" s="39">
        <v>92.62</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t="str">
        <f t="shared" si="13"/>
        <v>19-2-204</v>
      </c>
      <c r="AY56" s="42">
        <f t="shared" si="14"/>
        <v>0</v>
      </c>
      <c r="AZ56" s="35">
        <f t="shared" si="15"/>
        <v>92.62</v>
      </c>
      <c r="BA56" s="35">
        <f t="shared" si="16"/>
        <v>92.62</v>
      </c>
      <c r="BB56" s="35">
        <f t="shared" si="17"/>
        <v>92.62</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49" t="s">
        <v>3100</v>
      </c>
      <c r="D57" s="2210" t="s">
        <v>3301</v>
      </c>
      <c r="E57" s="35">
        <f t="shared" si="7"/>
        <v>0</v>
      </c>
      <c r="F57" s="36"/>
      <c r="G57" s="37">
        <f t="shared" si="8"/>
        <v>92.62</v>
      </c>
      <c r="H57" s="38">
        <f t="shared" si="9"/>
        <v>92.62</v>
      </c>
      <c r="I57" s="39">
        <v>92.62</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t="str">
        <f t="shared" si="13"/>
        <v>19-2-205</v>
      </c>
      <c r="AY57" s="42">
        <f t="shared" si="14"/>
        <v>0</v>
      </c>
      <c r="AZ57" s="35">
        <f t="shared" si="15"/>
        <v>92.62</v>
      </c>
      <c r="BA57" s="35">
        <f t="shared" si="16"/>
        <v>92.62</v>
      </c>
      <c r="BB57" s="35">
        <f t="shared" si="17"/>
        <v>92.62</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49" t="s">
        <v>3101</v>
      </c>
      <c r="D58" s="2210" t="s">
        <v>3301</v>
      </c>
      <c r="E58" s="35">
        <f t="shared" si="7"/>
        <v>0</v>
      </c>
      <c r="F58" s="36"/>
      <c r="G58" s="37">
        <f t="shared" si="8"/>
        <v>92.62</v>
      </c>
      <c r="H58" s="38">
        <f t="shared" si="9"/>
        <v>92.62</v>
      </c>
      <c r="I58" s="39">
        <v>92.62</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t="str">
        <f t="shared" si="13"/>
        <v>19-2-206</v>
      </c>
      <c r="AY58" s="42">
        <f t="shared" si="14"/>
        <v>0</v>
      </c>
      <c r="AZ58" s="35">
        <f t="shared" si="15"/>
        <v>92.62</v>
      </c>
      <c r="BA58" s="35">
        <f t="shared" si="16"/>
        <v>92.62</v>
      </c>
      <c r="BB58" s="35">
        <f t="shared" si="17"/>
        <v>92.62</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49" t="s">
        <v>3102</v>
      </c>
      <c r="D59" s="2210" t="s">
        <v>3301</v>
      </c>
      <c r="E59" s="35">
        <f t="shared" si="7"/>
        <v>0</v>
      </c>
      <c r="F59" s="36"/>
      <c r="G59" s="37">
        <f t="shared" si="8"/>
        <v>92.62</v>
      </c>
      <c r="H59" s="38">
        <f t="shared" si="9"/>
        <v>92.62</v>
      </c>
      <c r="I59" s="39">
        <v>92.62</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t="str">
        <f t="shared" si="13"/>
        <v>19-2-207</v>
      </c>
      <c r="AY59" s="42">
        <f t="shared" si="14"/>
        <v>0</v>
      </c>
      <c r="AZ59" s="35">
        <f t="shared" si="15"/>
        <v>92.62</v>
      </c>
      <c r="BA59" s="35">
        <f t="shared" si="16"/>
        <v>92.62</v>
      </c>
      <c r="BB59" s="35">
        <f t="shared" si="17"/>
        <v>92.62</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49" t="s">
        <v>3103</v>
      </c>
      <c r="D60" s="2210" t="s">
        <v>3301</v>
      </c>
      <c r="E60" s="35">
        <f t="shared" si="7"/>
        <v>0</v>
      </c>
      <c r="F60" s="36"/>
      <c r="G60" s="37">
        <f t="shared" si="8"/>
        <v>92.62</v>
      </c>
      <c r="H60" s="38">
        <f t="shared" si="9"/>
        <v>92.62</v>
      </c>
      <c r="I60" s="39">
        <v>92.62</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t="str">
        <f t="shared" si="13"/>
        <v>19-2-303</v>
      </c>
      <c r="AY60" s="42">
        <f t="shared" si="14"/>
        <v>0</v>
      </c>
      <c r="AZ60" s="35">
        <f t="shared" si="15"/>
        <v>92.62</v>
      </c>
      <c r="BA60" s="35">
        <f t="shared" si="16"/>
        <v>92.62</v>
      </c>
      <c r="BB60" s="35">
        <f t="shared" si="17"/>
        <v>92.62</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49" t="s">
        <v>3104</v>
      </c>
      <c r="D61" s="2210" t="s">
        <v>3301</v>
      </c>
      <c r="E61" s="35">
        <f t="shared" si="7"/>
        <v>0</v>
      </c>
      <c r="F61" s="36"/>
      <c r="G61" s="37">
        <f t="shared" si="8"/>
        <v>91.63</v>
      </c>
      <c r="H61" s="38">
        <f t="shared" si="9"/>
        <v>91.63</v>
      </c>
      <c r="I61" s="39">
        <v>91.63</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t="str">
        <f t="shared" si="13"/>
        <v>7-1-213</v>
      </c>
      <c r="AY61" s="42">
        <f t="shared" si="14"/>
        <v>0</v>
      </c>
      <c r="AZ61" s="35">
        <f t="shared" si="15"/>
        <v>91.63</v>
      </c>
      <c r="BA61" s="35">
        <f t="shared" si="16"/>
        <v>91.63</v>
      </c>
      <c r="BB61" s="35">
        <f t="shared" si="17"/>
        <v>91.63</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49" t="s">
        <v>3105</v>
      </c>
      <c r="D62" s="2210" t="s">
        <v>3301</v>
      </c>
      <c r="E62" s="35">
        <f t="shared" si="7"/>
        <v>0</v>
      </c>
      <c r="F62" s="36"/>
      <c r="G62" s="37">
        <f t="shared" si="8"/>
        <v>92.59</v>
      </c>
      <c r="H62" s="38">
        <f t="shared" si="9"/>
        <v>92.59</v>
      </c>
      <c r="I62" s="39">
        <v>92.59</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t="str">
        <f t="shared" si="13"/>
        <v>1-1-202</v>
      </c>
      <c r="AY62" s="42">
        <f t="shared" si="14"/>
        <v>0</v>
      </c>
      <c r="AZ62" s="35">
        <f t="shared" si="15"/>
        <v>92.59</v>
      </c>
      <c r="BA62" s="35">
        <f t="shared" si="16"/>
        <v>92.59</v>
      </c>
      <c r="BB62" s="35">
        <f t="shared" si="17"/>
        <v>92.59</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49" t="s">
        <v>3106</v>
      </c>
      <c r="D63" s="2210" t="s">
        <v>3301</v>
      </c>
      <c r="E63" s="35">
        <f t="shared" si="7"/>
        <v>0</v>
      </c>
      <c r="F63" s="36"/>
      <c r="G63" s="37">
        <f t="shared" si="8"/>
        <v>92.59</v>
      </c>
      <c r="H63" s="38">
        <f t="shared" si="9"/>
        <v>92.59</v>
      </c>
      <c r="I63" s="39">
        <v>92.59</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t="str">
        <f t="shared" si="13"/>
        <v>1-1-203</v>
      </c>
      <c r="AY63" s="42">
        <f t="shared" si="14"/>
        <v>0</v>
      </c>
      <c r="AZ63" s="35">
        <f t="shared" si="15"/>
        <v>92.59</v>
      </c>
      <c r="BA63" s="35">
        <f t="shared" si="16"/>
        <v>92.59</v>
      </c>
      <c r="BB63" s="35">
        <f t="shared" si="17"/>
        <v>92.59</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49" t="s">
        <v>3107</v>
      </c>
      <c r="D64" s="2210" t="s">
        <v>3301</v>
      </c>
      <c r="E64" s="35">
        <f t="shared" si="7"/>
        <v>0</v>
      </c>
      <c r="F64" s="36"/>
      <c r="G64" s="37">
        <f t="shared" si="8"/>
        <v>92.59</v>
      </c>
      <c r="H64" s="38">
        <f t="shared" si="9"/>
        <v>92.59</v>
      </c>
      <c r="I64" s="39">
        <v>92.59</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t="str">
        <f t="shared" si="13"/>
        <v>1-1-205</v>
      </c>
      <c r="AY64" s="42">
        <f t="shared" si="14"/>
        <v>0</v>
      </c>
      <c r="AZ64" s="35">
        <f t="shared" si="15"/>
        <v>92.59</v>
      </c>
      <c r="BA64" s="35">
        <f t="shared" si="16"/>
        <v>92.59</v>
      </c>
      <c r="BB64" s="35">
        <f t="shared" si="17"/>
        <v>92.59</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49" t="s">
        <v>3108</v>
      </c>
      <c r="D65" s="2210" t="s">
        <v>3301</v>
      </c>
      <c r="E65" s="35">
        <f t="shared" si="7"/>
        <v>0</v>
      </c>
      <c r="F65" s="36"/>
      <c r="G65" s="37">
        <f t="shared" si="8"/>
        <v>92.59</v>
      </c>
      <c r="H65" s="38">
        <f t="shared" si="9"/>
        <v>92.59</v>
      </c>
      <c r="I65" s="39">
        <v>92.59</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t="str">
        <f t="shared" si="13"/>
        <v>1-1-207</v>
      </c>
      <c r="AY65" s="42">
        <f t="shared" si="14"/>
        <v>0</v>
      </c>
      <c r="AZ65" s="35">
        <f t="shared" si="15"/>
        <v>92.59</v>
      </c>
      <c r="BA65" s="35">
        <f t="shared" si="16"/>
        <v>92.59</v>
      </c>
      <c r="BB65" s="35">
        <f t="shared" si="17"/>
        <v>92.59</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49" t="s">
        <v>3109</v>
      </c>
      <c r="D66" s="2210" t="s">
        <v>3301</v>
      </c>
      <c r="E66" s="35">
        <f t="shared" si="7"/>
        <v>0</v>
      </c>
      <c r="F66" s="36"/>
      <c r="G66" s="37">
        <f t="shared" si="8"/>
        <v>93.73</v>
      </c>
      <c r="H66" s="38">
        <f t="shared" si="9"/>
        <v>93.73</v>
      </c>
      <c r="I66" s="39">
        <v>93.73</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t="str">
        <f t="shared" si="13"/>
        <v>1-1-208</v>
      </c>
      <c r="AY66" s="42">
        <f t="shared" si="14"/>
        <v>0</v>
      </c>
      <c r="AZ66" s="35">
        <f t="shared" si="15"/>
        <v>93.73</v>
      </c>
      <c r="BA66" s="35">
        <f t="shared" si="16"/>
        <v>93.73</v>
      </c>
      <c r="BB66" s="35">
        <f t="shared" si="17"/>
        <v>93.73</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49" t="s">
        <v>3110</v>
      </c>
      <c r="D67" s="2210" t="s">
        <v>3301</v>
      </c>
      <c r="E67" s="35">
        <f t="shared" si="7"/>
        <v>0</v>
      </c>
      <c r="F67" s="36"/>
      <c r="G67" s="37">
        <f t="shared" si="8"/>
        <v>91.54</v>
      </c>
      <c r="H67" s="38">
        <f t="shared" si="9"/>
        <v>91.54</v>
      </c>
      <c r="I67" s="39">
        <v>91.54</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t="str">
        <f t="shared" si="13"/>
        <v>1-1-209</v>
      </c>
      <c r="AY67" s="42">
        <f t="shared" si="14"/>
        <v>0</v>
      </c>
      <c r="AZ67" s="35">
        <f t="shared" si="15"/>
        <v>91.54</v>
      </c>
      <c r="BA67" s="35">
        <f t="shared" si="16"/>
        <v>91.54</v>
      </c>
      <c r="BB67" s="35">
        <f t="shared" si="17"/>
        <v>91.54</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49" t="s">
        <v>3111</v>
      </c>
      <c r="D68" s="2210" t="s">
        <v>3301</v>
      </c>
      <c r="E68" s="35">
        <f t="shared" si="7"/>
        <v>0</v>
      </c>
      <c r="F68" s="36"/>
      <c r="G68" s="37">
        <f t="shared" si="8"/>
        <v>65.69</v>
      </c>
      <c r="H68" s="38">
        <f t="shared" si="9"/>
        <v>65.69</v>
      </c>
      <c r="I68" s="39">
        <v>65.69</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t="str">
        <f t="shared" si="13"/>
        <v>1-1-212</v>
      </c>
      <c r="AY68" s="42">
        <f t="shared" si="14"/>
        <v>0</v>
      </c>
      <c r="AZ68" s="35">
        <f t="shared" si="15"/>
        <v>65.69</v>
      </c>
      <c r="BA68" s="35">
        <f t="shared" si="16"/>
        <v>65.69</v>
      </c>
      <c r="BB68" s="35">
        <f t="shared" si="17"/>
        <v>65.69</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49" t="s">
        <v>3112</v>
      </c>
      <c r="D69" s="2210" t="s">
        <v>3301</v>
      </c>
      <c r="E69" s="35">
        <f t="shared" si="7"/>
        <v>0</v>
      </c>
      <c r="F69" s="36"/>
      <c r="G69" s="37">
        <f t="shared" si="8"/>
        <v>90.57</v>
      </c>
      <c r="H69" s="38">
        <f t="shared" si="9"/>
        <v>90.57</v>
      </c>
      <c r="I69" s="39">
        <v>90.57</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t="str">
        <f t="shared" si="13"/>
        <v>1-1-214</v>
      </c>
      <c r="AY69" s="42">
        <f t="shared" si="14"/>
        <v>0</v>
      </c>
      <c r="AZ69" s="35">
        <f t="shared" si="15"/>
        <v>90.57</v>
      </c>
      <c r="BA69" s="35">
        <f t="shared" si="16"/>
        <v>90.57</v>
      </c>
      <c r="BB69" s="35">
        <f t="shared" si="17"/>
        <v>90.57</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49" t="s">
        <v>3113</v>
      </c>
      <c r="D70" s="2210" t="s">
        <v>3301</v>
      </c>
      <c r="E70" s="35">
        <f t="shared" si="7"/>
        <v>0</v>
      </c>
      <c r="F70" s="36"/>
      <c r="G70" s="37">
        <f t="shared" si="8"/>
        <v>92.59</v>
      </c>
      <c r="H70" s="38">
        <f t="shared" si="9"/>
        <v>92.59</v>
      </c>
      <c r="I70" s="39">
        <v>92.59</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t="str">
        <f t="shared" si="13"/>
        <v>1-1-310</v>
      </c>
      <c r="AY70" s="42">
        <f t="shared" si="14"/>
        <v>0</v>
      </c>
      <c r="AZ70" s="35">
        <f t="shared" si="15"/>
        <v>92.59</v>
      </c>
      <c r="BA70" s="35">
        <f t="shared" si="16"/>
        <v>92.59</v>
      </c>
      <c r="BB70" s="35">
        <f t="shared" si="17"/>
        <v>92.59</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49" t="s">
        <v>3114</v>
      </c>
      <c r="D71" s="2210" t="s">
        <v>3301</v>
      </c>
      <c r="E71" s="35">
        <f t="shared" si="7"/>
        <v>0</v>
      </c>
      <c r="F71" s="36"/>
      <c r="G71" s="37">
        <f t="shared" si="8"/>
        <v>92.59</v>
      </c>
      <c r="H71" s="38">
        <f t="shared" si="9"/>
        <v>92.59</v>
      </c>
      <c r="I71" s="39">
        <v>92.59</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t="str">
        <f t="shared" si="13"/>
        <v>1-1-406</v>
      </c>
      <c r="AY71" s="42">
        <f t="shared" si="14"/>
        <v>0</v>
      </c>
      <c r="AZ71" s="35">
        <f t="shared" si="15"/>
        <v>92.59</v>
      </c>
      <c r="BA71" s="35">
        <f t="shared" si="16"/>
        <v>92.59</v>
      </c>
      <c r="BB71" s="35">
        <f t="shared" si="17"/>
        <v>92.59</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49" t="s">
        <v>3115</v>
      </c>
      <c r="D72" s="2210" t="s">
        <v>3301</v>
      </c>
      <c r="E72" s="35">
        <f t="shared" si="7"/>
        <v>0</v>
      </c>
      <c r="F72" s="36"/>
      <c r="G72" s="37">
        <f t="shared" si="8"/>
        <v>92.59</v>
      </c>
      <c r="H72" s="38">
        <f t="shared" si="9"/>
        <v>92.59</v>
      </c>
      <c r="I72" s="39">
        <v>92.59</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t="str">
        <f t="shared" si="13"/>
        <v>1-1-603</v>
      </c>
      <c r="AY72" s="42">
        <f t="shared" si="14"/>
        <v>0</v>
      </c>
      <c r="AZ72" s="35">
        <f t="shared" si="15"/>
        <v>92.59</v>
      </c>
      <c r="BA72" s="35">
        <f t="shared" si="16"/>
        <v>92.59</v>
      </c>
      <c r="BB72" s="35">
        <f t="shared" si="17"/>
        <v>92.59</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49" t="s">
        <v>3116</v>
      </c>
      <c r="D73" s="2210" t="s">
        <v>3301</v>
      </c>
      <c r="E73" s="35">
        <f t="shared" si="7"/>
        <v>0</v>
      </c>
      <c r="F73" s="36"/>
      <c r="G73" s="37">
        <f t="shared" si="8"/>
        <v>92.59</v>
      </c>
      <c r="H73" s="38">
        <f t="shared" si="9"/>
        <v>92.59</v>
      </c>
      <c r="I73" s="39">
        <v>92.59</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t="str">
        <f t="shared" si="13"/>
        <v>1-1-904</v>
      </c>
      <c r="AY73" s="42">
        <f t="shared" si="14"/>
        <v>0</v>
      </c>
      <c r="AZ73" s="35">
        <f t="shared" si="15"/>
        <v>92.59</v>
      </c>
      <c r="BA73" s="35">
        <f t="shared" si="16"/>
        <v>92.59</v>
      </c>
      <c r="BB73" s="35">
        <f t="shared" si="17"/>
        <v>92.59</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49" t="s">
        <v>3117</v>
      </c>
      <c r="D74" s="2210" t="s">
        <v>3301</v>
      </c>
      <c r="E74" s="35">
        <f t="shared" si="7"/>
        <v>0</v>
      </c>
      <c r="F74" s="36"/>
      <c r="G74" s="37">
        <f t="shared" si="8"/>
        <v>92.59</v>
      </c>
      <c r="H74" s="38">
        <f t="shared" si="9"/>
        <v>92.59</v>
      </c>
      <c r="I74" s="39">
        <v>92.59</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t="str">
        <f t="shared" si="13"/>
        <v>1-2-203</v>
      </c>
      <c r="AY74" s="42">
        <f t="shared" si="14"/>
        <v>0</v>
      </c>
      <c r="AZ74" s="35">
        <f t="shared" si="15"/>
        <v>92.59</v>
      </c>
      <c r="BA74" s="35">
        <f t="shared" si="16"/>
        <v>92.59</v>
      </c>
      <c r="BB74" s="35">
        <f t="shared" si="17"/>
        <v>92.59</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49" t="s">
        <v>3118</v>
      </c>
      <c r="D75" s="2210" t="s">
        <v>3301</v>
      </c>
      <c r="E75" s="35">
        <f t="shared" si="7"/>
        <v>0</v>
      </c>
      <c r="F75" s="36"/>
      <c r="G75" s="37">
        <f t="shared" si="8"/>
        <v>92.59</v>
      </c>
      <c r="H75" s="38">
        <f t="shared" si="9"/>
        <v>92.59</v>
      </c>
      <c r="I75" s="39">
        <v>92.59</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t="str">
        <f t="shared" si="13"/>
        <v>1-2-204</v>
      </c>
      <c r="AY75" s="42">
        <f t="shared" si="14"/>
        <v>0</v>
      </c>
      <c r="AZ75" s="35">
        <f t="shared" si="15"/>
        <v>92.59</v>
      </c>
      <c r="BA75" s="35">
        <f t="shared" si="16"/>
        <v>92.59</v>
      </c>
      <c r="BB75" s="35">
        <f t="shared" si="17"/>
        <v>92.59</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49" t="s">
        <v>3119</v>
      </c>
      <c r="D76" s="2210" t="s">
        <v>3301</v>
      </c>
      <c r="E76" s="35">
        <f t="shared" si="7"/>
        <v>0</v>
      </c>
      <c r="F76" s="36"/>
      <c r="G76" s="37">
        <f t="shared" si="8"/>
        <v>92.59</v>
      </c>
      <c r="H76" s="38">
        <f t="shared" si="9"/>
        <v>92.59</v>
      </c>
      <c r="I76" s="39">
        <v>92.59</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t="str">
        <f t="shared" si="13"/>
        <v>1-2-207</v>
      </c>
      <c r="AY76" s="42">
        <f t="shared" si="14"/>
        <v>0</v>
      </c>
      <c r="AZ76" s="35">
        <f t="shared" si="15"/>
        <v>92.59</v>
      </c>
      <c r="BA76" s="35">
        <f t="shared" si="16"/>
        <v>92.59</v>
      </c>
      <c r="BB76" s="35">
        <f t="shared" si="17"/>
        <v>92.59</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49" t="s">
        <v>3120</v>
      </c>
      <c r="D77" s="2210" t="s">
        <v>3301</v>
      </c>
      <c r="E77" s="35">
        <f t="shared" si="7"/>
        <v>0</v>
      </c>
      <c r="F77" s="36"/>
      <c r="G77" s="37">
        <f t="shared" si="8"/>
        <v>92.59</v>
      </c>
      <c r="H77" s="38">
        <f t="shared" si="9"/>
        <v>92.59</v>
      </c>
      <c r="I77" s="39">
        <v>92.59</v>
      </c>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t="str">
        <f t="shared" si="13"/>
        <v>1-2-214</v>
      </c>
      <c r="AY77" s="42">
        <f t="shared" si="14"/>
        <v>0</v>
      </c>
      <c r="AZ77" s="35">
        <f t="shared" si="15"/>
        <v>92.59</v>
      </c>
      <c r="BA77" s="35">
        <f t="shared" si="16"/>
        <v>92.59</v>
      </c>
      <c r="BB77" s="35">
        <f t="shared" si="17"/>
        <v>92.59</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49" t="s">
        <v>3121</v>
      </c>
      <c r="D78" s="2210" t="s">
        <v>3301</v>
      </c>
      <c r="E78" s="35">
        <f t="shared" si="7"/>
        <v>0</v>
      </c>
      <c r="F78" s="36"/>
      <c r="G78" s="37">
        <f t="shared" si="8"/>
        <v>92.59</v>
      </c>
      <c r="H78" s="38">
        <f t="shared" si="9"/>
        <v>92.59</v>
      </c>
      <c r="I78" s="39">
        <v>92.59</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t="str">
        <f t="shared" si="13"/>
        <v>1-2-902</v>
      </c>
      <c r="AY78" s="42">
        <f t="shared" si="14"/>
        <v>0</v>
      </c>
      <c r="AZ78" s="35">
        <f t="shared" si="15"/>
        <v>92.59</v>
      </c>
      <c r="BA78" s="35">
        <f t="shared" si="16"/>
        <v>92.59</v>
      </c>
      <c r="BB78" s="35">
        <f t="shared" si="17"/>
        <v>92.59</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49" t="s">
        <v>3122</v>
      </c>
      <c r="D79" s="2210" t="s">
        <v>3301</v>
      </c>
      <c r="E79" s="35">
        <f t="shared" si="7"/>
        <v>0</v>
      </c>
      <c r="F79" s="36"/>
      <c r="G79" s="37">
        <f t="shared" si="8"/>
        <v>92.59</v>
      </c>
      <c r="H79" s="38">
        <f t="shared" si="9"/>
        <v>92.59</v>
      </c>
      <c r="I79" s="39">
        <v>92.59</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t="str">
        <f t="shared" si="13"/>
        <v>1-2-903</v>
      </c>
      <c r="AY79" s="42">
        <f t="shared" si="14"/>
        <v>0</v>
      </c>
      <c r="AZ79" s="35">
        <f t="shared" si="15"/>
        <v>92.59</v>
      </c>
      <c r="BA79" s="35">
        <f t="shared" si="16"/>
        <v>92.59</v>
      </c>
      <c r="BB79" s="35">
        <f t="shared" si="17"/>
        <v>92.59</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49" t="s">
        <v>3123</v>
      </c>
      <c r="D80" s="2210" t="s">
        <v>3301</v>
      </c>
      <c r="E80" s="35">
        <f t="shared" si="7"/>
        <v>0</v>
      </c>
      <c r="F80" s="36"/>
      <c r="G80" s="37">
        <f t="shared" si="8"/>
        <v>92.59</v>
      </c>
      <c r="H80" s="38">
        <f t="shared" si="9"/>
        <v>92.59</v>
      </c>
      <c r="I80" s="39">
        <v>92.59</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t="str">
        <f t="shared" si="13"/>
        <v>1-2-904</v>
      </c>
      <c r="AY80" s="42">
        <f t="shared" si="14"/>
        <v>0</v>
      </c>
      <c r="AZ80" s="35">
        <f t="shared" si="15"/>
        <v>92.59</v>
      </c>
      <c r="BA80" s="35">
        <f t="shared" si="16"/>
        <v>92.59</v>
      </c>
      <c r="BB80" s="35">
        <f t="shared" si="17"/>
        <v>92.59</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49" t="s">
        <v>3124</v>
      </c>
      <c r="D81" s="2210" t="s">
        <v>3301</v>
      </c>
      <c r="E81" s="35">
        <f t="shared" si="7"/>
        <v>0</v>
      </c>
      <c r="F81" s="36"/>
      <c r="G81" s="37">
        <f t="shared" si="8"/>
        <v>92.59</v>
      </c>
      <c r="H81" s="38">
        <f t="shared" si="9"/>
        <v>92.59</v>
      </c>
      <c r="I81" s="39">
        <v>92.59</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t="str">
        <f t="shared" si="13"/>
        <v>1-2-905</v>
      </c>
      <c r="AY81" s="42">
        <f t="shared" si="14"/>
        <v>0</v>
      </c>
      <c r="AZ81" s="35">
        <f t="shared" si="15"/>
        <v>92.59</v>
      </c>
      <c r="BA81" s="35">
        <f t="shared" si="16"/>
        <v>92.59</v>
      </c>
      <c r="BB81" s="35">
        <f t="shared" si="17"/>
        <v>92.59</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49" t="s">
        <v>3125</v>
      </c>
      <c r="D82" s="2210" t="s">
        <v>3301</v>
      </c>
      <c r="E82" s="35">
        <f t="shared" si="7"/>
        <v>0</v>
      </c>
      <c r="F82" s="36"/>
      <c r="G82" s="37">
        <f t="shared" si="8"/>
        <v>93.73</v>
      </c>
      <c r="H82" s="38">
        <f t="shared" si="9"/>
        <v>93.73</v>
      </c>
      <c r="I82" s="39">
        <v>93.73</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t="str">
        <f t="shared" si="13"/>
        <v>1-3-201</v>
      </c>
      <c r="AY82" s="42">
        <f t="shared" si="14"/>
        <v>0</v>
      </c>
      <c r="AZ82" s="35">
        <f t="shared" si="15"/>
        <v>93.73</v>
      </c>
      <c r="BA82" s="35">
        <f t="shared" si="16"/>
        <v>93.73</v>
      </c>
      <c r="BB82" s="35">
        <f t="shared" si="17"/>
        <v>93.73</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49" t="s">
        <v>3126</v>
      </c>
      <c r="D83" s="2210" t="s">
        <v>3301</v>
      </c>
      <c r="E83" s="35">
        <f t="shared" si="7"/>
        <v>0</v>
      </c>
      <c r="F83" s="36"/>
      <c r="G83" s="37">
        <f t="shared" si="8"/>
        <v>92.59</v>
      </c>
      <c r="H83" s="38">
        <f t="shared" si="9"/>
        <v>92.59</v>
      </c>
      <c r="I83" s="39">
        <v>92.59</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t="str">
        <f t="shared" si="13"/>
        <v>1-3-202</v>
      </c>
      <c r="AY83" s="42">
        <f t="shared" si="14"/>
        <v>0</v>
      </c>
      <c r="AZ83" s="35">
        <f t="shared" si="15"/>
        <v>92.59</v>
      </c>
      <c r="BA83" s="35">
        <f t="shared" si="16"/>
        <v>92.59</v>
      </c>
      <c r="BB83" s="35">
        <f t="shared" si="17"/>
        <v>92.59</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49" t="s">
        <v>3127</v>
      </c>
      <c r="D84" s="2210" t="s">
        <v>3301</v>
      </c>
      <c r="E84" s="35">
        <f t="shared" si="7"/>
        <v>0</v>
      </c>
      <c r="F84" s="36"/>
      <c r="G84" s="37">
        <f t="shared" si="8"/>
        <v>92.59</v>
      </c>
      <c r="H84" s="38">
        <f t="shared" si="9"/>
        <v>92.59</v>
      </c>
      <c r="I84" s="39">
        <v>92.59</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t="str">
        <f t="shared" si="13"/>
        <v>1-3-203</v>
      </c>
      <c r="AY84" s="42">
        <f t="shared" si="14"/>
        <v>0</v>
      </c>
      <c r="AZ84" s="35">
        <f t="shared" si="15"/>
        <v>92.59</v>
      </c>
      <c r="BA84" s="35">
        <f t="shared" si="16"/>
        <v>92.59</v>
      </c>
      <c r="BB84" s="35">
        <f t="shared" si="17"/>
        <v>92.59</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49" t="s">
        <v>3128</v>
      </c>
      <c r="D85" s="2210" t="s">
        <v>3301</v>
      </c>
      <c r="E85" s="35">
        <f t="shared" si="7"/>
        <v>0</v>
      </c>
      <c r="F85" s="36"/>
      <c r="G85" s="37">
        <f t="shared" si="8"/>
        <v>92.59</v>
      </c>
      <c r="H85" s="38">
        <f t="shared" si="9"/>
        <v>92.59</v>
      </c>
      <c r="I85" s="39">
        <v>92.59</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t="str">
        <f t="shared" si="13"/>
        <v>1-3-204</v>
      </c>
      <c r="AY85" s="42">
        <f t="shared" si="14"/>
        <v>0</v>
      </c>
      <c r="AZ85" s="35">
        <f t="shared" si="15"/>
        <v>92.59</v>
      </c>
      <c r="BA85" s="35">
        <f t="shared" si="16"/>
        <v>92.59</v>
      </c>
      <c r="BB85" s="35">
        <f t="shared" si="17"/>
        <v>92.59</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49" t="s">
        <v>3129</v>
      </c>
      <c r="D86" s="2210" t="s">
        <v>3301</v>
      </c>
      <c r="E86" s="35">
        <f t="shared" si="7"/>
        <v>0</v>
      </c>
      <c r="F86" s="36"/>
      <c r="G86" s="37">
        <f t="shared" si="8"/>
        <v>92.59</v>
      </c>
      <c r="H86" s="38">
        <f t="shared" si="9"/>
        <v>92.59</v>
      </c>
      <c r="I86" s="39">
        <v>92.59</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t="str">
        <f t="shared" si="13"/>
        <v>1-3-205</v>
      </c>
      <c r="AY86" s="42">
        <f t="shared" si="14"/>
        <v>0</v>
      </c>
      <c r="AZ86" s="35">
        <f t="shared" si="15"/>
        <v>92.59</v>
      </c>
      <c r="BA86" s="35">
        <f t="shared" si="16"/>
        <v>92.59</v>
      </c>
      <c r="BB86" s="35">
        <f t="shared" si="17"/>
        <v>92.59</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49" t="s">
        <v>3130</v>
      </c>
      <c r="D87" s="2210" t="s">
        <v>3301</v>
      </c>
      <c r="E87" s="35">
        <f t="shared" si="7"/>
        <v>0</v>
      </c>
      <c r="F87" s="36"/>
      <c r="G87" s="37">
        <f t="shared" si="8"/>
        <v>92.59</v>
      </c>
      <c r="H87" s="38">
        <f t="shared" si="9"/>
        <v>92.59</v>
      </c>
      <c r="I87" s="39">
        <v>92.59</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t="str">
        <f t="shared" si="13"/>
        <v>1-3-206</v>
      </c>
      <c r="AY87" s="42">
        <f t="shared" si="14"/>
        <v>0</v>
      </c>
      <c r="AZ87" s="35">
        <f t="shared" si="15"/>
        <v>92.59</v>
      </c>
      <c r="BA87" s="35">
        <f t="shared" si="16"/>
        <v>92.59</v>
      </c>
      <c r="BB87" s="35">
        <f t="shared" si="17"/>
        <v>92.59</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49" t="s">
        <v>3131</v>
      </c>
      <c r="D88" s="2210" t="s">
        <v>3301</v>
      </c>
      <c r="E88" s="35">
        <f t="shared" si="7"/>
        <v>0</v>
      </c>
      <c r="F88" s="36"/>
      <c r="G88" s="37">
        <f t="shared" si="8"/>
        <v>92.59</v>
      </c>
      <c r="H88" s="38">
        <f t="shared" si="9"/>
        <v>92.59</v>
      </c>
      <c r="I88" s="39">
        <v>92.59</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t="str">
        <f t="shared" si="13"/>
        <v>1-3-207</v>
      </c>
      <c r="AY88" s="42">
        <f t="shared" si="14"/>
        <v>0</v>
      </c>
      <c r="AZ88" s="35">
        <f t="shared" si="15"/>
        <v>92.59</v>
      </c>
      <c r="BA88" s="35">
        <f t="shared" si="16"/>
        <v>92.59</v>
      </c>
      <c r="BB88" s="35">
        <f t="shared" si="17"/>
        <v>92.59</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49" t="s">
        <v>3132</v>
      </c>
      <c r="D89" s="2210" t="s">
        <v>3301</v>
      </c>
      <c r="E89" s="35">
        <f t="shared" si="7"/>
        <v>0</v>
      </c>
      <c r="F89" s="36"/>
      <c r="G89" s="37">
        <f t="shared" si="8"/>
        <v>92.59</v>
      </c>
      <c r="H89" s="38">
        <f t="shared" si="9"/>
        <v>92.59</v>
      </c>
      <c r="I89" s="39">
        <v>92.59</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t="str">
        <f t="shared" si="13"/>
        <v>1-3-210</v>
      </c>
      <c r="AY89" s="42">
        <f t="shared" si="14"/>
        <v>0</v>
      </c>
      <c r="AZ89" s="35">
        <f t="shared" si="15"/>
        <v>92.59</v>
      </c>
      <c r="BA89" s="35">
        <f t="shared" si="16"/>
        <v>92.59</v>
      </c>
      <c r="BB89" s="35">
        <f t="shared" si="17"/>
        <v>92.59</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49" t="s">
        <v>3133</v>
      </c>
      <c r="D90" s="2210" t="s">
        <v>3301</v>
      </c>
      <c r="E90" s="35">
        <f t="shared" si="7"/>
        <v>0</v>
      </c>
      <c r="F90" s="36"/>
      <c r="G90" s="37">
        <f t="shared" si="8"/>
        <v>92.59</v>
      </c>
      <c r="H90" s="38">
        <f t="shared" si="9"/>
        <v>92.59</v>
      </c>
      <c r="I90" s="39">
        <v>92.59</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t="str">
        <f t="shared" si="13"/>
        <v>1-3-314</v>
      </c>
      <c r="AY90" s="42">
        <f t="shared" si="14"/>
        <v>0</v>
      </c>
      <c r="AZ90" s="35">
        <f t="shared" si="15"/>
        <v>92.59</v>
      </c>
      <c r="BA90" s="35">
        <f t="shared" si="16"/>
        <v>92.59</v>
      </c>
      <c r="BB90" s="35">
        <f t="shared" si="17"/>
        <v>92.59</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49" t="s">
        <v>3134</v>
      </c>
      <c r="D91" s="2210" t="s">
        <v>3301</v>
      </c>
      <c r="E91" s="35">
        <f t="shared" si="7"/>
        <v>0</v>
      </c>
      <c r="F91" s="36"/>
      <c r="G91" s="37">
        <f t="shared" si="8"/>
        <v>93.73</v>
      </c>
      <c r="H91" s="38">
        <f t="shared" si="9"/>
        <v>93.73</v>
      </c>
      <c r="I91" s="39">
        <v>93.73</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t="str">
        <f t="shared" si="13"/>
        <v>1-3-901</v>
      </c>
      <c r="AY91" s="42">
        <f t="shared" si="14"/>
        <v>0</v>
      </c>
      <c r="AZ91" s="35">
        <f t="shared" si="15"/>
        <v>93.73</v>
      </c>
      <c r="BA91" s="35">
        <f t="shared" si="16"/>
        <v>93.73</v>
      </c>
      <c r="BB91" s="35">
        <f t="shared" si="17"/>
        <v>93.73</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49" t="s">
        <v>3135</v>
      </c>
      <c r="D92" s="2210" t="s">
        <v>3301</v>
      </c>
      <c r="E92" s="35">
        <f t="shared" si="7"/>
        <v>0</v>
      </c>
      <c r="F92" s="36"/>
      <c r="G92" s="37">
        <f t="shared" si="8"/>
        <v>92.59</v>
      </c>
      <c r="H92" s="38">
        <f t="shared" si="9"/>
        <v>92.59</v>
      </c>
      <c r="I92" s="39">
        <v>92.59</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t="str">
        <f t="shared" si="13"/>
        <v>1-3-904</v>
      </c>
      <c r="AY92" s="42">
        <f t="shared" si="14"/>
        <v>0</v>
      </c>
      <c r="AZ92" s="35">
        <f t="shared" si="15"/>
        <v>92.59</v>
      </c>
      <c r="BA92" s="35">
        <f t="shared" si="16"/>
        <v>92.59</v>
      </c>
      <c r="BB92" s="35">
        <f t="shared" si="17"/>
        <v>92.59</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49" t="s">
        <v>3136</v>
      </c>
      <c r="D93" s="2210" t="s">
        <v>3301</v>
      </c>
      <c r="E93" s="35">
        <f t="shared" si="7"/>
        <v>0</v>
      </c>
      <c r="F93" s="36"/>
      <c r="G93" s="37">
        <f t="shared" si="8"/>
        <v>92.59</v>
      </c>
      <c r="H93" s="38">
        <f t="shared" si="9"/>
        <v>92.59</v>
      </c>
      <c r="I93" s="39">
        <v>92.59</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t="str">
        <f t="shared" si="13"/>
        <v>1-3-905</v>
      </c>
      <c r="AY93" s="42">
        <f t="shared" si="14"/>
        <v>0</v>
      </c>
      <c r="AZ93" s="35">
        <f t="shared" si="15"/>
        <v>92.59</v>
      </c>
      <c r="BA93" s="35">
        <f t="shared" si="16"/>
        <v>92.59</v>
      </c>
      <c r="BB93" s="35">
        <f t="shared" si="17"/>
        <v>92.59</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49" t="s">
        <v>3137</v>
      </c>
      <c r="D94" s="2210" t="s">
        <v>3301</v>
      </c>
      <c r="E94" s="35">
        <f t="shared" si="7"/>
        <v>0</v>
      </c>
      <c r="F94" s="36"/>
      <c r="G94" s="37">
        <f t="shared" si="8"/>
        <v>92.59</v>
      </c>
      <c r="H94" s="38">
        <f t="shared" si="9"/>
        <v>92.59</v>
      </c>
      <c r="I94" s="39">
        <v>92.59</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t="str">
        <f t="shared" si="13"/>
        <v>1-3-906</v>
      </c>
      <c r="AY94" s="42">
        <f t="shared" si="14"/>
        <v>0</v>
      </c>
      <c r="AZ94" s="35">
        <f t="shared" si="15"/>
        <v>92.59</v>
      </c>
      <c r="BA94" s="35">
        <f t="shared" si="16"/>
        <v>92.59</v>
      </c>
      <c r="BB94" s="35">
        <f t="shared" si="17"/>
        <v>92.59</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49" t="s">
        <v>3138</v>
      </c>
      <c r="D95" s="2210" t="s">
        <v>3301</v>
      </c>
      <c r="E95" s="35">
        <f t="shared" si="7"/>
        <v>0</v>
      </c>
      <c r="F95" s="36"/>
      <c r="G95" s="37">
        <f t="shared" si="8"/>
        <v>91.19</v>
      </c>
      <c r="H95" s="38">
        <f t="shared" si="9"/>
        <v>91.19</v>
      </c>
      <c r="I95" s="39">
        <v>91.19</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t="str">
        <f t="shared" si="13"/>
        <v>3-1-309</v>
      </c>
      <c r="AY95" s="42">
        <f t="shared" si="14"/>
        <v>0</v>
      </c>
      <c r="AZ95" s="35">
        <f t="shared" si="15"/>
        <v>91.19</v>
      </c>
      <c r="BA95" s="35">
        <f t="shared" si="16"/>
        <v>91.19</v>
      </c>
      <c r="BB95" s="35">
        <f t="shared" si="17"/>
        <v>91.19</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49" t="s">
        <v>3139</v>
      </c>
      <c r="D96" s="2210" t="s">
        <v>3301</v>
      </c>
      <c r="E96" s="35">
        <f t="shared" si="7"/>
        <v>0</v>
      </c>
      <c r="F96" s="36"/>
      <c r="G96" s="37">
        <f t="shared" si="8"/>
        <v>91.19</v>
      </c>
      <c r="H96" s="38">
        <f t="shared" si="9"/>
        <v>91.19</v>
      </c>
      <c r="I96" s="39">
        <v>91.19</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t="str">
        <f t="shared" si="13"/>
        <v>3-1-311</v>
      </c>
      <c r="AY96" s="42">
        <f t="shared" si="14"/>
        <v>0</v>
      </c>
      <c r="AZ96" s="35">
        <f t="shared" si="15"/>
        <v>91.19</v>
      </c>
      <c r="BA96" s="35">
        <f t="shared" si="16"/>
        <v>91.19</v>
      </c>
      <c r="BB96" s="35">
        <f t="shared" si="17"/>
        <v>91.19</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49" t="s">
        <v>3140</v>
      </c>
      <c r="D97" s="2210" t="s">
        <v>3301</v>
      </c>
      <c r="E97" s="35">
        <f t="shared" si="7"/>
        <v>0</v>
      </c>
      <c r="F97" s="36"/>
      <c r="G97" s="37">
        <f t="shared" si="8"/>
        <v>91.19</v>
      </c>
      <c r="H97" s="38">
        <f t="shared" si="9"/>
        <v>91.19</v>
      </c>
      <c r="I97" s="39">
        <v>91.19</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t="str">
        <f t="shared" si="13"/>
        <v>3-1-313</v>
      </c>
      <c r="AY97" s="42">
        <f t="shared" si="14"/>
        <v>0</v>
      </c>
      <c r="AZ97" s="35">
        <f t="shared" si="15"/>
        <v>91.19</v>
      </c>
      <c r="BA97" s="35">
        <f t="shared" si="16"/>
        <v>91.19</v>
      </c>
      <c r="BB97" s="35">
        <f t="shared" si="17"/>
        <v>91.19</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49" t="s">
        <v>3141</v>
      </c>
      <c r="D98" s="2210" t="s">
        <v>3301</v>
      </c>
      <c r="E98" s="35">
        <f t="shared" si="7"/>
        <v>0</v>
      </c>
      <c r="F98" s="36"/>
      <c r="G98" s="37">
        <f t="shared" si="8"/>
        <v>91.19</v>
      </c>
      <c r="H98" s="38">
        <f t="shared" si="9"/>
        <v>91.19</v>
      </c>
      <c r="I98" s="39">
        <v>91.19</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t="str">
        <f t="shared" si="13"/>
        <v>3-1-402</v>
      </c>
      <c r="AY98" s="42">
        <f t="shared" si="14"/>
        <v>0</v>
      </c>
      <c r="AZ98" s="35">
        <f t="shared" si="15"/>
        <v>91.19</v>
      </c>
      <c r="BA98" s="35">
        <f t="shared" si="16"/>
        <v>91.19</v>
      </c>
      <c r="BB98" s="35">
        <f t="shared" si="17"/>
        <v>91.19</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49" t="s">
        <v>3142</v>
      </c>
      <c r="D99" s="2210" t="s">
        <v>3301</v>
      </c>
      <c r="E99" s="35">
        <f t="shared" si="7"/>
        <v>0</v>
      </c>
      <c r="F99" s="36"/>
      <c r="G99" s="37">
        <f t="shared" si="8"/>
        <v>91.19</v>
      </c>
      <c r="H99" s="38">
        <f t="shared" si="9"/>
        <v>91.19</v>
      </c>
      <c r="I99" s="39">
        <v>91.19</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t="str">
        <f t="shared" si="13"/>
        <v>3-1-711</v>
      </c>
      <c r="AY99" s="42">
        <f t="shared" si="14"/>
        <v>0</v>
      </c>
      <c r="AZ99" s="35">
        <f t="shared" si="15"/>
        <v>91.19</v>
      </c>
      <c r="BA99" s="35">
        <f t="shared" si="16"/>
        <v>91.19</v>
      </c>
      <c r="BB99" s="35">
        <f t="shared" si="17"/>
        <v>91.19</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49" t="s">
        <v>3143</v>
      </c>
      <c r="D100" s="2210" t="s">
        <v>3301</v>
      </c>
      <c r="E100" s="35">
        <f t="shared" si="7"/>
        <v>0</v>
      </c>
      <c r="F100" s="36"/>
      <c r="G100" s="37">
        <f t="shared" si="8"/>
        <v>91.19</v>
      </c>
      <c r="H100" s="38">
        <f t="shared" si="9"/>
        <v>91.19</v>
      </c>
      <c r="I100" s="39">
        <v>91.19</v>
      </c>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t="str">
        <f t="shared" si="13"/>
        <v>3-1-806</v>
      </c>
      <c r="AY100" s="42">
        <f t="shared" si="14"/>
        <v>0</v>
      </c>
      <c r="AZ100" s="35">
        <f t="shared" si="15"/>
        <v>91.19</v>
      </c>
      <c r="BA100" s="35">
        <f t="shared" si="16"/>
        <v>91.19</v>
      </c>
      <c r="BB100" s="35">
        <f t="shared" si="17"/>
        <v>91.19</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49" t="s">
        <v>3144</v>
      </c>
      <c r="D101" s="2210" t="s">
        <v>3301</v>
      </c>
      <c r="E101" s="35">
        <f t="shared" si="7"/>
        <v>0</v>
      </c>
      <c r="F101" s="36"/>
      <c r="G101" s="37">
        <f t="shared" si="8"/>
        <v>90.1</v>
      </c>
      <c r="H101" s="38">
        <f t="shared" si="9"/>
        <v>90.1</v>
      </c>
      <c r="I101" s="39">
        <v>90.1</v>
      </c>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t="str">
        <f t="shared" si="13"/>
        <v>3-1-807</v>
      </c>
      <c r="AY101" s="42">
        <f t="shared" si="14"/>
        <v>0</v>
      </c>
      <c r="AZ101" s="35">
        <f t="shared" si="15"/>
        <v>90.1</v>
      </c>
      <c r="BA101" s="35">
        <f t="shared" si="16"/>
        <v>90.1</v>
      </c>
      <c r="BB101" s="35">
        <f t="shared" si="17"/>
        <v>90.1</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49" t="s">
        <v>3145</v>
      </c>
      <c r="D102" s="2210" t="s">
        <v>3301</v>
      </c>
      <c r="E102" s="35">
        <f t="shared" si="7"/>
        <v>0</v>
      </c>
      <c r="F102" s="36"/>
      <c r="G102" s="37">
        <f t="shared" si="8"/>
        <v>92.19</v>
      </c>
      <c r="H102" s="38">
        <f t="shared" si="9"/>
        <v>92.19</v>
      </c>
      <c r="I102" s="39">
        <v>92.19</v>
      </c>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t="str">
        <f t="shared" si="13"/>
        <v>3-1-808</v>
      </c>
      <c r="AY102" s="42">
        <f t="shared" si="14"/>
        <v>0</v>
      </c>
      <c r="AZ102" s="35">
        <f t="shared" si="15"/>
        <v>92.19</v>
      </c>
      <c r="BA102" s="35">
        <f t="shared" si="16"/>
        <v>92.19</v>
      </c>
      <c r="BB102" s="35">
        <f t="shared" si="17"/>
        <v>92.19</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49" t="s">
        <v>3146</v>
      </c>
      <c r="D103" s="2210" t="s">
        <v>3301</v>
      </c>
      <c r="E103" s="35">
        <f t="shared" si="7"/>
        <v>0</v>
      </c>
      <c r="F103" s="36"/>
      <c r="G103" s="37">
        <f t="shared" si="8"/>
        <v>91.19</v>
      </c>
      <c r="H103" s="38">
        <f t="shared" si="9"/>
        <v>91.19</v>
      </c>
      <c r="I103" s="39">
        <v>91.19</v>
      </c>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t="str">
        <f t="shared" si="13"/>
        <v>3-1-809</v>
      </c>
      <c r="AY103" s="42">
        <f t="shared" si="14"/>
        <v>0</v>
      </c>
      <c r="AZ103" s="35">
        <f t="shared" si="15"/>
        <v>91.19</v>
      </c>
      <c r="BA103" s="35">
        <f t="shared" si="16"/>
        <v>91.19</v>
      </c>
      <c r="BB103" s="35">
        <f t="shared" si="17"/>
        <v>91.19</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49" t="s">
        <v>3147</v>
      </c>
      <c r="D104" s="2210" t="s">
        <v>3301</v>
      </c>
      <c r="E104" s="35">
        <f t="shared" si="7"/>
        <v>0</v>
      </c>
      <c r="F104" s="36"/>
      <c r="G104" s="37">
        <f t="shared" si="8"/>
        <v>91.19</v>
      </c>
      <c r="H104" s="38">
        <f t="shared" si="9"/>
        <v>91.19</v>
      </c>
      <c r="I104" s="39">
        <v>91.19</v>
      </c>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t="str">
        <f t="shared" si="13"/>
        <v>3-1-810</v>
      </c>
      <c r="AY104" s="42">
        <f t="shared" si="14"/>
        <v>0</v>
      </c>
      <c r="AZ104" s="35">
        <f t="shared" si="15"/>
        <v>91.19</v>
      </c>
      <c r="BA104" s="35">
        <f t="shared" si="16"/>
        <v>91.19</v>
      </c>
      <c r="BB104" s="35">
        <f t="shared" si="17"/>
        <v>91.19</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49" t="s">
        <v>3148</v>
      </c>
      <c r="D105" s="2210" t="s">
        <v>3301</v>
      </c>
      <c r="E105" s="35">
        <f t="shared" si="7"/>
        <v>0</v>
      </c>
      <c r="F105" s="36"/>
      <c r="G105" s="37">
        <f t="shared" si="8"/>
        <v>91.19</v>
      </c>
      <c r="H105" s="38">
        <f t="shared" si="9"/>
        <v>91.19</v>
      </c>
      <c r="I105" s="39">
        <v>91.19</v>
      </c>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t="str">
        <f t="shared" si="13"/>
        <v>3-1-811</v>
      </c>
      <c r="AY105" s="42">
        <f t="shared" si="14"/>
        <v>0</v>
      </c>
      <c r="AZ105" s="35">
        <f t="shared" si="15"/>
        <v>91.19</v>
      </c>
      <c r="BA105" s="35">
        <f t="shared" si="16"/>
        <v>91.19</v>
      </c>
      <c r="BB105" s="35">
        <f t="shared" si="17"/>
        <v>91.19</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49" t="s">
        <v>3149</v>
      </c>
      <c r="D106" s="2210" t="s">
        <v>3301</v>
      </c>
      <c r="E106" s="35">
        <f t="shared" si="7"/>
        <v>0</v>
      </c>
      <c r="F106" s="36"/>
      <c r="G106" s="37">
        <f t="shared" si="8"/>
        <v>91.19</v>
      </c>
      <c r="H106" s="38">
        <f t="shared" si="9"/>
        <v>91.19</v>
      </c>
      <c r="I106" s="39">
        <v>91.19</v>
      </c>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t="str">
        <f t="shared" si="13"/>
        <v>3-1-812</v>
      </c>
      <c r="AY106" s="42">
        <f t="shared" si="14"/>
        <v>0</v>
      </c>
      <c r="AZ106" s="35">
        <f t="shared" si="15"/>
        <v>91.19</v>
      </c>
      <c r="BA106" s="35">
        <f t="shared" si="16"/>
        <v>91.19</v>
      </c>
      <c r="BB106" s="35">
        <f t="shared" si="17"/>
        <v>91.19</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49" t="s">
        <v>3150</v>
      </c>
      <c r="D107" s="2210" t="s">
        <v>3301</v>
      </c>
      <c r="E107" s="35">
        <f t="shared" si="7"/>
        <v>0</v>
      </c>
      <c r="F107" s="36"/>
      <c r="G107" s="37">
        <f t="shared" si="8"/>
        <v>91.19</v>
      </c>
      <c r="H107" s="38">
        <f t="shared" si="9"/>
        <v>91.19</v>
      </c>
      <c r="I107" s="39">
        <v>91.19</v>
      </c>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t="str">
        <f t="shared" si="13"/>
        <v>3-1-813</v>
      </c>
      <c r="AY107" s="42">
        <f t="shared" si="14"/>
        <v>0</v>
      </c>
      <c r="AZ107" s="35">
        <f t="shared" si="15"/>
        <v>91.19</v>
      </c>
      <c r="BA107" s="35">
        <f t="shared" si="16"/>
        <v>91.19</v>
      </c>
      <c r="BB107" s="35">
        <f t="shared" si="17"/>
        <v>91.19</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49" t="s">
        <v>3151</v>
      </c>
      <c r="D108" s="2210" t="s">
        <v>3301</v>
      </c>
      <c r="E108" s="35">
        <f t="shared" si="7"/>
        <v>0</v>
      </c>
      <c r="F108" s="36"/>
      <c r="G108" s="37">
        <f t="shared" si="8"/>
        <v>64.69</v>
      </c>
      <c r="H108" s="38">
        <f t="shared" si="9"/>
        <v>64.69</v>
      </c>
      <c r="I108" s="39">
        <v>64.69</v>
      </c>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t="str">
        <f t="shared" si="13"/>
        <v>3-1-1203</v>
      </c>
      <c r="AY108" s="42">
        <f t="shared" si="14"/>
        <v>0</v>
      </c>
      <c r="AZ108" s="35">
        <f t="shared" si="15"/>
        <v>64.69</v>
      </c>
      <c r="BA108" s="35">
        <f t="shared" si="16"/>
        <v>64.69</v>
      </c>
      <c r="BB108" s="35">
        <f t="shared" si="17"/>
        <v>64.69</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49" t="s">
        <v>3152</v>
      </c>
      <c r="D109" s="2210" t="s">
        <v>3301</v>
      </c>
      <c r="E109" s="35">
        <f t="shared" si="7"/>
        <v>0</v>
      </c>
      <c r="F109" s="36"/>
      <c r="G109" s="37">
        <f t="shared" si="8"/>
        <v>65.38</v>
      </c>
      <c r="H109" s="38">
        <f t="shared" si="9"/>
        <v>65.38</v>
      </c>
      <c r="I109" s="39">
        <v>65.38</v>
      </c>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t="str">
        <f t="shared" si="13"/>
        <v>3-1-1204</v>
      </c>
      <c r="AY109" s="42">
        <f t="shared" si="14"/>
        <v>0</v>
      </c>
      <c r="AZ109" s="35">
        <f t="shared" si="15"/>
        <v>65.38</v>
      </c>
      <c r="BA109" s="35">
        <f t="shared" si="16"/>
        <v>65.38</v>
      </c>
      <c r="BB109" s="35">
        <f t="shared" si="17"/>
        <v>65.38</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1272" t="s">
        <v>3153</v>
      </c>
      <c r="D110" s="2210" t="s">
        <v>3301</v>
      </c>
      <c r="E110" s="35">
        <f t="shared" si="7"/>
        <v>0</v>
      </c>
      <c r="F110" s="44"/>
      <c r="G110" s="37">
        <f t="shared" ref="G110:G141" si="36">H110+AC110+AT110</f>
        <v>91.19</v>
      </c>
      <c r="H110" s="38">
        <f t="shared" ref="H110:H141" si="37">SUMIF(I$12:AB$12,"总值",I110:AB110)</f>
        <v>91.19</v>
      </c>
      <c r="I110" s="10">
        <v>91.19</v>
      </c>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t="str">
        <f t="shared" si="13"/>
        <v>3-1-1209</v>
      </c>
      <c r="AY110" s="42">
        <f t="shared" ref="AY110:AY141" si="39">ROUND($AY$6*AZ110/$AZ$5,2)</f>
        <v>0</v>
      </c>
      <c r="AZ110" s="35">
        <f t="shared" ref="AZ110:AZ141" si="40">BA110+BL110</f>
        <v>91.19</v>
      </c>
      <c r="BA110" s="35">
        <f t="shared" ref="BA110:BA141" si="41">SUM(BB110:BK110)</f>
        <v>91.19</v>
      </c>
      <c r="BB110" s="35">
        <f t="shared" ref="BB110:BB141" si="42">IF($D110="是",I110-J110,0)</f>
        <v>91.19</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1272" t="s">
        <v>3154</v>
      </c>
      <c r="D111" s="2210" t="s">
        <v>3301</v>
      </c>
      <c r="E111" s="35">
        <f t="shared" si="7"/>
        <v>0</v>
      </c>
      <c r="F111" s="44"/>
      <c r="G111" s="37">
        <f t="shared" si="36"/>
        <v>91.19</v>
      </c>
      <c r="H111" s="38">
        <f t="shared" si="37"/>
        <v>91.19</v>
      </c>
      <c r="I111" s="39">
        <v>91.19</v>
      </c>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t="str">
        <f t="shared" si="13"/>
        <v>3-1-1210</v>
      </c>
      <c r="AY111" s="42">
        <f t="shared" si="39"/>
        <v>0</v>
      </c>
      <c r="AZ111" s="35">
        <f t="shared" si="40"/>
        <v>91.19</v>
      </c>
      <c r="BA111" s="35">
        <f t="shared" si="41"/>
        <v>91.19</v>
      </c>
      <c r="BB111" s="35">
        <f t="shared" si="42"/>
        <v>91.19</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1272" t="s">
        <v>3155</v>
      </c>
      <c r="D112" s="2210" t="s">
        <v>3301</v>
      </c>
      <c r="E112" s="35">
        <f t="shared" si="7"/>
        <v>0</v>
      </c>
      <c r="F112" s="44"/>
      <c r="G112" s="37">
        <f t="shared" si="36"/>
        <v>91.55</v>
      </c>
      <c r="H112" s="38">
        <f t="shared" si="37"/>
        <v>91.55</v>
      </c>
      <c r="I112" s="39">
        <v>91.55</v>
      </c>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t="str">
        <f t="shared" si="13"/>
        <v>3-1-1213</v>
      </c>
      <c r="AY112" s="42">
        <f t="shared" si="39"/>
        <v>0</v>
      </c>
      <c r="AZ112" s="35">
        <f t="shared" si="40"/>
        <v>91.55</v>
      </c>
      <c r="BA112" s="35">
        <f t="shared" si="41"/>
        <v>91.55</v>
      </c>
      <c r="BB112" s="35">
        <f t="shared" si="42"/>
        <v>91.55</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49" t="s">
        <v>3156</v>
      </c>
      <c r="D113" s="2210" t="s">
        <v>3301</v>
      </c>
      <c r="E113" s="35">
        <f t="shared" ref="E113:E144" si="61">IF($C$3="是",ROUND($A$3*G113/$B$3,2),ROUND($A$3*(G113-AT113)/$B$3,2))</f>
        <v>0</v>
      </c>
      <c r="F113" s="36"/>
      <c r="G113" s="37">
        <f t="shared" si="36"/>
        <v>91.19</v>
      </c>
      <c r="H113" s="38">
        <f t="shared" si="37"/>
        <v>91.19</v>
      </c>
      <c r="I113" s="39">
        <v>91.19</v>
      </c>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t="str">
        <f t="shared" ref="AX113:AX144" si="64">C113</f>
        <v>3-2-409</v>
      </c>
      <c r="AY113" s="42">
        <f t="shared" si="39"/>
        <v>0</v>
      </c>
      <c r="AZ113" s="35">
        <f t="shared" si="40"/>
        <v>91.19</v>
      </c>
      <c r="BA113" s="35">
        <f t="shared" si="41"/>
        <v>91.19</v>
      </c>
      <c r="BB113" s="35">
        <f t="shared" si="42"/>
        <v>91.19</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49" t="s">
        <v>3157</v>
      </c>
      <c r="D114" s="2210" t="s">
        <v>3301</v>
      </c>
      <c r="E114" s="35">
        <f t="shared" si="61"/>
        <v>0</v>
      </c>
      <c r="F114" s="36"/>
      <c r="G114" s="37">
        <f t="shared" si="36"/>
        <v>90.1</v>
      </c>
      <c r="H114" s="38">
        <f t="shared" si="37"/>
        <v>90.1</v>
      </c>
      <c r="I114" s="39">
        <v>90.1</v>
      </c>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t="str">
        <f t="shared" si="64"/>
        <v>3-2-901</v>
      </c>
      <c r="AY114" s="42">
        <f t="shared" si="39"/>
        <v>0</v>
      </c>
      <c r="AZ114" s="35">
        <f t="shared" si="40"/>
        <v>90.1</v>
      </c>
      <c r="BA114" s="35">
        <f t="shared" si="41"/>
        <v>90.1</v>
      </c>
      <c r="BB114" s="35">
        <f t="shared" si="42"/>
        <v>90.1</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49" t="s">
        <v>3158</v>
      </c>
      <c r="D115" s="2210" t="s">
        <v>3301</v>
      </c>
      <c r="E115" s="35">
        <f t="shared" si="61"/>
        <v>0</v>
      </c>
      <c r="F115" s="36"/>
      <c r="G115" s="37">
        <f t="shared" si="36"/>
        <v>90.1</v>
      </c>
      <c r="H115" s="38">
        <f t="shared" si="37"/>
        <v>90.1</v>
      </c>
      <c r="I115" s="39">
        <v>90.1</v>
      </c>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t="str">
        <f t="shared" si="64"/>
        <v>3-2-1107</v>
      </c>
      <c r="AY115" s="42">
        <f t="shared" si="39"/>
        <v>0</v>
      </c>
      <c r="AZ115" s="35">
        <f t="shared" si="40"/>
        <v>90.1</v>
      </c>
      <c r="BA115" s="35">
        <f t="shared" si="41"/>
        <v>90.1</v>
      </c>
      <c r="BB115" s="35">
        <f t="shared" si="42"/>
        <v>90.1</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49" t="s">
        <v>3159</v>
      </c>
      <c r="D116" s="2210" t="s">
        <v>3301</v>
      </c>
      <c r="E116" s="35">
        <f t="shared" si="61"/>
        <v>0</v>
      </c>
      <c r="F116" s="36"/>
      <c r="G116" s="37">
        <f t="shared" si="36"/>
        <v>90.1</v>
      </c>
      <c r="H116" s="38">
        <f t="shared" si="37"/>
        <v>90.1</v>
      </c>
      <c r="I116" s="39">
        <v>90.1</v>
      </c>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t="str">
        <f t="shared" si="64"/>
        <v>3-3-201</v>
      </c>
      <c r="AY116" s="42">
        <f t="shared" si="39"/>
        <v>0</v>
      </c>
      <c r="AZ116" s="35">
        <f t="shared" si="40"/>
        <v>90.1</v>
      </c>
      <c r="BA116" s="35">
        <f t="shared" si="41"/>
        <v>90.1</v>
      </c>
      <c r="BB116" s="35">
        <f t="shared" si="42"/>
        <v>90.1</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49" t="s">
        <v>3160</v>
      </c>
      <c r="D117" s="2210" t="s">
        <v>3301</v>
      </c>
      <c r="E117" s="35">
        <f t="shared" si="61"/>
        <v>0</v>
      </c>
      <c r="F117" s="36"/>
      <c r="G117" s="37">
        <f t="shared" si="36"/>
        <v>91.19</v>
      </c>
      <c r="H117" s="38">
        <f t="shared" si="37"/>
        <v>91.19</v>
      </c>
      <c r="I117" s="39">
        <v>91.19</v>
      </c>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t="str">
        <f t="shared" si="64"/>
        <v>3-3-402</v>
      </c>
      <c r="AY117" s="42">
        <f t="shared" si="39"/>
        <v>0</v>
      </c>
      <c r="AZ117" s="35">
        <f t="shared" si="40"/>
        <v>91.19</v>
      </c>
      <c r="BA117" s="35">
        <f t="shared" si="41"/>
        <v>91.19</v>
      </c>
      <c r="BB117" s="35">
        <f t="shared" si="42"/>
        <v>91.19</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49" t="s">
        <v>3161</v>
      </c>
      <c r="D118" s="2210" t="s">
        <v>3301</v>
      </c>
      <c r="E118" s="35">
        <f t="shared" si="61"/>
        <v>0</v>
      </c>
      <c r="F118" s="36"/>
      <c r="G118" s="37">
        <f t="shared" si="36"/>
        <v>91.19</v>
      </c>
      <c r="H118" s="38">
        <f t="shared" si="37"/>
        <v>91.19</v>
      </c>
      <c r="I118" s="39">
        <v>91.19</v>
      </c>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t="str">
        <f t="shared" si="64"/>
        <v>3-3-602</v>
      </c>
      <c r="AY118" s="42">
        <f t="shared" si="39"/>
        <v>0</v>
      </c>
      <c r="AZ118" s="35">
        <f t="shared" si="40"/>
        <v>91.19</v>
      </c>
      <c r="BA118" s="35">
        <f t="shared" si="41"/>
        <v>91.19</v>
      </c>
      <c r="BB118" s="35">
        <f t="shared" si="42"/>
        <v>91.19</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49" t="s">
        <v>3162</v>
      </c>
      <c r="D119" s="2210" t="s">
        <v>3301</v>
      </c>
      <c r="E119" s="35">
        <f t="shared" si="61"/>
        <v>0</v>
      </c>
      <c r="F119" s="36"/>
      <c r="G119" s="37">
        <f t="shared" si="36"/>
        <v>91.19</v>
      </c>
      <c r="H119" s="38">
        <f t="shared" si="37"/>
        <v>91.19</v>
      </c>
      <c r="I119" s="39">
        <v>91.19</v>
      </c>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t="str">
        <f t="shared" si="64"/>
        <v>3-3-1106</v>
      </c>
      <c r="AY119" s="42">
        <f t="shared" si="39"/>
        <v>0</v>
      </c>
      <c r="AZ119" s="35">
        <f t="shared" si="40"/>
        <v>91.19</v>
      </c>
      <c r="BA119" s="35">
        <f t="shared" si="41"/>
        <v>91.19</v>
      </c>
      <c r="BB119" s="35">
        <f t="shared" si="42"/>
        <v>91.19</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49" t="s">
        <v>3163</v>
      </c>
      <c r="D120" s="2210" t="s">
        <v>3301</v>
      </c>
      <c r="E120" s="35">
        <f t="shared" si="61"/>
        <v>0</v>
      </c>
      <c r="F120" s="36"/>
      <c r="G120" s="37">
        <f t="shared" si="36"/>
        <v>88.22</v>
      </c>
      <c r="H120" s="38">
        <f t="shared" si="37"/>
        <v>88.22</v>
      </c>
      <c r="I120" s="39">
        <v>88.22</v>
      </c>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t="str">
        <f t="shared" si="64"/>
        <v>15-1-01</v>
      </c>
      <c r="AY120" s="42">
        <f t="shared" si="39"/>
        <v>0</v>
      </c>
      <c r="AZ120" s="35">
        <f t="shared" si="40"/>
        <v>88.22</v>
      </c>
      <c r="BA120" s="35">
        <f t="shared" si="41"/>
        <v>88.22</v>
      </c>
      <c r="BB120" s="35">
        <f t="shared" si="42"/>
        <v>88.22</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49" t="s">
        <v>3164</v>
      </c>
      <c r="D121" s="2210" t="s">
        <v>3301</v>
      </c>
      <c r="E121" s="35">
        <f t="shared" si="61"/>
        <v>0</v>
      </c>
      <c r="F121" s="36"/>
      <c r="G121" s="37">
        <f t="shared" si="36"/>
        <v>85.73</v>
      </c>
      <c r="H121" s="38">
        <f t="shared" si="37"/>
        <v>85.73</v>
      </c>
      <c r="I121" s="39">
        <v>85.73</v>
      </c>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t="str">
        <f t="shared" si="64"/>
        <v>15-1-03</v>
      </c>
      <c r="AY121" s="42">
        <f t="shared" si="39"/>
        <v>0</v>
      </c>
      <c r="AZ121" s="35">
        <f t="shared" si="40"/>
        <v>85.73</v>
      </c>
      <c r="BA121" s="35">
        <f t="shared" si="41"/>
        <v>85.73</v>
      </c>
      <c r="BB121" s="35">
        <f t="shared" si="42"/>
        <v>85.73</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49" t="s">
        <v>3165</v>
      </c>
      <c r="D122" s="2210" t="s">
        <v>3301</v>
      </c>
      <c r="E122" s="35">
        <f t="shared" si="61"/>
        <v>0</v>
      </c>
      <c r="F122" s="36"/>
      <c r="G122" s="37">
        <f t="shared" si="36"/>
        <v>64.510000000000005</v>
      </c>
      <c r="H122" s="38">
        <f t="shared" si="37"/>
        <v>64.510000000000005</v>
      </c>
      <c r="I122" s="39">
        <v>64.510000000000005</v>
      </c>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t="str">
        <f t="shared" si="64"/>
        <v>15-1-102</v>
      </c>
      <c r="AY122" s="42">
        <f t="shared" si="39"/>
        <v>0</v>
      </c>
      <c r="AZ122" s="35">
        <f t="shared" si="40"/>
        <v>64.510000000000005</v>
      </c>
      <c r="BA122" s="35">
        <f t="shared" si="41"/>
        <v>64.510000000000005</v>
      </c>
      <c r="BB122" s="35">
        <f t="shared" si="42"/>
        <v>64.510000000000005</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49" t="s">
        <v>3166</v>
      </c>
      <c r="D123" s="2210" t="s">
        <v>3301</v>
      </c>
      <c r="E123" s="35">
        <f t="shared" si="61"/>
        <v>0</v>
      </c>
      <c r="F123" s="36"/>
      <c r="G123" s="37">
        <f t="shared" si="36"/>
        <v>90.65</v>
      </c>
      <c r="H123" s="38">
        <f t="shared" si="37"/>
        <v>90.65</v>
      </c>
      <c r="I123" s="39">
        <v>90.65</v>
      </c>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t="str">
        <f t="shared" si="64"/>
        <v>15-1-111</v>
      </c>
      <c r="AY123" s="42">
        <f t="shared" si="39"/>
        <v>0</v>
      </c>
      <c r="AZ123" s="35">
        <f t="shared" si="40"/>
        <v>90.65</v>
      </c>
      <c r="BA123" s="35">
        <f t="shared" si="41"/>
        <v>90.65</v>
      </c>
      <c r="BB123" s="35">
        <f t="shared" si="42"/>
        <v>90.65</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49" t="s">
        <v>3167</v>
      </c>
      <c r="D124" s="2210" t="s">
        <v>3301</v>
      </c>
      <c r="E124" s="35">
        <f t="shared" si="61"/>
        <v>0</v>
      </c>
      <c r="F124" s="36"/>
      <c r="G124" s="37">
        <f t="shared" si="36"/>
        <v>90.65</v>
      </c>
      <c r="H124" s="38">
        <f t="shared" si="37"/>
        <v>90.65</v>
      </c>
      <c r="I124" s="39">
        <v>90.65</v>
      </c>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t="str">
        <f t="shared" si="64"/>
        <v>15-1-302</v>
      </c>
      <c r="AY124" s="42">
        <f t="shared" si="39"/>
        <v>0</v>
      </c>
      <c r="AZ124" s="35">
        <f t="shared" si="40"/>
        <v>90.65</v>
      </c>
      <c r="BA124" s="35">
        <f t="shared" si="41"/>
        <v>90.65</v>
      </c>
      <c r="BB124" s="35">
        <f t="shared" si="42"/>
        <v>90.65</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49" t="s">
        <v>3168</v>
      </c>
      <c r="D125" s="2210" t="s">
        <v>3301</v>
      </c>
      <c r="E125" s="35">
        <f t="shared" si="61"/>
        <v>0</v>
      </c>
      <c r="F125" s="36"/>
      <c r="G125" s="37">
        <f t="shared" si="36"/>
        <v>88.22</v>
      </c>
      <c r="H125" s="38">
        <f t="shared" si="37"/>
        <v>88.22</v>
      </c>
      <c r="I125" s="39">
        <v>88.22</v>
      </c>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t="str">
        <f t="shared" si="64"/>
        <v>15-2-08</v>
      </c>
      <c r="AY125" s="42">
        <f t="shared" si="39"/>
        <v>0</v>
      </c>
      <c r="AZ125" s="35">
        <f t="shared" si="40"/>
        <v>88.22</v>
      </c>
      <c r="BA125" s="35">
        <f t="shared" si="41"/>
        <v>88.22</v>
      </c>
      <c r="BB125" s="35">
        <f t="shared" si="42"/>
        <v>88.22</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49" t="s">
        <v>3169</v>
      </c>
      <c r="D126" s="2210" t="s">
        <v>3301</v>
      </c>
      <c r="E126" s="35">
        <f t="shared" si="61"/>
        <v>0</v>
      </c>
      <c r="F126" s="36"/>
      <c r="G126" s="37">
        <f t="shared" si="36"/>
        <v>88.22</v>
      </c>
      <c r="H126" s="38">
        <f t="shared" si="37"/>
        <v>88.22</v>
      </c>
      <c r="I126" s="39">
        <v>88.22</v>
      </c>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t="str">
        <f t="shared" si="64"/>
        <v>15-2-09</v>
      </c>
      <c r="AY126" s="42">
        <f t="shared" si="39"/>
        <v>0</v>
      </c>
      <c r="AZ126" s="35">
        <f t="shared" si="40"/>
        <v>88.22</v>
      </c>
      <c r="BA126" s="35">
        <f t="shared" si="41"/>
        <v>88.22</v>
      </c>
      <c r="BB126" s="35">
        <f t="shared" si="42"/>
        <v>88.22</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49" t="s">
        <v>3170</v>
      </c>
      <c r="D127" s="2210" t="s">
        <v>3301</v>
      </c>
      <c r="E127" s="35">
        <f t="shared" si="61"/>
        <v>0</v>
      </c>
      <c r="F127" s="36"/>
      <c r="G127" s="37">
        <f t="shared" si="36"/>
        <v>89.39</v>
      </c>
      <c r="H127" s="38">
        <f t="shared" si="37"/>
        <v>89.39</v>
      </c>
      <c r="I127" s="39">
        <v>89.39</v>
      </c>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t="str">
        <f t="shared" si="64"/>
        <v>15-2-12</v>
      </c>
      <c r="AY127" s="42">
        <f t="shared" si="39"/>
        <v>0</v>
      </c>
      <c r="AZ127" s="35">
        <f t="shared" si="40"/>
        <v>89.39</v>
      </c>
      <c r="BA127" s="35">
        <f t="shared" si="41"/>
        <v>89.39</v>
      </c>
      <c r="BB127" s="35">
        <f t="shared" si="42"/>
        <v>89.39</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49" t="s">
        <v>3171</v>
      </c>
      <c r="D128" s="2210" t="s">
        <v>3301</v>
      </c>
      <c r="E128" s="35">
        <f t="shared" si="61"/>
        <v>0</v>
      </c>
      <c r="F128" s="36"/>
      <c r="G128" s="37">
        <f t="shared" si="36"/>
        <v>64.510000000000005</v>
      </c>
      <c r="H128" s="38">
        <f t="shared" si="37"/>
        <v>64.510000000000005</v>
      </c>
      <c r="I128" s="39">
        <v>64.510000000000005</v>
      </c>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t="str">
        <f t="shared" si="64"/>
        <v>15-2-103</v>
      </c>
      <c r="AY128" s="42">
        <f t="shared" si="39"/>
        <v>0</v>
      </c>
      <c r="AZ128" s="35">
        <f t="shared" si="40"/>
        <v>64.510000000000005</v>
      </c>
      <c r="BA128" s="35">
        <f t="shared" si="41"/>
        <v>64.510000000000005</v>
      </c>
      <c r="BB128" s="35">
        <f t="shared" si="42"/>
        <v>64.510000000000005</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49" t="s">
        <v>3172</v>
      </c>
      <c r="D129" s="2210" t="s">
        <v>3301</v>
      </c>
      <c r="E129" s="35">
        <f t="shared" si="61"/>
        <v>0</v>
      </c>
      <c r="F129" s="36"/>
      <c r="G129" s="37">
        <f t="shared" si="36"/>
        <v>92.26</v>
      </c>
      <c r="H129" s="38">
        <f t="shared" si="37"/>
        <v>92.26</v>
      </c>
      <c r="I129" s="39">
        <v>92.26</v>
      </c>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t="str">
        <f t="shared" si="64"/>
        <v>15-2-107</v>
      </c>
      <c r="AY129" s="42">
        <f t="shared" si="39"/>
        <v>0</v>
      </c>
      <c r="AZ129" s="35">
        <f t="shared" si="40"/>
        <v>92.26</v>
      </c>
      <c r="BA129" s="35">
        <f t="shared" si="41"/>
        <v>92.26</v>
      </c>
      <c r="BB129" s="35">
        <f t="shared" si="42"/>
        <v>92.26</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49" t="s">
        <v>3173</v>
      </c>
      <c r="D130" s="2210" t="s">
        <v>3301</v>
      </c>
      <c r="E130" s="35">
        <f t="shared" si="61"/>
        <v>0</v>
      </c>
      <c r="F130" s="36"/>
      <c r="G130" s="37">
        <f t="shared" si="36"/>
        <v>90.65</v>
      </c>
      <c r="H130" s="38">
        <f t="shared" si="37"/>
        <v>90.65</v>
      </c>
      <c r="I130" s="39">
        <v>90.65</v>
      </c>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t="str">
        <f t="shared" si="64"/>
        <v>15-2-108</v>
      </c>
      <c r="AY130" s="42">
        <f t="shared" si="39"/>
        <v>0</v>
      </c>
      <c r="AZ130" s="35">
        <f t="shared" si="40"/>
        <v>90.65</v>
      </c>
      <c r="BA130" s="35">
        <f t="shared" si="41"/>
        <v>90.65</v>
      </c>
      <c r="BB130" s="35">
        <f t="shared" si="42"/>
        <v>90.65</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49" t="s">
        <v>3174</v>
      </c>
      <c r="D131" s="2210" t="s">
        <v>3301</v>
      </c>
      <c r="E131" s="35">
        <f t="shared" si="61"/>
        <v>0</v>
      </c>
      <c r="F131" s="36"/>
      <c r="G131" s="37">
        <f t="shared" si="36"/>
        <v>90.65</v>
      </c>
      <c r="H131" s="38">
        <f t="shared" si="37"/>
        <v>90.65</v>
      </c>
      <c r="I131" s="39">
        <v>90.65</v>
      </c>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t="str">
        <f t="shared" si="64"/>
        <v>15-2-614</v>
      </c>
      <c r="AY131" s="42">
        <f t="shared" si="39"/>
        <v>0</v>
      </c>
      <c r="AZ131" s="35">
        <f t="shared" si="40"/>
        <v>90.65</v>
      </c>
      <c r="BA131" s="35">
        <f t="shared" si="41"/>
        <v>90.65</v>
      </c>
      <c r="BB131" s="35">
        <f t="shared" si="42"/>
        <v>90.65</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49" t="s">
        <v>3175</v>
      </c>
      <c r="D132" s="2210" t="s">
        <v>3301</v>
      </c>
      <c r="E132" s="35">
        <f t="shared" si="61"/>
        <v>0</v>
      </c>
      <c r="F132" s="36"/>
      <c r="G132" s="37">
        <f t="shared" si="36"/>
        <v>91.79</v>
      </c>
      <c r="H132" s="38">
        <f t="shared" si="37"/>
        <v>91.79</v>
      </c>
      <c r="I132" s="39">
        <v>91.79</v>
      </c>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t="str">
        <f t="shared" si="64"/>
        <v>17-1-207</v>
      </c>
      <c r="AY132" s="42">
        <f t="shared" si="39"/>
        <v>0</v>
      </c>
      <c r="AZ132" s="35">
        <f t="shared" si="40"/>
        <v>91.79</v>
      </c>
      <c r="BA132" s="35">
        <f t="shared" si="41"/>
        <v>91.79</v>
      </c>
      <c r="BB132" s="35">
        <f t="shared" si="42"/>
        <v>91.79</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49" t="s">
        <v>3176</v>
      </c>
      <c r="D133" s="2210" t="s">
        <v>3301</v>
      </c>
      <c r="E133" s="35">
        <f t="shared" si="61"/>
        <v>0</v>
      </c>
      <c r="F133" s="36"/>
      <c r="G133" s="37">
        <f t="shared" si="36"/>
        <v>91.79</v>
      </c>
      <c r="H133" s="38">
        <f t="shared" si="37"/>
        <v>91.79</v>
      </c>
      <c r="I133" s="39">
        <v>91.79</v>
      </c>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t="str">
        <f t="shared" si="64"/>
        <v>17-1-614</v>
      </c>
      <c r="AY133" s="42">
        <f t="shared" si="39"/>
        <v>0</v>
      </c>
      <c r="AZ133" s="35">
        <f t="shared" si="40"/>
        <v>91.79</v>
      </c>
      <c r="BA133" s="35">
        <f t="shared" si="41"/>
        <v>91.79</v>
      </c>
      <c r="BB133" s="35">
        <f t="shared" si="42"/>
        <v>91.79</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49" t="s">
        <v>3177</v>
      </c>
      <c r="D134" s="2210" t="s">
        <v>3301</v>
      </c>
      <c r="E134" s="35">
        <f t="shared" si="61"/>
        <v>0</v>
      </c>
      <c r="F134" s="36"/>
      <c r="G134" s="37">
        <f t="shared" si="36"/>
        <v>91.79</v>
      </c>
      <c r="H134" s="38">
        <f t="shared" si="37"/>
        <v>91.79</v>
      </c>
      <c r="I134" s="39">
        <v>91.79</v>
      </c>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t="str">
        <f t="shared" si="64"/>
        <v>17-1-1205</v>
      </c>
      <c r="AY134" s="42">
        <f t="shared" si="39"/>
        <v>0</v>
      </c>
      <c r="AZ134" s="35">
        <f t="shared" si="40"/>
        <v>91.79</v>
      </c>
      <c r="BA134" s="35">
        <f t="shared" si="41"/>
        <v>91.79</v>
      </c>
      <c r="BB134" s="35">
        <f t="shared" si="42"/>
        <v>91.79</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49" t="s">
        <v>3178</v>
      </c>
      <c r="D135" s="2210" t="s">
        <v>3301</v>
      </c>
      <c r="E135" s="35">
        <f t="shared" si="61"/>
        <v>0</v>
      </c>
      <c r="F135" s="36"/>
      <c r="G135" s="37">
        <f t="shared" si="36"/>
        <v>91.54</v>
      </c>
      <c r="H135" s="38">
        <f t="shared" si="37"/>
        <v>91.54</v>
      </c>
      <c r="I135" s="39">
        <v>91.54</v>
      </c>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t="str">
        <f t="shared" si="64"/>
        <v>19-1-209</v>
      </c>
      <c r="AY135" s="42">
        <f t="shared" si="39"/>
        <v>0</v>
      </c>
      <c r="AZ135" s="35">
        <f t="shared" si="40"/>
        <v>91.54</v>
      </c>
      <c r="BA135" s="35">
        <f t="shared" si="41"/>
        <v>91.54</v>
      </c>
      <c r="BB135" s="35">
        <f t="shared" si="42"/>
        <v>91.54</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49" t="s">
        <v>3179</v>
      </c>
      <c r="D136" s="2210" t="s">
        <v>3301</v>
      </c>
      <c r="E136" s="35">
        <f t="shared" si="61"/>
        <v>0</v>
      </c>
      <c r="F136" s="36"/>
      <c r="G136" s="37">
        <f t="shared" si="36"/>
        <v>92.24</v>
      </c>
      <c r="H136" s="38">
        <f t="shared" si="37"/>
        <v>92.24</v>
      </c>
      <c r="I136" s="39">
        <v>92.24</v>
      </c>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t="str">
        <f t="shared" si="64"/>
        <v>19-1-214</v>
      </c>
      <c r="AY136" s="42">
        <f t="shared" si="39"/>
        <v>0</v>
      </c>
      <c r="AZ136" s="35">
        <f t="shared" si="40"/>
        <v>92.24</v>
      </c>
      <c r="BA136" s="35">
        <f t="shared" si="41"/>
        <v>92.24</v>
      </c>
      <c r="BB136" s="35">
        <f t="shared" si="42"/>
        <v>92.24</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49" t="s">
        <v>3180</v>
      </c>
      <c r="D137" s="2210" t="s">
        <v>3301</v>
      </c>
      <c r="E137" s="35">
        <f t="shared" si="61"/>
        <v>0</v>
      </c>
      <c r="F137" s="36"/>
      <c r="G137" s="37">
        <f t="shared" si="36"/>
        <v>92.24</v>
      </c>
      <c r="H137" s="38">
        <f t="shared" si="37"/>
        <v>92.24</v>
      </c>
      <c r="I137" s="39">
        <v>92.24</v>
      </c>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t="str">
        <f t="shared" si="64"/>
        <v>19-1-810</v>
      </c>
      <c r="AY137" s="42">
        <f t="shared" si="39"/>
        <v>0</v>
      </c>
      <c r="AZ137" s="35">
        <f t="shared" si="40"/>
        <v>92.24</v>
      </c>
      <c r="BA137" s="35">
        <f t="shared" si="41"/>
        <v>92.24</v>
      </c>
      <c r="BB137" s="35">
        <f t="shared" si="42"/>
        <v>92.24</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49" t="s">
        <v>3181</v>
      </c>
      <c r="D138" s="2210" t="s">
        <v>3301</v>
      </c>
      <c r="E138" s="35">
        <f t="shared" si="61"/>
        <v>0</v>
      </c>
      <c r="F138" s="36"/>
      <c r="G138" s="37">
        <f t="shared" si="36"/>
        <v>92.24</v>
      </c>
      <c r="H138" s="38">
        <f t="shared" si="37"/>
        <v>92.24</v>
      </c>
      <c r="I138" s="39">
        <v>92.24</v>
      </c>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t="str">
        <f t="shared" si="64"/>
        <v>19-2-210</v>
      </c>
      <c r="AY138" s="42">
        <f t="shared" si="39"/>
        <v>0</v>
      </c>
      <c r="AZ138" s="35">
        <f t="shared" si="40"/>
        <v>92.24</v>
      </c>
      <c r="BA138" s="35">
        <f t="shared" si="41"/>
        <v>92.24</v>
      </c>
      <c r="BB138" s="35">
        <f t="shared" si="42"/>
        <v>92.24</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49" t="s">
        <v>3182</v>
      </c>
      <c r="D139" s="2210" t="s">
        <v>3301</v>
      </c>
      <c r="E139" s="35">
        <f t="shared" si="61"/>
        <v>0</v>
      </c>
      <c r="F139" s="36"/>
      <c r="G139" s="37">
        <f t="shared" si="36"/>
        <v>92.62</v>
      </c>
      <c r="H139" s="38">
        <f t="shared" si="37"/>
        <v>92.62</v>
      </c>
      <c r="I139" s="39">
        <v>92.62</v>
      </c>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t="str">
        <f t="shared" si="64"/>
        <v>19-2-407</v>
      </c>
      <c r="AY139" s="42">
        <f t="shared" si="39"/>
        <v>0</v>
      </c>
      <c r="AZ139" s="35">
        <f t="shared" si="40"/>
        <v>92.62</v>
      </c>
      <c r="BA139" s="35">
        <f t="shared" si="41"/>
        <v>92.62</v>
      </c>
      <c r="BB139" s="35">
        <f t="shared" si="42"/>
        <v>92.62</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49" t="s">
        <v>3183</v>
      </c>
      <c r="D140" s="2210" t="s">
        <v>3301</v>
      </c>
      <c r="E140" s="35">
        <f t="shared" si="61"/>
        <v>0</v>
      </c>
      <c r="F140" s="36"/>
      <c r="G140" s="37">
        <f t="shared" si="36"/>
        <v>92.24</v>
      </c>
      <c r="H140" s="38">
        <f t="shared" si="37"/>
        <v>92.24</v>
      </c>
      <c r="I140" s="39">
        <v>92.24</v>
      </c>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t="str">
        <f t="shared" si="64"/>
        <v>19-2-414</v>
      </c>
      <c r="AY140" s="42">
        <f t="shared" si="39"/>
        <v>0</v>
      </c>
      <c r="AZ140" s="35">
        <f t="shared" si="40"/>
        <v>92.24</v>
      </c>
      <c r="BA140" s="35">
        <f t="shared" si="41"/>
        <v>92.24</v>
      </c>
      <c r="BB140" s="35">
        <f t="shared" si="42"/>
        <v>92.24</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49" t="s">
        <v>3184</v>
      </c>
      <c r="D141" s="2210" t="s">
        <v>3301</v>
      </c>
      <c r="E141" s="35">
        <f t="shared" si="61"/>
        <v>0</v>
      </c>
      <c r="F141" s="36"/>
      <c r="G141" s="37">
        <f t="shared" si="36"/>
        <v>92.62</v>
      </c>
      <c r="H141" s="38">
        <f t="shared" si="37"/>
        <v>92.62</v>
      </c>
      <c r="I141" s="39">
        <v>92.62</v>
      </c>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t="str">
        <f t="shared" si="64"/>
        <v>19-2-604</v>
      </c>
      <c r="AY141" s="42">
        <f t="shared" si="39"/>
        <v>0</v>
      </c>
      <c r="AZ141" s="35">
        <f t="shared" si="40"/>
        <v>92.62</v>
      </c>
      <c r="BA141" s="35">
        <f t="shared" si="41"/>
        <v>92.62</v>
      </c>
      <c r="BB141" s="35">
        <f t="shared" si="42"/>
        <v>92.62</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49" t="s">
        <v>3185</v>
      </c>
      <c r="D142" s="2210" t="s">
        <v>3301</v>
      </c>
      <c r="E142" s="35">
        <f t="shared" si="61"/>
        <v>0</v>
      </c>
      <c r="F142" s="36"/>
      <c r="G142" s="37">
        <f t="shared" ref="G142:G173" si="65">H142+AC142+AT142</f>
        <v>92.24</v>
      </c>
      <c r="H142" s="38">
        <f t="shared" ref="H142:H173" si="66">SUMIF(I$12:AB$12,"总值",I142:AB142)</f>
        <v>92.24</v>
      </c>
      <c r="I142" s="39">
        <v>92.24</v>
      </c>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t="str">
        <f t="shared" si="64"/>
        <v>19-2-714</v>
      </c>
      <c r="AY142" s="42">
        <f t="shared" ref="AY142:AY173" si="68">ROUND($AY$6*AZ142/$AZ$5,2)</f>
        <v>0</v>
      </c>
      <c r="AZ142" s="35">
        <f t="shared" ref="AZ142:AZ173" si="69">BA142+BL142</f>
        <v>92.24</v>
      </c>
      <c r="BA142" s="35">
        <f t="shared" ref="BA142:BA173" si="70">SUM(BB142:BK142)</f>
        <v>92.24</v>
      </c>
      <c r="BB142" s="35">
        <f t="shared" ref="BB142:BB173" si="71">IF($D142="是",I142-J142,0)</f>
        <v>92.24</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49" t="s">
        <v>3186</v>
      </c>
      <c r="D143" s="2210" t="s">
        <v>3301</v>
      </c>
      <c r="E143" s="35">
        <f t="shared" si="61"/>
        <v>0</v>
      </c>
      <c r="F143" s="36"/>
      <c r="G143" s="37">
        <f t="shared" si="65"/>
        <v>92.62</v>
      </c>
      <c r="H143" s="38">
        <f t="shared" si="66"/>
        <v>92.62</v>
      </c>
      <c r="I143" s="39">
        <v>92.62</v>
      </c>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t="str">
        <f t="shared" si="64"/>
        <v>19-2-905</v>
      </c>
      <c r="AY143" s="42">
        <f t="shared" si="68"/>
        <v>0</v>
      </c>
      <c r="AZ143" s="35">
        <f t="shared" si="69"/>
        <v>92.62</v>
      </c>
      <c r="BA143" s="35">
        <f t="shared" si="70"/>
        <v>92.62</v>
      </c>
      <c r="BB143" s="35">
        <f t="shared" si="71"/>
        <v>92.62</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49" t="s">
        <v>3187</v>
      </c>
      <c r="D144" s="2210" t="s">
        <v>3301</v>
      </c>
      <c r="E144" s="35">
        <f t="shared" si="61"/>
        <v>0</v>
      </c>
      <c r="F144" s="36"/>
      <c r="G144" s="37">
        <f t="shared" si="65"/>
        <v>92.62</v>
      </c>
      <c r="H144" s="38">
        <f t="shared" si="66"/>
        <v>92.62</v>
      </c>
      <c r="I144" s="39">
        <v>92.62</v>
      </c>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t="str">
        <f t="shared" si="64"/>
        <v>19-2-906</v>
      </c>
      <c r="AY144" s="42">
        <f t="shared" si="68"/>
        <v>0</v>
      </c>
      <c r="AZ144" s="35">
        <f t="shared" si="69"/>
        <v>92.62</v>
      </c>
      <c r="BA144" s="35">
        <f t="shared" si="70"/>
        <v>92.62</v>
      </c>
      <c r="BB144" s="35">
        <f t="shared" si="71"/>
        <v>92.62</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49" t="s">
        <v>3188</v>
      </c>
      <c r="D145" s="2210" t="s">
        <v>3301</v>
      </c>
      <c r="E145" s="35">
        <f t="shared" ref="E145:E176" si="90">IF($C$3="是",ROUND($A$3*G145/$B$3,2),ROUND($A$3*(G145-AT145)/$B$3,2))</f>
        <v>0</v>
      </c>
      <c r="F145" s="36"/>
      <c r="G145" s="37">
        <f t="shared" si="65"/>
        <v>88.22</v>
      </c>
      <c r="H145" s="38">
        <f t="shared" si="66"/>
        <v>88.22</v>
      </c>
      <c r="I145" s="39">
        <v>88.22</v>
      </c>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t="str">
        <f t="shared" ref="AX145:AX176" si="93">C145</f>
        <v>13-1-01</v>
      </c>
      <c r="AY145" s="42">
        <f t="shared" si="68"/>
        <v>0</v>
      </c>
      <c r="AZ145" s="35">
        <f t="shared" si="69"/>
        <v>88.22</v>
      </c>
      <c r="BA145" s="35">
        <f t="shared" si="70"/>
        <v>88.22</v>
      </c>
      <c r="BB145" s="35">
        <f t="shared" si="71"/>
        <v>88.22</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49" t="s">
        <v>3189</v>
      </c>
      <c r="D146" s="2210" t="s">
        <v>3301</v>
      </c>
      <c r="E146" s="35">
        <f t="shared" si="90"/>
        <v>0</v>
      </c>
      <c r="F146" s="36"/>
      <c r="G146" s="37">
        <f t="shared" si="65"/>
        <v>60.26</v>
      </c>
      <c r="H146" s="38">
        <f t="shared" si="66"/>
        <v>60.26</v>
      </c>
      <c r="I146" s="39">
        <v>60.26</v>
      </c>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t="str">
        <f t="shared" si="93"/>
        <v>13-1-02</v>
      </c>
      <c r="AY146" s="42">
        <f t="shared" si="68"/>
        <v>0</v>
      </c>
      <c r="AZ146" s="35">
        <f t="shared" si="69"/>
        <v>60.26</v>
      </c>
      <c r="BA146" s="35">
        <f t="shared" si="70"/>
        <v>60.26</v>
      </c>
      <c r="BB146" s="35">
        <f t="shared" si="71"/>
        <v>60.26</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49" t="s">
        <v>3190</v>
      </c>
      <c r="D147" s="2210" t="s">
        <v>3301</v>
      </c>
      <c r="E147" s="35">
        <f t="shared" si="90"/>
        <v>0</v>
      </c>
      <c r="F147" s="36"/>
      <c r="G147" s="37">
        <f t="shared" si="65"/>
        <v>85.73</v>
      </c>
      <c r="H147" s="38">
        <f t="shared" si="66"/>
        <v>85.73</v>
      </c>
      <c r="I147" s="39">
        <v>85.73</v>
      </c>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t="str">
        <f t="shared" si="93"/>
        <v>13-1-03</v>
      </c>
      <c r="AY147" s="42">
        <f t="shared" si="68"/>
        <v>0</v>
      </c>
      <c r="AZ147" s="35">
        <f t="shared" si="69"/>
        <v>85.73</v>
      </c>
      <c r="BA147" s="35">
        <f t="shared" si="70"/>
        <v>85.73</v>
      </c>
      <c r="BB147" s="35">
        <f t="shared" si="71"/>
        <v>85.73</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49" t="s">
        <v>3191</v>
      </c>
      <c r="D148" s="2210" t="s">
        <v>3301</v>
      </c>
      <c r="E148" s="35">
        <f t="shared" si="90"/>
        <v>0</v>
      </c>
      <c r="F148" s="36"/>
      <c r="G148" s="37">
        <f t="shared" si="65"/>
        <v>89.39</v>
      </c>
      <c r="H148" s="38">
        <f t="shared" si="66"/>
        <v>89.39</v>
      </c>
      <c r="I148" s="39">
        <v>89.39</v>
      </c>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t="str">
        <f t="shared" si="93"/>
        <v>13-1-04</v>
      </c>
      <c r="AY148" s="42">
        <f t="shared" si="68"/>
        <v>0</v>
      </c>
      <c r="AZ148" s="35">
        <f t="shared" si="69"/>
        <v>89.39</v>
      </c>
      <c r="BA148" s="35">
        <f t="shared" si="70"/>
        <v>89.39</v>
      </c>
      <c r="BB148" s="35">
        <f t="shared" si="71"/>
        <v>89.39</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49" t="s">
        <v>3192</v>
      </c>
      <c r="D149" s="2210" t="s">
        <v>3301</v>
      </c>
      <c r="E149" s="35">
        <f t="shared" si="90"/>
        <v>0</v>
      </c>
      <c r="F149" s="36"/>
      <c r="G149" s="37">
        <f t="shared" si="65"/>
        <v>89.39</v>
      </c>
      <c r="H149" s="38">
        <f t="shared" si="66"/>
        <v>89.39</v>
      </c>
      <c r="I149" s="39">
        <v>89.39</v>
      </c>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t="str">
        <f t="shared" si="93"/>
        <v>13-1-05</v>
      </c>
      <c r="AY149" s="42">
        <f t="shared" si="68"/>
        <v>0</v>
      </c>
      <c r="AZ149" s="35">
        <f t="shared" si="69"/>
        <v>89.39</v>
      </c>
      <c r="BA149" s="35">
        <f t="shared" si="70"/>
        <v>89.39</v>
      </c>
      <c r="BB149" s="35">
        <f t="shared" si="71"/>
        <v>89.39</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49" t="s">
        <v>3193</v>
      </c>
      <c r="D150" s="2210" t="s">
        <v>3301</v>
      </c>
      <c r="E150" s="35">
        <f t="shared" si="90"/>
        <v>0</v>
      </c>
      <c r="F150" s="36"/>
      <c r="G150" s="37">
        <f t="shared" si="65"/>
        <v>88.22</v>
      </c>
      <c r="H150" s="38">
        <f t="shared" si="66"/>
        <v>88.22</v>
      </c>
      <c r="I150" s="39">
        <v>88.22</v>
      </c>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t="str">
        <f t="shared" si="93"/>
        <v>13-1-06</v>
      </c>
      <c r="AY150" s="42">
        <f t="shared" si="68"/>
        <v>0</v>
      </c>
      <c r="AZ150" s="35">
        <f t="shared" si="69"/>
        <v>88.22</v>
      </c>
      <c r="BA150" s="35">
        <f t="shared" si="70"/>
        <v>88.22</v>
      </c>
      <c r="BB150" s="35">
        <f t="shared" si="71"/>
        <v>88.22</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49" t="s">
        <v>3194</v>
      </c>
      <c r="D151" s="2210" t="s">
        <v>3301</v>
      </c>
      <c r="E151" s="35">
        <f t="shared" si="90"/>
        <v>0</v>
      </c>
      <c r="F151" s="36"/>
      <c r="G151" s="37">
        <f t="shared" si="65"/>
        <v>88.22</v>
      </c>
      <c r="H151" s="38">
        <f t="shared" si="66"/>
        <v>88.22</v>
      </c>
      <c r="I151" s="39">
        <v>88.22</v>
      </c>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t="str">
        <f t="shared" si="93"/>
        <v>13-1-07</v>
      </c>
      <c r="AY151" s="42">
        <f t="shared" si="68"/>
        <v>0</v>
      </c>
      <c r="AZ151" s="35">
        <f t="shared" si="69"/>
        <v>88.22</v>
      </c>
      <c r="BA151" s="35">
        <f t="shared" si="70"/>
        <v>88.22</v>
      </c>
      <c r="BB151" s="35">
        <f t="shared" si="71"/>
        <v>88.22</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49" t="s">
        <v>3195</v>
      </c>
      <c r="D152" s="2210" t="s">
        <v>3301</v>
      </c>
      <c r="E152" s="35">
        <f t="shared" si="90"/>
        <v>0</v>
      </c>
      <c r="F152" s="36"/>
      <c r="G152" s="37">
        <f t="shared" si="65"/>
        <v>88.22</v>
      </c>
      <c r="H152" s="38">
        <f t="shared" si="66"/>
        <v>88.22</v>
      </c>
      <c r="I152" s="39">
        <v>88.22</v>
      </c>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t="str">
        <f t="shared" si="93"/>
        <v>13-1-08</v>
      </c>
      <c r="AY152" s="42">
        <f t="shared" si="68"/>
        <v>0</v>
      </c>
      <c r="AZ152" s="35">
        <f t="shared" si="69"/>
        <v>88.22</v>
      </c>
      <c r="BA152" s="35">
        <f t="shared" si="70"/>
        <v>88.22</v>
      </c>
      <c r="BB152" s="35">
        <f t="shared" si="71"/>
        <v>88.22</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49" t="s">
        <v>3196</v>
      </c>
      <c r="D153" s="2210" t="s">
        <v>3301</v>
      </c>
      <c r="E153" s="35">
        <f t="shared" si="90"/>
        <v>0</v>
      </c>
      <c r="F153" s="36"/>
      <c r="G153" s="37">
        <f t="shared" si="65"/>
        <v>88.22</v>
      </c>
      <c r="H153" s="38">
        <f t="shared" si="66"/>
        <v>88.22</v>
      </c>
      <c r="I153" s="39">
        <v>88.22</v>
      </c>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t="str">
        <f t="shared" si="93"/>
        <v>13-1-09</v>
      </c>
      <c r="AY153" s="42">
        <f t="shared" si="68"/>
        <v>0</v>
      </c>
      <c r="AZ153" s="35">
        <f t="shared" si="69"/>
        <v>88.22</v>
      </c>
      <c r="BA153" s="35">
        <f t="shared" si="70"/>
        <v>88.22</v>
      </c>
      <c r="BB153" s="35">
        <f t="shared" si="71"/>
        <v>88.22</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49" t="s">
        <v>3197</v>
      </c>
      <c r="D154" s="2210" t="s">
        <v>3301</v>
      </c>
      <c r="E154" s="35">
        <f t="shared" si="90"/>
        <v>0</v>
      </c>
      <c r="F154" s="36"/>
      <c r="G154" s="37">
        <f t="shared" si="65"/>
        <v>88.22</v>
      </c>
      <c r="H154" s="38">
        <f t="shared" si="66"/>
        <v>88.22</v>
      </c>
      <c r="I154" s="39">
        <v>88.22</v>
      </c>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t="str">
        <f t="shared" si="93"/>
        <v>13-1-10</v>
      </c>
      <c r="AY154" s="42">
        <f t="shared" si="68"/>
        <v>0</v>
      </c>
      <c r="AZ154" s="35">
        <f t="shared" si="69"/>
        <v>88.22</v>
      </c>
      <c r="BA154" s="35">
        <f t="shared" si="70"/>
        <v>88.22</v>
      </c>
      <c r="BB154" s="35">
        <f t="shared" si="71"/>
        <v>88.22</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49" t="s">
        <v>3198</v>
      </c>
      <c r="D155" s="2210" t="s">
        <v>3301</v>
      </c>
      <c r="E155" s="35">
        <f t="shared" si="90"/>
        <v>0</v>
      </c>
      <c r="F155" s="36"/>
      <c r="G155" s="37">
        <f t="shared" si="65"/>
        <v>88.22</v>
      </c>
      <c r="H155" s="38">
        <f t="shared" si="66"/>
        <v>88.22</v>
      </c>
      <c r="I155" s="39">
        <v>88.22</v>
      </c>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t="str">
        <f t="shared" si="93"/>
        <v>13-1-11</v>
      </c>
      <c r="AY155" s="42">
        <f t="shared" si="68"/>
        <v>0</v>
      </c>
      <c r="AZ155" s="35">
        <f t="shared" si="69"/>
        <v>88.22</v>
      </c>
      <c r="BA155" s="35">
        <f t="shared" si="70"/>
        <v>88.22</v>
      </c>
      <c r="BB155" s="35">
        <f t="shared" si="71"/>
        <v>88.22</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49" t="s">
        <v>3199</v>
      </c>
      <c r="D156" s="2210" t="s">
        <v>3301</v>
      </c>
      <c r="E156" s="35">
        <f t="shared" si="90"/>
        <v>0</v>
      </c>
      <c r="F156" s="36"/>
      <c r="G156" s="37">
        <f t="shared" si="65"/>
        <v>89.53</v>
      </c>
      <c r="H156" s="38">
        <f t="shared" si="66"/>
        <v>89.53</v>
      </c>
      <c r="I156" s="39">
        <v>89.53</v>
      </c>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t="str">
        <f t="shared" si="93"/>
        <v>13-1-12</v>
      </c>
      <c r="AY156" s="42">
        <f t="shared" si="68"/>
        <v>0</v>
      </c>
      <c r="AZ156" s="35">
        <f t="shared" si="69"/>
        <v>89.53</v>
      </c>
      <c r="BA156" s="35">
        <f t="shared" si="70"/>
        <v>89.53</v>
      </c>
      <c r="BB156" s="35">
        <f t="shared" si="71"/>
        <v>89.53</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49" t="s">
        <v>3200</v>
      </c>
      <c r="D157" s="2210" t="s">
        <v>3301</v>
      </c>
      <c r="E157" s="35">
        <f t="shared" si="90"/>
        <v>0</v>
      </c>
      <c r="F157" s="36"/>
      <c r="G157" s="37">
        <f t="shared" si="65"/>
        <v>90.65</v>
      </c>
      <c r="H157" s="38">
        <f t="shared" si="66"/>
        <v>90.65</v>
      </c>
      <c r="I157" s="39">
        <v>90.65</v>
      </c>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t="str">
        <f t="shared" si="93"/>
        <v>13-1-101</v>
      </c>
      <c r="AY157" s="42">
        <f t="shared" si="68"/>
        <v>0</v>
      </c>
      <c r="AZ157" s="35">
        <f t="shared" si="69"/>
        <v>90.65</v>
      </c>
      <c r="BA157" s="35">
        <f t="shared" si="70"/>
        <v>90.65</v>
      </c>
      <c r="BB157" s="35">
        <f t="shared" si="71"/>
        <v>90.65</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49" t="s">
        <v>3201</v>
      </c>
      <c r="D158" s="2210" t="s">
        <v>3301</v>
      </c>
      <c r="E158" s="35">
        <f t="shared" si="90"/>
        <v>0</v>
      </c>
      <c r="F158" s="36"/>
      <c r="G158" s="37">
        <f t="shared" si="65"/>
        <v>64.510000000000005</v>
      </c>
      <c r="H158" s="38">
        <f t="shared" si="66"/>
        <v>64.510000000000005</v>
      </c>
      <c r="I158" s="39">
        <v>64.510000000000005</v>
      </c>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t="str">
        <f t="shared" si="93"/>
        <v>13-1-102</v>
      </c>
      <c r="AY158" s="42">
        <f t="shared" si="68"/>
        <v>0</v>
      </c>
      <c r="AZ158" s="35">
        <f t="shared" si="69"/>
        <v>64.510000000000005</v>
      </c>
      <c r="BA158" s="35">
        <f t="shared" si="70"/>
        <v>64.510000000000005</v>
      </c>
      <c r="BB158" s="35">
        <f t="shared" si="71"/>
        <v>64.510000000000005</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49" t="s">
        <v>3202</v>
      </c>
      <c r="D159" s="2210" t="s">
        <v>3301</v>
      </c>
      <c r="E159" s="35">
        <f t="shared" si="90"/>
        <v>0</v>
      </c>
      <c r="F159" s="36"/>
      <c r="G159" s="37">
        <f t="shared" si="65"/>
        <v>64.25</v>
      </c>
      <c r="H159" s="38">
        <f t="shared" si="66"/>
        <v>64.25</v>
      </c>
      <c r="I159" s="39">
        <v>64.25</v>
      </c>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t="str">
        <f t="shared" si="93"/>
        <v>13-1-103</v>
      </c>
      <c r="AY159" s="42">
        <f t="shared" si="68"/>
        <v>0</v>
      </c>
      <c r="AZ159" s="35">
        <f t="shared" si="69"/>
        <v>64.25</v>
      </c>
      <c r="BA159" s="35">
        <f t="shared" si="70"/>
        <v>64.25</v>
      </c>
      <c r="BB159" s="35">
        <f t="shared" si="71"/>
        <v>64.25</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49" t="s">
        <v>3203</v>
      </c>
      <c r="D160" s="2210" t="s">
        <v>3301</v>
      </c>
      <c r="E160" s="35">
        <f t="shared" si="90"/>
        <v>0</v>
      </c>
      <c r="F160" s="36"/>
      <c r="G160" s="37">
        <f t="shared" si="65"/>
        <v>64.510000000000005</v>
      </c>
      <c r="H160" s="38">
        <f t="shared" si="66"/>
        <v>64.510000000000005</v>
      </c>
      <c r="I160" s="39">
        <v>64.510000000000005</v>
      </c>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t="str">
        <f t="shared" si="93"/>
        <v>13-1-104</v>
      </c>
      <c r="AY160" s="42">
        <f t="shared" si="68"/>
        <v>0</v>
      </c>
      <c r="AZ160" s="35">
        <f t="shared" si="69"/>
        <v>64.510000000000005</v>
      </c>
      <c r="BA160" s="35">
        <f t="shared" si="70"/>
        <v>64.510000000000005</v>
      </c>
      <c r="BB160" s="35">
        <f t="shared" si="71"/>
        <v>64.510000000000005</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49" t="s">
        <v>3204</v>
      </c>
      <c r="D161" s="2210" t="s">
        <v>3301</v>
      </c>
      <c r="E161" s="35">
        <f t="shared" si="90"/>
        <v>0</v>
      </c>
      <c r="F161" s="36"/>
      <c r="G161" s="37">
        <f t="shared" si="65"/>
        <v>90.65</v>
      </c>
      <c r="H161" s="38">
        <f t="shared" si="66"/>
        <v>90.65</v>
      </c>
      <c r="I161" s="39">
        <v>90.65</v>
      </c>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t="str">
        <f t="shared" si="93"/>
        <v>13-1-105</v>
      </c>
      <c r="AY161" s="42">
        <f t="shared" si="68"/>
        <v>0</v>
      </c>
      <c r="AZ161" s="35">
        <f t="shared" si="69"/>
        <v>90.65</v>
      </c>
      <c r="BA161" s="35">
        <f t="shared" si="70"/>
        <v>90.65</v>
      </c>
      <c r="BB161" s="35">
        <f t="shared" si="71"/>
        <v>90.65</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49" t="s">
        <v>3205</v>
      </c>
      <c r="D162" s="2210" t="s">
        <v>3301</v>
      </c>
      <c r="E162" s="35">
        <f t="shared" si="90"/>
        <v>0</v>
      </c>
      <c r="F162" s="36"/>
      <c r="G162" s="37">
        <f t="shared" si="65"/>
        <v>89.68</v>
      </c>
      <c r="H162" s="38">
        <f t="shared" si="66"/>
        <v>89.68</v>
      </c>
      <c r="I162" s="39">
        <v>89.68</v>
      </c>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t="str">
        <f t="shared" si="93"/>
        <v>13-1-106</v>
      </c>
      <c r="AY162" s="42">
        <f t="shared" si="68"/>
        <v>0</v>
      </c>
      <c r="AZ162" s="35">
        <f t="shared" si="69"/>
        <v>89.68</v>
      </c>
      <c r="BA162" s="35">
        <f t="shared" si="70"/>
        <v>89.68</v>
      </c>
      <c r="BB162" s="35">
        <f t="shared" si="71"/>
        <v>89.68</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49" t="s">
        <v>3206</v>
      </c>
      <c r="D163" s="2210" t="s">
        <v>3301</v>
      </c>
      <c r="E163" s="35">
        <f t="shared" si="90"/>
        <v>0</v>
      </c>
      <c r="F163" s="36"/>
      <c r="G163" s="37">
        <f t="shared" si="65"/>
        <v>91.85</v>
      </c>
      <c r="H163" s="38">
        <f t="shared" si="66"/>
        <v>91.85</v>
      </c>
      <c r="I163" s="39">
        <v>91.85</v>
      </c>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t="str">
        <f t="shared" si="93"/>
        <v>13-1-107</v>
      </c>
      <c r="AY163" s="42">
        <f t="shared" si="68"/>
        <v>0</v>
      </c>
      <c r="AZ163" s="35">
        <f t="shared" si="69"/>
        <v>91.85</v>
      </c>
      <c r="BA163" s="35">
        <f t="shared" si="70"/>
        <v>91.85</v>
      </c>
      <c r="BB163" s="35">
        <f t="shared" si="71"/>
        <v>91.85</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49" t="s">
        <v>3207</v>
      </c>
      <c r="D164" s="2210" t="s">
        <v>3301</v>
      </c>
      <c r="E164" s="35">
        <f t="shared" si="90"/>
        <v>0</v>
      </c>
      <c r="F164" s="36"/>
      <c r="G164" s="37">
        <f t="shared" si="65"/>
        <v>90.65</v>
      </c>
      <c r="H164" s="38">
        <f t="shared" si="66"/>
        <v>90.65</v>
      </c>
      <c r="I164" s="39">
        <v>90.65</v>
      </c>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t="str">
        <f t="shared" si="93"/>
        <v>13-1-108</v>
      </c>
      <c r="AY164" s="42">
        <f t="shared" si="68"/>
        <v>0</v>
      </c>
      <c r="AZ164" s="35">
        <f t="shared" si="69"/>
        <v>90.65</v>
      </c>
      <c r="BA164" s="35">
        <f t="shared" si="70"/>
        <v>90.65</v>
      </c>
      <c r="BB164" s="35">
        <f t="shared" si="71"/>
        <v>90.65</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49" t="s">
        <v>3208</v>
      </c>
      <c r="D165" s="2210" t="s">
        <v>3301</v>
      </c>
      <c r="E165" s="35">
        <f t="shared" si="90"/>
        <v>0</v>
      </c>
      <c r="F165" s="36"/>
      <c r="G165" s="37">
        <f t="shared" si="65"/>
        <v>90.65</v>
      </c>
      <c r="H165" s="38">
        <f t="shared" si="66"/>
        <v>90.65</v>
      </c>
      <c r="I165" s="39">
        <v>90.65</v>
      </c>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t="str">
        <f t="shared" si="93"/>
        <v>13-1-109</v>
      </c>
      <c r="AY165" s="42">
        <f t="shared" si="68"/>
        <v>0</v>
      </c>
      <c r="AZ165" s="35">
        <f t="shared" si="69"/>
        <v>90.65</v>
      </c>
      <c r="BA165" s="35">
        <f t="shared" si="70"/>
        <v>90.65</v>
      </c>
      <c r="BB165" s="35">
        <f t="shared" si="71"/>
        <v>90.65</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49" t="s">
        <v>3209</v>
      </c>
      <c r="D166" s="2210" t="s">
        <v>3301</v>
      </c>
      <c r="E166" s="35">
        <f t="shared" si="90"/>
        <v>0</v>
      </c>
      <c r="F166" s="36"/>
      <c r="G166" s="37">
        <f t="shared" si="65"/>
        <v>90.65</v>
      </c>
      <c r="H166" s="38">
        <f t="shared" si="66"/>
        <v>90.65</v>
      </c>
      <c r="I166" s="39">
        <v>90.65</v>
      </c>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t="str">
        <f t="shared" si="93"/>
        <v>13-1-110</v>
      </c>
      <c r="AY166" s="42">
        <f t="shared" si="68"/>
        <v>0</v>
      </c>
      <c r="AZ166" s="35">
        <f t="shared" si="69"/>
        <v>90.65</v>
      </c>
      <c r="BA166" s="35">
        <f t="shared" si="70"/>
        <v>90.65</v>
      </c>
      <c r="BB166" s="35">
        <f t="shared" si="71"/>
        <v>90.65</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49" t="s">
        <v>3210</v>
      </c>
      <c r="D167" s="2210" t="s">
        <v>3301</v>
      </c>
      <c r="E167" s="35">
        <f t="shared" si="90"/>
        <v>0</v>
      </c>
      <c r="F167" s="36"/>
      <c r="G167" s="37">
        <f t="shared" si="65"/>
        <v>90.65</v>
      </c>
      <c r="H167" s="38">
        <f t="shared" si="66"/>
        <v>90.65</v>
      </c>
      <c r="I167" s="39">
        <v>90.65</v>
      </c>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t="str">
        <f t="shared" si="93"/>
        <v>13-1-111</v>
      </c>
      <c r="AY167" s="42">
        <f t="shared" si="68"/>
        <v>0</v>
      </c>
      <c r="AZ167" s="35">
        <f t="shared" si="69"/>
        <v>90.65</v>
      </c>
      <c r="BA167" s="35">
        <f t="shared" si="70"/>
        <v>90.65</v>
      </c>
      <c r="BB167" s="35">
        <f t="shared" si="71"/>
        <v>90.65</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49" t="s">
        <v>3211</v>
      </c>
      <c r="D168" s="2210" t="s">
        <v>3301</v>
      </c>
      <c r="E168" s="35">
        <f t="shared" si="90"/>
        <v>0</v>
      </c>
      <c r="F168" s="36"/>
      <c r="G168" s="37">
        <f t="shared" si="65"/>
        <v>90.65</v>
      </c>
      <c r="H168" s="38">
        <f t="shared" si="66"/>
        <v>90.65</v>
      </c>
      <c r="I168" s="39">
        <v>90.65</v>
      </c>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t="str">
        <f t="shared" si="93"/>
        <v>13-1-112</v>
      </c>
      <c r="AY168" s="42">
        <f t="shared" si="68"/>
        <v>0</v>
      </c>
      <c r="AZ168" s="35">
        <f t="shared" si="69"/>
        <v>90.65</v>
      </c>
      <c r="BA168" s="35">
        <f t="shared" si="70"/>
        <v>90.65</v>
      </c>
      <c r="BB168" s="35">
        <f t="shared" si="71"/>
        <v>90.65</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49" t="s">
        <v>3212</v>
      </c>
      <c r="D169" s="2210" t="s">
        <v>3301</v>
      </c>
      <c r="E169" s="35">
        <f t="shared" si="90"/>
        <v>0</v>
      </c>
      <c r="F169" s="36"/>
      <c r="G169" s="37">
        <f t="shared" si="65"/>
        <v>90.65</v>
      </c>
      <c r="H169" s="38">
        <f t="shared" si="66"/>
        <v>90.65</v>
      </c>
      <c r="I169" s="39">
        <v>90.65</v>
      </c>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t="str">
        <f t="shared" si="93"/>
        <v>13-1-113</v>
      </c>
      <c r="AY169" s="42">
        <f t="shared" si="68"/>
        <v>0</v>
      </c>
      <c r="AZ169" s="35">
        <f t="shared" si="69"/>
        <v>90.65</v>
      </c>
      <c r="BA169" s="35">
        <f t="shared" si="70"/>
        <v>90.65</v>
      </c>
      <c r="BB169" s="35">
        <f t="shared" si="71"/>
        <v>90.65</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49" t="s">
        <v>3213</v>
      </c>
      <c r="D170" s="2210" t="s">
        <v>3301</v>
      </c>
      <c r="E170" s="35">
        <f t="shared" si="90"/>
        <v>0</v>
      </c>
      <c r="F170" s="36"/>
      <c r="G170" s="37">
        <f t="shared" si="65"/>
        <v>92.26</v>
      </c>
      <c r="H170" s="38">
        <f t="shared" si="66"/>
        <v>92.26</v>
      </c>
      <c r="I170" s="39">
        <v>92.26</v>
      </c>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t="str">
        <f t="shared" si="93"/>
        <v>13-1-114</v>
      </c>
      <c r="AY170" s="42">
        <f t="shared" si="68"/>
        <v>0</v>
      </c>
      <c r="AZ170" s="35">
        <f t="shared" si="69"/>
        <v>92.26</v>
      </c>
      <c r="BA170" s="35">
        <f t="shared" si="70"/>
        <v>92.26</v>
      </c>
      <c r="BB170" s="35">
        <f t="shared" si="71"/>
        <v>92.26</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49" t="s">
        <v>3214</v>
      </c>
      <c r="D171" s="2210" t="s">
        <v>3301</v>
      </c>
      <c r="E171" s="35">
        <f t="shared" si="90"/>
        <v>0</v>
      </c>
      <c r="F171" s="36"/>
      <c r="G171" s="37">
        <f t="shared" si="65"/>
        <v>89.39</v>
      </c>
      <c r="H171" s="38">
        <f t="shared" si="66"/>
        <v>89.39</v>
      </c>
      <c r="I171" s="39">
        <v>89.39</v>
      </c>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t="str">
        <f t="shared" si="93"/>
        <v>13-2-01</v>
      </c>
      <c r="AY171" s="42">
        <f t="shared" si="68"/>
        <v>0</v>
      </c>
      <c r="AZ171" s="35">
        <f t="shared" si="69"/>
        <v>89.39</v>
      </c>
      <c r="BA171" s="35">
        <f t="shared" si="70"/>
        <v>89.39</v>
      </c>
      <c r="BB171" s="35">
        <f t="shared" si="71"/>
        <v>89.39</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49" t="s">
        <v>3215</v>
      </c>
      <c r="D172" s="2210" t="s">
        <v>3301</v>
      </c>
      <c r="E172" s="35">
        <f t="shared" si="90"/>
        <v>0</v>
      </c>
      <c r="F172" s="36"/>
      <c r="G172" s="37">
        <f t="shared" si="65"/>
        <v>88.22</v>
      </c>
      <c r="H172" s="38">
        <f t="shared" si="66"/>
        <v>88.22</v>
      </c>
      <c r="I172" s="39">
        <v>88.22</v>
      </c>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t="str">
        <f t="shared" si="93"/>
        <v>13-2-02</v>
      </c>
      <c r="AY172" s="42">
        <f t="shared" si="68"/>
        <v>0</v>
      </c>
      <c r="AZ172" s="35">
        <f t="shared" si="69"/>
        <v>88.22</v>
      </c>
      <c r="BA172" s="35">
        <f t="shared" si="70"/>
        <v>88.22</v>
      </c>
      <c r="BB172" s="35">
        <f t="shared" si="71"/>
        <v>88.22</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49" t="s">
        <v>3216</v>
      </c>
      <c r="D173" s="2210" t="s">
        <v>3301</v>
      </c>
      <c r="E173" s="35">
        <f t="shared" si="90"/>
        <v>0</v>
      </c>
      <c r="F173" s="36"/>
      <c r="G173" s="37">
        <f t="shared" si="65"/>
        <v>60.26</v>
      </c>
      <c r="H173" s="38">
        <f t="shared" si="66"/>
        <v>60.26</v>
      </c>
      <c r="I173" s="39">
        <v>60.26</v>
      </c>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t="str">
        <f t="shared" si="93"/>
        <v>13-2-03</v>
      </c>
      <c r="AY173" s="42">
        <f t="shared" si="68"/>
        <v>0</v>
      </c>
      <c r="AZ173" s="35">
        <f t="shared" si="69"/>
        <v>60.26</v>
      </c>
      <c r="BA173" s="35">
        <f t="shared" si="70"/>
        <v>60.26</v>
      </c>
      <c r="BB173" s="35">
        <f t="shared" si="71"/>
        <v>60.26</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49" t="s">
        <v>3217</v>
      </c>
      <c r="D174" s="2210" t="s">
        <v>3301</v>
      </c>
      <c r="E174" s="35">
        <f t="shared" si="90"/>
        <v>0</v>
      </c>
      <c r="F174" s="36"/>
      <c r="G174" s="37">
        <f t="shared" ref="G174:G205" si="94">H174+AC174+AT174</f>
        <v>85.73</v>
      </c>
      <c r="H174" s="38">
        <f t="shared" ref="H174:H205" si="95">SUMIF(I$12:AB$12,"总值",I174:AB174)</f>
        <v>85.73</v>
      </c>
      <c r="I174" s="39">
        <v>85.73</v>
      </c>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t="str">
        <f t="shared" si="93"/>
        <v>13-2-04</v>
      </c>
      <c r="AY174" s="42">
        <f t="shared" ref="AY174:AY205" si="97">ROUND($AY$6*AZ174/$AZ$5,2)</f>
        <v>0</v>
      </c>
      <c r="AZ174" s="35">
        <f t="shared" ref="AZ174:AZ205" si="98">BA174+BL174</f>
        <v>85.73</v>
      </c>
      <c r="BA174" s="35">
        <f t="shared" ref="BA174:BA205" si="99">SUM(BB174:BK174)</f>
        <v>85.73</v>
      </c>
      <c r="BB174" s="35">
        <f t="shared" ref="BB174:BB207" si="100">IF($D174="是",I174-J174,0)</f>
        <v>85.73</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49" t="s">
        <v>3218</v>
      </c>
      <c r="D175" s="2210" t="s">
        <v>3301</v>
      </c>
      <c r="E175" s="35">
        <f t="shared" si="90"/>
        <v>0</v>
      </c>
      <c r="F175" s="36"/>
      <c r="G175" s="37">
        <f t="shared" si="94"/>
        <v>89.53</v>
      </c>
      <c r="H175" s="38">
        <f t="shared" si="95"/>
        <v>89.53</v>
      </c>
      <c r="I175" s="39">
        <v>89.53</v>
      </c>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t="str">
        <f t="shared" si="93"/>
        <v>13-2-05</v>
      </c>
      <c r="AY175" s="42">
        <f t="shared" si="97"/>
        <v>0</v>
      </c>
      <c r="AZ175" s="35">
        <f t="shared" si="98"/>
        <v>89.53</v>
      </c>
      <c r="BA175" s="35">
        <f t="shared" si="99"/>
        <v>89.53</v>
      </c>
      <c r="BB175" s="35">
        <f t="shared" si="100"/>
        <v>89.53</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49" t="s">
        <v>3219</v>
      </c>
      <c r="D176" s="2210" t="s">
        <v>3301</v>
      </c>
      <c r="E176" s="35">
        <f t="shared" si="90"/>
        <v>0</v>
      </c>
      <c r="F176" s="36"/>
      <c r="G176" s="37">
        <f t="shared" si="94"/>
        <v>88.22</v>
      </c>
      <c r="H176" s="38">
        <f t="shared" si="95"/>
        <v>88.22</v>
      </c>
      <c r="I176" s="39">
        <v>88.22</v>
      </c>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t="str">
        <f t="shared" si="93"/>
        <v>13-2-06</v>
      </c>
      <c r="AY176" s="42">
        <f t="shared" si="97"/>
        <v>0</v>
      </c>
      <c r="AZ176" s="35">
        <f t="shared" si="98"/>
        <v>88.22</v>
      </c>
      <c r="BA176" s="35">
        <f t="shared" si="99"/>
        <v>88.22</v>
      </c>
      <c r="BB176" s="35">
        <f t="shared" si="100"/>
        <v>88.22</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49" t="s">
        <v>3220</v>
      </c>
      <c r="D177" s="2210" t="s">
        <v>3301</v>
      </c>
      <c r="E177" s="35">
        <f t="shared" ref="E177:E207" si="119">IF($C$3="是",ROUND($A$3*G177/$B$3,2),ROUND($A$3*(G177-AT177)/$B$3,2))</f>
        <v>0</v>
      </c>
      <c r="F177" s="36"/>
      <c r="G177" s="37">
        <f t="shared" si="94"/>
        <v>88.22</v>
      </c>
      <c r="H177" s="38">
        <f t="shared" si="95"/>
        <v>88.22</v>
      </c>
      <c r="I177" s="39">
        <v>88.22</v>
      </c>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t="str">
        <f t="shared" ref="AX177:AX207" si="122">C177</f>
        <v>13-2-07</v>
      </c>
      <c r="AY177" s="42">
        <f t="shared" si="97"/>
        <v>0</v>
      </c>
      <c r="AZ177" s="35">
        <f t="shared" si="98"/>
        <v>88.22</v>
      </c>
      <c r="BA177" s="35">
        <f t="shared" si="99"/>
        <v>88.22</v>
      </c>
      <c r="BB177" s="35">
        <f t="shared" si="100"/>
        <v>88.22</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49" t="s">
        <v>3221</v>
      </c>
      <c r="D178" s="2210" t="s">
        <v>3301</v>
      </c>
      <c r="E178" s="35">
        <f t="shared" si="119"/>
        <v>0</v>
      </c>
      <c r="F178" s="36"/>
      <c r="G178" s="37">
        <f t="shared" si="94"/>
        <v>88.22</v>
      </c>
      <c r="H178" s="38">
        <f t="shared" si="95"/>
        <v>88.22</v>
      </c>
      <c r="I178" s="39">
        <v>88.22</v>
      </c>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t="str">
        <f t="shared" si="122"/>
        <v>13-2-08</v>
      </c>
      <c r="AY178" s="42">
        <f t="shared" si="97"/>
        <v>0</v>
      </c>
      <c r="AZ178" s="35">
        <f t="shared" si="98"/>
        <v>88.22</v>
      </c>
      <c r="BA178" s="35">
        <f t="shared" si="99"/>
        <v>88.22</v>
      </c>
      <c r="BB178" s="35">
        <f t="shared" si="100"/>
        <v>88.22</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49" t="s">
        <v>3222</v>
      </c>
      <c r="D179" s="2210" t="s">
        <v>3301</v>
      </c>
      <c r="E179" s="35">
        <f t="shared" si="119"/>
        <v>0</v>
      </c>
      <c r="F179" s="36"/>
      <c r="G179" s="37">
        <f t="shared" si="94"/>
        <v>88.22</v>
      </c>
      <c r="H179" s="38">
        <f t="shared" si="95"/>
        <v>88.22</v>
      </c>
      <c r="I179" s="39">
        <v>88.22</v>
      </c>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t="str">
        <f t="shared" si="122"/>
        <v>13-2-09</v>
      </c>
      <c r="AY179" s="42">
        <f t="shared" si="97"/>
        <v>0</v>
      </c>
      <c r="AZ179" s="35">
        <f t="shared" si="98"/>
        <v>88.22</v>
      </c>
      <c r="BA179" s="35">
        <f t="shared" si="99"/>
        <v>88.22</v>
      </c>
      <c r="BB179" s="35">
        <f t="shared" si="100"/>
        <v>88.22</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49" t="s">
        <v>3223</v>
      </c>
      <c r="D180" s="2210" t="s">
        <v>3301</v>
      </c>
      <c r="E180" s="35">
        <f t="shared" si="119"/>
        <v>0</v>
      </c>
      <c r="F180" s="36"/>
      <c r="G180" s="37">
        <f t="shared" si="94"/>
        <v>88.22</v>
      </c>
      <c r="H180" s="38">
        <f t="shared" si="95"/>
        <v>88.22</v>
      </c>
      <c r="I180" s="39">
        <v>88.22</v>
      </c>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t="str">
        <f t="shared" si="122"/>
        <v>13-2-10</v>
      </c>
      <c r="AY180" s="42">
        <f t="shared" si="97"/>
        <v>0</v>
      </c>
      <c r="AZ180" s="35">
        <f t="shared" si="98"/>
        <v>88.22</v>
      </c>
      <c r="BA180" s="35">
        <f t="shared" si="99"/>
        <v>88.22</v>
      </c>
      <c r="BB180" s="35">
        <f t="shared" si="100"/>
        <v>88.22</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2949" t="s">
        <v>3224</v>
      </c>
      <c r="D181" s="2210" t="s">
        <v>3301</v>
      </c>
      <c r="E181" s="35">
        <f t="shared" si="119"/>
        <v>0</v>
      </c>
      <c r="F181" s="36"/>
      <c r="G181" s="37">
        <f t="shared" si="94"/>
        <v>88.22</v>
      </c>
      <c r="H181" s="38">
        <f t="shared" si="95"/>
        <v>88.22</v>
      </c>
      <c r="I181" s="39">
        <v>88.22</v>
      </c>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t="str">
        <f t="shared" si="122"/>
        <v>13-2-11</v>
      </c>
      <c r="AY181" s="42">
        <f t="shared" si="97"/>
        <v>0</v>
      </c>
      <c r="AZ181" s="35">
        <f t="shared" si="98"/>
        <v>88.22</v>
      </c>
      <c r="BA181" s="35">
        <f t="shared" si="99"/>
        <v>88.22</v>
      </c>
      <c r="BB181" s="35">
        <f t="shared" si="100"/>
        <v>88.22</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2949" t="s">
        <v>3225</v>
      </c>
      <c r="D182" s="2210" t="s">
        <v>3301</v>
      </c>
      <c r="E182" s="35">
        <f t="shared" si="119"/>
        <v>0</v>
      </c>
      <c r="F182" s="36"/>
      <c r="G182" s="37">
        <f t="shared" si="94"/>
        <v>89.39</v>
      </c>
      <c r="H182" s="38">
        <f t="shared" si="95"/>
        <v>89.39</v>
      </c>
      <c r="I182" s="39">
        <v>89.39</v>
      </c>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t="str">
        <f t="shared" si="122"/>
        <v>13-2-12</v>
      </c>
      <c r="AY182" s="42">
        <f t="shared" si="97"/>
        <v>0</v>
      </c>
      <c r="AZ182" s="35">
        <f t="shared" si="98"/>
        <v>89.39</v>
      </c>
      <c r="BA182" s="35">
        <f t="shared" si="99"/>
        <v>89.39</v>
      </c>
      <c r="BB182" s="35">
        <f t="shared" si="100"/>
        <v>89.39</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2949" t="s">
        <v>3226</v>
      </c>
      <c r="D183" s="2210" t="s">
        <v>3301</v>
      </c>
      <c r="E183" s="35">
        <f t="shared" si="119"/>
        <v>0</v>
      </c>
      <c r="F183" s="36"/>
      <c r="G183" s="37">
        <f t="shared" si="94"/>
        <v>89.68</v>
      </c>
      <c r="H183" s="38">
        <f t="shared" si="95"/>
        <v>89.68</v>
      </c>
      <c r="I183" s="39">
        <v>89.68</v>
      </c>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t="str">
        <f t="shared" si="122"/>
        <v>13-2-101</v>
      </c>
      <c r="AY183" s="42">
        <f t="shared" si="97"/>
        <v>0</v>
      </c>
      <c r="AZ183" s="35">
        <f t="shared" si="98"/>
        <v>89.68</v>
      </c>
      <c r="BA183" s="35">
        <f t="shared" si="99"/>
        <v>89.68</v>
      </c>
      <c r="BB183" s="35">
        <f t="shared" si="100"/>
        <v>89.68</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2949" t="s">
        <v>3227</v>
      </c>
      <c r="D184" s="2210" t="s">
        <v>3301</v>
      </c>
      <c r="E184" s="35">
        <f t="shared" si="119"/>
        <v>0</v>
      </c>
      <c r="F184" s="36"/>
      <c r="G184" s="37">
        <f t="shared" si="94"/>
        <v>90.65</v>
      </c>
      <c r="H184" s="38">
        <f t="shared" si="95"/>
        <v>90.65</v>
      </c>
      <c r="I184" s="39">
        <v>90.65</v>
      </c>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t="str">
        <f t="shared" si="122"/>
        <v>13-2-102</v>
      </c>
      <c r="AY184" s="42">
        <f t="shared" si="97"/>
        <v>0</v>
      </c>
      <c r="AZ184" s="35">
        <f t="shared" si="98"/>
        <v>90.65</v>
      </c>
      <c r="BA184" s="35">
        <f t="shared" si="99"/>
        <v>90.65</v>
      </c>
      <c r="BB184" s="35">
        <f t="shared" si="100"/>
        <v>90.65</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2949" t="s">
        <v>3228</v>
      </c>
      <c r="D185" s="2210" t="s">
        <v>3301</v>
      </c>
      <c r="E185" s="35">
        <f t="shared" si="119"/>
        <v>0</v>
      </c>
      <c r="F185" s="36"/>
      <c r="G185" s="37">
        <f t="shared" si="94"/>
        <v>64.510000000000005</v>
      </c>
      <c r="H185" s="38">
        <f t="shared" si="95"/>
        <v>64.510000000000005</v>
      </c>
      <c r="I185" s="39">
        <v>64.510000000000005</v>
      </c>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t="str">
        <f t="shared" si="122"/>
        <v>13-2-103</v>
      </c>
      <c r="AY185" s="42">
        <f t="shared" si="97"/>
        <v>0</v>
      </c>
      <c r="AZ185" s="35">
        <f t="shared" si="98"/>
        <v>64.510000000000005</v>
      </c>
      <c r="BA185" s="35">
        <f t="shared" si="99"/>
        <v>64.510000000000005</v>
      </c>
      <c r="BB185" s="35">
        <f t="shared" si="100"/>
        <v>64.510000000000005</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2949" t="s">
        <v>3229</v>
      </c>
      <c r="D186" s="2210" t="s">
        <v>3301</v>
      </c>
      <c r="E186" s="35">
        <f t="shared" si="119"/>
        <v>0</v>
      </c>
      <c r="F186" s="36"/>
      <c r="G186" s="37">
        <f t="shared" si="94"/>
        <v>63.65</v>
      </c>
      <c r="H186" s="38">
        <f t="shared" si="95"/>
        <v>63.65</v>
      </c>
      <c r="I186" s="39">
        <v>63.65</v>
      </c>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t="str">
        <f t="shared" si="122"/>
        <v>13-2-104</v>
      </c>
      <c r="AY186" s="42">
        <f t="shared" si="97"/>
        <v>0</v>
      </c>
      <c r="AZ186" s="35">
        <f t="shared" si="98"/>
        <v>63.65</v>
      </c>
      <c r="BA186" s="35">
        <f t="shared" si="99"/>
        <v>63.65</v>
      </c>
      <c r="BB186" s="35">
        <f t="shared" si="100"/>
        <v>63.65</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2949" t="s">
        <v>3230</v>
      </c>
      <c r="D187" s="2210" t="s">
        <v>3301</v>
      </c>
      <c r="E187" s="35">
        <f t="shared" si="119"/>
        <v>0</v>
      </c>
      <c r="F187" s="36"/>
      <c r="G187" s="37">
        <f t="shared" si="94"/>
        <v>64.510000000000005</v>
      </c>
      <c r="H187" s="38">
        <f t="shared" si="95"/>
        <v>64.510000000000005</v>
      </c>
      <c r="I187" s="39">
        <v>64.510000000000005</v>
      </c>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t="str">
        <f t="shared" si="122"/>
        <v>13-2-105</v>
      </c>
      <c r="AY187" s="42">
        <f t="shared" si="97"/>
        <v>0</v>
      </c>
      <c r="AZ187" s="35">
        <f t="shared" si="98"/>
        <v>64.510000000000005</v>
      </c>
      <c r="BA187" s="35">
        <f t="shared" si="99"/>
        <v>64.510000000000005</v>
      </c>
      <c r="BB187" s="35">
        <f t="shared" si="100"/>
        <v>64.510000000000005</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2949" t="s">
        <v>3231</v>
      </c>
      <c r="D188" s="2210" t="s">
        <v>3301</v>
      </c>
      <c r="E188" s="35">
        <f t="shared" si="119"/>
        <v>0</v>
      </c>
      <c r="F188" s="36"/>
      <c r="G188" s="37">
        <f t="shared" si="94"/>
        <v>90.65</v>
      </c>
      <c r="H188" s="38">
        <f t="shared" si="95"/>
        <v>90.65</v>
      </c>
      <c r="I188" s="39">
        <v>90.65</v>
      </c>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t="str">
        <f t="shared" si="122"/>
        <v>13-2-106</v>
      </c>
      <c r="AY188" s="42">
        <f t="shared" si="97"/>
        <v>0</v>
      </c>
      <c r="AZ188" s="35">
        <f t="shared" si="98"/>
        <v>90.65</v>
      </c>
      <c r="BA188" s="35">
        <f t="shared" si="99"/>
        <v>90.65</v>
      </c>
      <c r="BB188" s="35">
        <f t="shared" si="100"/>
        <v>90.65</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2949" t="s">
        <v>3232</v>
      </c>
      <c r="D189" s="2210" t="s">
        <v>3301</v>
      </c>
      <c r="E189" s="35">
        <f t="shared" si="119"/>
        <v>0</v>
      </c>
      <c r="F189" s="36"/>
      <c r="G189" s="37">
        <f t="shared" si="94"/>
        <v>92.26</v>
      </c>
      <c r="H189" s="38">
        <f t="shared" si="95"/>
        <v>92.26</v>
      </c>
      <c r="I189" s="39">
        <v>92.26</v>
      </c>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t="str">
        <f t="shared" si="122"/>
        <v>13-2-107</v>
      </c>
      <c r="AY189" s="42">
        <f t="shared" si="97"/>
        <v>0</v>
      </c>
      <c r="AZ189" s="35">
        <f t="shared" si="98"/>
        <v>92.26</v>
      </c>
      <c r="BA189" s="35">
        <f t="shared" si="99"/>
        <v>92.26</v>
      </c>
      <c r="BB189" s="35">
        <f t="shared" si="100"/>
        <v>92.26</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2949" t="s">
        <v>3233</v>
      </c>
      <c r="D190" s="2210" t="s">
        <v>3301</v>
      </c>
      <c r="E190" s="35">
        <f t="shared" si="119"/>
        <v>0</v>
      </c>
      <c r="F190" s="36"/>
      <c r="G190" s="37">
        <f t="shared" si="94"/>
        <v>90.65</v>
      </c>
      <c r="H190" s="38">
        <f t="shared" si="95"/>
        <v>90.65</v>
      </c>
      <c r="I190" s="39">
        <v>90.65</v>
      </c>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t="str">
        <f t="shared" si="122"/>
        <v>13-2-108</v>
      </c>
      <c r="AY190" s="42">
        <f t="shared" si="97"/>
        <v>0</v>
      </c>
      <c r="AZ190" s="35">
        <f t="shared" si="98"/>
        <v>90.65</v>
      </c>
      <c r="BA190" s="35">
        <f t="shared" si="99"/>
        <v>90.65</v>
      </c>
      <c r="BB190" s="35">
        <f t="shared" si="100"/>
        <v>90.65</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2949" t="s">
        <v>3234</v>
      </c>
      <c r="D191" s="2210" t="s">
        <v>3301</v>
      </c>
      <c r="E191" s="35">
        <f t="shared" si="119"/>
        <v>0</v>
      </c>
      <c r="F191" s="36"/>
      <c r="G191" s="37">
        <f t="shared" si="94"/>
        <v>90.65</v>
      </c>
      <c r="H191" s="38">
        <f t="shared" si="95"/>
        <v>90.65</v>
      </c>
      <c r="I191" s="39">
        <v>90.65</v>
      </c>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t="str">
        <f t="shared" si="122"/>
        <v>13-2-109</v>
      </c>
      <c r="AY191" s="42">
        <f t="shared" si="97"/>
        <v>0</v>
      </c>
      <c r="AZ191" s="35">
        <f t="shared" si="98"/>
        <v>90.65</v>
      </c>
      <c r="BA191" s="35">
        <f t="shared" si="99"/>
        <v>90.65</v>
      </c>
      <c r="BB191" s="35">
        <f t="shared" si="100"/>
        <v>90.65</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2949" t="s">
        <v>3235</v>
      </c>
      <c r="D192" s="2210" t="s">
        <v>3301</v>
      </c>
      <c r="E192" s="35">
        <f t="shared" si="119"/>
        <v>0</v>
      </c>
      <c r="F192" s="36"/>
      <c r="G192" s="37">
        <f t="shared" si="94"/>
        <v>90.65</v>
      </c>
      <c r="H192" s="38">
        <f t="shared" si="95"/>
        <v>90.65</v>
      </c>
      <c r="I192" s="39">
        <v>90.65</v>
      </c>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t="str">
        <f t="shared" si="122"/>
        <v>13-2-110</v>
      </c>
      <c r="AY192" s="42">
        <f t="shared" si="97"/>
        <v>0</v>
      </c>
      <c r="AZ192" s="35">
        <f t="shared" si="98"/>
        <v>90.65</v>
      </c>
      <c r="BA192" s="35">
        <f t="shared" si="99"/>
        <v>90.65</v>
      </c>
      <c r="BB192" s="35">
        <f t="shared" si="100"/>
        <v>90.65</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2949" t="s">
        <v>3236</v>
      </c>
      <c r="D193" s="2210" t="s">
        <v>3301</v>
      </c>
      <c r="E193" s="35">
        <f t="shared" si="119"/>
        <v>0</v>
      </c>
      <c r="F193" s="36"/>
      <c r="G193" s="37">
        <f t="shared" si="94"/>
        <v>90.65</v>
      </c>
      <c r="H193" s="38">
        <f t="shared" si="95"/>
        <v>90.65</v>
      </c>
      <c r="I193" s="39">
        <v>90.65</v>
      </c>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t="str">
        <f t="shared" si="122"/>
        <v>13-2-113</v>
      </c>
      <c r="AY193" s="42">
        <f t="shared" si="97"/>
        <v>0</v>
      </c>
      <c r="AZ193" s="35">
        <f t="shared" si="98"/>
        <v>90.65</v>
      </c>
      <c r="BA193" s="35">
        <f t="shared" si="99"/>
        <v>90.65</v>
      </c>
      <c r="BB193" s="35">
        <f t="shared" si="100"/>
        <v>90.65</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2949" t="s">
        <v>3237</v>
      </c>
      <c r="D194" s="2210" t="s">
        <v>3301</v>
      </c>
      <c r="E194" s="35">
        <f t="shared" si="119"/>
        <v>0</v>
      </c>
      <c r="F194" s="36"/>
      <c r="G194" s="37">
        <f t="shared" si="94"/>
        <v>91.85</v>
      </c>
      <c r="H194" s="38">
        <f t="shared" si="95"/>
        <v>91.85</v>
      </c>
      <c r="I194" s="39">
        <v>91.85</v>
      </c>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t="str">
        <f t="shared" si="122"/>
        <v>13-2-215</v>
      </c>
      <c r="AY194" s="42">
        <f t="shared" si="97"/>
        <v>0</v>
      </c>
      <c r="AZ194" s="35">
        <f t="shared" si="98"/>
        <v>91.85</v>
      </c>
      <c r="BA194" s="35">
        <f t="shared" si="99"/>
        <v>91.85</v>
      </c>
      <c r="BB194" s="35">
        <f t="shared" si="100"/>
        <v>91.85</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2949" t="s">
        <v>3238</v>
      </c>
      <c r="D195" s="2210" t="s">
        <v>3301</v>
      </c>
      <c r="E195" s="35">
        <f t="shared" si="119"/>
        <v>0</v>
      </c>
      <c r="F195" s="36"/>
      <c r="G195" s="37">
        <f t="shared" si="94"/>
        <v>91.63</v>
      </c>
      <c r="H195" s="38">
        <f t="shared" si="95"/>
        <v>91.63</v>
      </c>
      <c r="I195" s="39">
        <v>91.63</v>
      </c>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t="str">
        <f t="shared" si="122"/>
        <v>7-1-312</v>
      </c>
      <c r="AY195" s="42">
        <f t="shared" si="97"/>
        <v>0</v>
      </c>
      <c r="AZ195" s="35">
        <f t="shared" si="98"/>
        <v>91.63</v>
      </c>
      <c r="BA195" s="35">
        <f t="shared" si="99"/>
        <v>91.63</v>
      </c>
      <c r="BB195" s="35">
        <f t="shared" si="100"/>
        <v>91.63</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2949" t="s">
        <v>3239</v>
      </c>
      <c r="D196" s="2210" t="s">
        <v>3301</v>
      </c>
      <c r="E196" s="35">
        <f t="shared" si="119"/>
        <v>0</v>
      </c>
      <c r="F196" s="36"/>
      <c r="G196" s="37">
        <f t="shared" si="94"/>
        <v>91.08</v>
      </c>
      <c r="H196" s="38">
        <f t="shared" si="95"/>
        <v>91.08</v>
      </c>
      <c r="I196" s="39">
        <v>91.08</v>
      </c>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t="str">
        <f t="shared" si="122"/>
        <v>7-1-401</v>
      </c>
      <c r="AY196" s="42">
        <f t="shared" si="97"/>
        <v>0</v>
      </c>
      <c r="AZ196" s="35">
        <f t="shared" si="98"/>
        <v>91.08</v>
      </c>
      <c r="BA196" s="35">
        <f t="shared" si="99"/>
        <v>91.08</v>
      </c>
      <c r="BB196" s="35">
        <f t="shared" si="100"/>
        <v>91.08</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2949" t="s">
        <v>3240</v>
      </c>
      <c r="D197" s="2210" t="s">
        <v>3301</v>
      </c>
      <c r="E197" s="35">
        <f t="shared" si="119"/>
        <v>0</v>
      </c>
      <c r="F197" s="36"/>
      <c r="G197" s="37">
        <f t="shared" si="94"/>
        <v>91.08</v>
      </c>
      <c r="H197" s="38">
        <f t="shared" si="95"/>
        <v>91.08</v>
      </c>
      <c r="I197" s="39">
        <v>91.08</v>
      </c>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t="str">
        <f t="shared" si="122"/>
        <v>7-1-707</v>
      </c>
      <c r="AY197" s="42">
        <f t="shared" si="97"/>
        <v>0</v>
      </c>
      <c r="AZ197" s="35">
        <f t="shared" si="98"/>
        <v>91.08</v>
      </c>
      <c r="BA197" s="35">
        <f t="shared" si="99"/>
        <v>91.08</v>
      </c>
      <c r="BB197" s="35">
        <f t="shared" si="100"/>
        <v>91.08</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2949" t="s">
        <v>3241</v>
      </c>
      <c r="D198" s="2210" t="s">
        <v>3301</v>
      </c>
      <c r="E198" s="35">
        <f t="shared" si="119"/>
        <v>0</v>
      </c>
      <c r="F198" s="36"/>
      <c r="G198" s="37">
        <f t="shared" si="94"/>
        <v>91.63</v>
      </c>
      <c r="H198" s="38">
        <f t="shared" si="95"/>
        <v>91.63</v>
      </c>
      <c r="I198" s="39">
        <v>91.63</v>
      </c>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t="str">
        <f t="shared" si="122"/>
        <v>7-1-902</v>
      </c>
      <c r="AY198" s="42">
        <f t="shared" si="97"/>
        <v>0</v>
      </c>
      <c r="AZ198" s="35">
        <f t="shared" si="98"/>
        <v>91.63</v>
      </c>
      <c r="BA198" s="35">
        <f t="shared" si="99"/>
        <v>91.63</v>
      </c>
      <c r="BB198" s="35">
        <f t="shared" si="100"/>
        <v>91.63</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2949" t="s">
        <v>3242</v>
      </c>
      <c r="D199" s="2210" t="s">
        <v>3301</v>
      </c>
      <c r="E199" s="35">
        <f t="shared" si="119"/>
        <v>0</v>
      </c>
      <c r="F199" s="36"/>
      <c r="G199" s="37">
        <f t="shared" si="94"/>
        <v>91.63</v>
      </c>
      <c r="H199" s="38">
        <f t="shared" si="95"/>
        <v>91.63</v>
      </c>
      <c r="I199" s="39">
        <v>91.63</v>
      </c>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t="str">
        <f t="shared" si="122"/>
        <v>7-1-906</v>
      </c>
      <c r="AY199" s="42">
        <f t="shared" si="97"/>
        <v>0</v>
      </c>
      <c r="AZ199" s="35">
        <f t="shared" si="98"/>
        <v>91.63</v>
      </c>
      <c r="BA199" s="35">
        <f t="shared" si="99"/>
        <v>91.63</v>
      </c>
      <c r="BB199" s="35">
        <f t="shared" si="100"/>
        <v>91.63</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2949" t="s">
        <v>3243</v>
      </c>
      <c r="D200" s="2210" t="s">
        <v>3301</v>
      </c>
      <c r="E200" s="35">
        <f t="shared" si="119"/>
        <v>0</v>
      </c>
      <c r="F200" s="36"/>
      <c r="G200" s="37">
        <f t="shared" si="94"/>
        <v>91.63</v>
      </c>
      <c r="H200" s="38">
        <f t="shared" si="95"/>
        <v>91.63</v>
      </c>
      <c r="I200" s="39">
        <v>91.63</v>
      </c>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t="str">
        <f t="shared" si="122"/>
        <v>7-1-1109</v>
      </c>
      <c r="AY200" s="42">
        <f t="shared" si="97"/>
        <v>0</v>
      </c>
      <c r="AZ200" s="35">
        <f t="shared" si="98"/>
        <v>91.63</v>
      </c>
      <c r="BA200" s="35">
        <f t="shared" si="99"/>
        <v>91.63</v>
      </c>
      <c r="BB200" s="35">
        <f t="shared" si="100"/>
        <v>91.63</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2949" t="s">
        <v>3244</v>
      </c>
      <c r="D201" s="2210" t="s">
        <v>3301</v>
      </c>
      <c r="E201" s="35">
        <f t="shared" si="119"/>
        <v>0</v>
      </c>
      <c r="F201" s="36"/>
      <c r="G201" s="37">
        <f t="shared" si="94"/>
        <v>91.63</v>
      </c>
      <c r="H201" s="38">
        <f t="shared" si="95"/>
        <v>91.63</v>
      </c>
      <c r="I201" s="39">
        <v>91.63</v>
      </c>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t="str">
        <f t="shared" si="122"/>
        <v>7-1-1210</v>
      </c>
      <c r="AY201" s="42">
        <f t="shared" si="97"/>
        <v>0</v>
      </c>
      <c r="AZ201" s="35">
        <f t="shared" si="98"/>
        <v>91.63</v>
      </c>
      <c r="BA201" s="35">
        <f t="shared" si="99"/>
        <v>91.63</v>
      </c>
      <c r="BB201" s="35">
        <f t="shared" si="100"/>
        <v>91.63</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2949" t="s">
        <v>3245</v>
      </c>
      <c r="D202" s="2210" t="s">
        <v>3301</v>
      </c>
      <c r="E202" s="35">
        <f t="shared" si="119"/>
        <v>0</v>
      </c>
      <c r="F202" s="36"/>
      <c r="G202" s="37">
        <f t="shared" si="94"/>
        <v>91.79</v>
      </c>
      <c r="H202" s="38">
        <f t="shared" si="95"/>
        <v>91.79</v>
      </c>
      <c r="I202" s="39">
        <v>91.79</v>
      </c>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t="str">
        <f t="shared" si="122"/>
        <v>11-1-206</v>
      </c>
      <c r="AY202" s="42">
        <f t="shared" si="97"/>
        <v>0</v>
      </c>
      <c r="AZ202" s="35">
        <f t="shared" si="98"/>
        <v>91.79</v>
      </c>
      <c r="BA202" s="35">
        <f t="shared" si="99"/>
        <v>91.79</v>
      </c>
      <c r="BB202" s="35">
        <f t="shared" si="100"/>
        <v>91.79</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2949" t="s">
        <v>3246</v>
      </c>
      <c r="D203" s="2210" t="s">
        <v>3301</v>
      </c>
      <c r="E203" s="35">
        <f t="shared" si="119"/>
        <v>0</v>
      </c>
      <c r="F203" s="36"/>
      <c r="G203" s="37">
        <f t="shared" si="94"/>
        <v>91.11</v>
      </c>
      <c r="H203" s="38">
        <f t="shared" si="95"/>
        <v>91.11</v>
      </c>
      <c r="I203" s="39">
        <v>91.11</v>
      </c>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t="str">
        <f t="shared" si="122"/>
        <v>11-1-209</v>
      </c>
      <c r="AY203" s="42">
        <f t="shared" si="97"/>
        <v>0</v>
      </c>
      <c r="AZ203" s="35">
        <f t="shared" si="98"/>
        <v>91.11</v>
      </c>
      <c r="BA203" s="35">
        <f t="shared" si="99"/>
        <v>91.11</v>
      </c>
      <c r="BB203" s="35">
        <f t="shared" si="100"/>
        <v>91.11</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2949" t="s">
        <v>3247</v>
      </c>
      <c r="D204" s="2210" t="s">
        <v>3301</v>
      </c>
      <c r="E204" s="35">
        <f t="shared" si="119"/>
        <v>0</v>
      </c>
      <c r="F204" s="36"/>
      <c r="G204" s="37">
        <f t="shared" si="94"/>
        <v>91.79</v>
      </c>
      <c r="H204" s="38">
        <f t="shared" si="95"/>
        <v>91.79</v>
      </c>
      <c r="I204" s="39">
        <v>91.79</v>
      </c>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t="str">
        <f t="shared" si="122"/>
        <v>11-1-210</v>
      </c>
      <c r="AY204" s="42">
        <f t="shared" si="97"/>
        <v>0</v>
      </c>
      <c r="AZ204" s="35">
        <f t="shared" si="98"/>
        <v>91.79</v>
      </c>
      <c r="BA204" s="35">
        <f t="shared" si="99"/>
        <v>91.79</v>
      </c>
      <c r="BB204" s="35">
        <f t="shared" si="100"/>
        <v>91.79</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1272" t="s">
        <v>3248</v>
      </c>
      <c r="D205" s="2210" t="s">
        <v>3301</v>
      </c>
      <c r="E205" s="35">
        <f t="shared" si="119"/>
        <v>0</v>
      </c>
      <c r="F205" s="44"/>
      <c r="G205" s="37">
        <f t="shared" si="94"/>
        <v>65.22</v>
      </c>
      <c r="H205" s="38">
        <f t="shared" si="95"/>
        <v>65.22</v>
      </c>
      <c r="I205" s="10">
        <v>65.22</v>
      </c>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t="str">
        <f t="shared" si="122"/>
        <v>11-1-211</v>
      </c>
      <c r="AY205" s="42">
        <f t="shared" si="97"/>
        <v>0</v>
      </c>
      <c r="AZ205" s="35">
        <f t="shared" si="98"/>
        <v>65.22</v>
      </c>
      <c r="BA205" s="35">
        <f t="shared" si="99"/>
        <v>65.22</v>
      </c>
      <c r="BB205" s="35">
        <f t="shared" si="100"/>
        <v>65.22</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1272" t="s">
        <v>3249</v>
      </c>
      <c r="D206" s="2210" t="s">
        <v>3301</v>
      </c>
      <c r="E206" s="35">
        <f t="shared" si="119"/>
        <v>0</v>
      </c>
      <c r="F206" s="44"/>
      <c r="G206" s="37">
        <f>H206+AC206+AT206</f>
        <v>91.79</v>
      </c>
      <c r="H206" s="38">
        <f>SUMIF(I$12:AB$12,"总值",I206:AB206)</f>
        <v>91.79</v>
      </c>
      <c r="I206" s="39">
        <v>91.79</v>
      </c>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t="str">
        <f t="shared" si="122"/>
        <v>11-1-502</v>
      </c>
      <c r="AY206" s="42">
        <f>ROUND($AY$6*AZ206/$AZ$5,2)</f>
        <v>0</v>
      </c>
      <c r="AZ206" s="35">
        <f>BA206+BL206</f>
        <v>91.79</v>
      </c>
      <c r="BA206" s="35">
        <f>SUM(BB206:BK206)</f>
        <v>91.79</v>
      </c>
      <c r="BB206" s="35">
        <f t="shared" si="100"/>
        <v>91.79</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1272" t="s">
        <v>3250</v>
      </c>
      <c r="D207" s="2210" t="s">
        <v>3301</v>
      </c>
      <c r="E207" s="35">
        <f t="shared" si="119"/>
        <v>0</v>
      </c>
      <c r="F207" s="44"/>
      <c r="G207" s="37">
        <f>H207+AC207+AT207</f>
        <v>91.79</v>
      </c>
      <c r="H207" s="38">
        <f>SUMIF(I$12:AB$12,"总值",I207:AB207)</f>
        <v>91.79</v>
      </c>
      <c r="I207" s="39">
        <v>91.79</v>
      </c>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t="str">
        <f t="shared" si="122"/>
        <v>11-1-506</v>
      </c>
      <c r="AY207" s="42">
        <f>ROUND($AY$6*AZ207/$AZ$5,2)</f>
        <v>0</v>
      </c>
      <c r="AZ207" s="35">
        <f>BA207+BL207</f>
        <v>91.79</v>
      </c>
      <c r="BA207" s="35">
        <f>SUM(BB207:BK207)</f>
        <v>91.79</v>
      </c>
      <c r="BB207" s="35">
        <f t="shared" si="100"/>
        <v>91.79</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2949" t="s">
        <v>3251</v>
      </c>
      <c r="D208" s="2210" t="s">
        <v>3301</v>
      </c>
      <c r="E208" s="35">
        <f t="shared" ref="E208:E302" si="123">IF($C$3="是",ROUND($A$3*G208/$B$3,2),ROUND($A$3*(G208-AT208)/$B$3,2))</f>
        <v>0</v>
      </c>
      <c r="F208" s="36"/>
      <c r="G208" s="37">
        <f t="shared" ref="G208:G299" si="124">H208+AC208+AT208</f>
        <v>91.11</v>
      </c>
      <c r="H208" s="38">
        <f t="shared" ref="H208:H299" si="125">SUMIF(I$12:AB$12,"总值",I208:AB208)</f>
        <v>91.11</v>
      </c>
      <c r="I208" s="39">
        <v>91.11</v>
      </c>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t="str">
        <f t="shared" ref="AX208:AX302" si="129">C208</f>
        <v>11-1-509</v>
      </c>
      <c r="AY208" s="42">
        <f t="shared" ref="AY208:AY299" si="130">ROUND($AY$6*AZ208/$AZ$5,2)</f>
        <v>0</v>
      </c>
      <c r="AZ208" s="35">
        <f t="shared" ref="AZ208:AZ299" si="131">BA208+BL208</f>
        <v>91.11</v>
      </c>
      <c r="BA208" s="35">
        <f t="shared" ref="BA208:BA299" si="132">SUM(BB208:BK208)</f>
        <v>91.11</v>
      </c>
      <c r="BB208" s="35">
        <f t="shared" ref="BB208:BB299" si="133">IF($D208="是",I208-J208,0)</f>
        <v>91.11</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2949" t="s">
        <v>3252</v>
      </c>
      <c r="D209" s="2210" t="s">
        <v>3301</v>
      </c>
      <c r="E209" s="35">
        <f t="shared" si="123"/>
        <v>0</v>
      </c>
      <c r="F209" s="36"/>
      <c r="G209" s="37">
        <f t="shared" si="124"/>
        <v>91.79</v>
      </c>
      <c r="H209" s="38">
        <f t="shared" si="125"/>
        <v>91.79</v>
      </c>
      <c r="I209" s="39">
        <v>91.79</v>
      </c>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t="str">
        <f t="shared" si="129"/>
        <v>11-1-607</v>
      </c>
      <c r="AY209" s="42">
        <f t="shared" si="130"/>
        <v>0</v>
      </c>
      <c r="AZ209" s="35">
        <f t="shared" si="131"/>
        <v>91.79</v>
      </c>
      <c r="BA209" s="35">
        <f t="shared" si="132"/>
        <v>91.79</v>
      </c>
      <c r="BB209" s="35">
        <f t="shared" si="133"/>
        <v>91.79</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2949" t="s">
        <v>3253</v>
      </c>
      <c r="D210" s="2210" t="s">
        <v>3301</v>
      </c>
      <c r="E210" s="35">
        <f t="shared" si="123"/>
        <v>0</v>
      </c>
      <c r="F210" s="36"/>
      <c r="G210" s="37">
        <f t="shared" si="124"/>
        <v>93.17</v>
      </c>
      <c r="H210" s="38">
        <f t="shared" si="125"/>
        <v>93.17</v>
      </c>
      <c r="I210" s="39">
        <v>93.17</v>
      </c>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t="str">
        <f t="shared" si="129"/>
        <v>11-1-608</v>
      </c>
      <c r="AY210" s="42">
        <f t="shared" si="130"/>
        <v>0</v>
      </c>
      <c r="AZ210" s="35">
        <f t="shared" si="131"/>
        <v>93.17</v>
      </c>
      <c r="BA210" s="35">
        <f t="shared" si="132"/>
        <v>93.17</v>
      </c>
      <c r="BB210" s="35">
        <f t="shared" si="133"/>
        <v>93.17</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2949" t="s">
        <v>3254</v>
      </c>
      <c r="D211" s="2210" t="s">
        <v>3301</v>
      </c>
      <c r="E211" s="35">
        <f t="shared" si="123"/>
        <v>0</v>
      </c>
      <c r="F211" s="36"/>
      <c r="G211" s="37">
        <f t="shared" si="124"/>
        <v>91.79</v>
      </c>
      <c r="H211" s="38">
        <f t="shared" si="125"/>
        <v>91.79</v>
      </c>
      <c r="I211" s="39">
        <v>91.79</v>
      </c>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t="str">
        <f t="shared" si="129"/>
        <v>11-1-614</v>
      </c>
      <c r="AY211" s="42">
        <f t="shared" si="130"/>
        <v>0</v>
      </c>
      <c r="AZ211" s="35">
        <f t="shared" si="131"/>
        <v>91.79</v>
      </c>
      <c r="BA211" s="35">
        <f t="shared" si="132"/>
        <v>91.79</v>
      </c>
      <c r="BB211" s="35">
        <f t="shared" si="133"/>
        <v>91.79</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2949" t="s">
        <v>3255</v>
      </c>
      <c r="D212" s="2210" t="s">
        <v>3301</v>
      </c>
      <c r="E212" s="35">
        <f t="shared" si="123"/>
        <v>0</v>
      </c>
      <c r="F212" s="36"/>
      <c r="G212" s="37">
        <f t="shared" si="124"/>
        <v>91.79</v>
      </c>
      <c r="H212" s="38">
        <f t="shared" si="125"/>
        <v>91.79</v>
      </c>
      <c r="I212" s="39">
        <v>91.79</v>
      </c>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t="str">
        <f t="shared" si="129"/>
        <v>11-1-705</v>
      </c>
      <c r="AY212" s="42">
        <f t="shared" si="130"/>
        <v>0</v>
      </c>
      <c r="AZ212" s="35">
        <f t="shared" si="131"/>
        <v>91.79</v>
      </c>
      <c r="BA212" s="35">
        <f t="shared" si="132"/>
        <v>91.79</v>
      </c>
      <c r="BB212" s="35">
        <f t="shared" si="133"/>
        <v>91.79</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2949" t="s">
        <v>3256</v>
      </c>
      <c r="D213" s="2210" t="s">
        <v>3301</v>
      </c>
      <c r="E213" s="35">
        <f t="shared" si="123"/>
        <v>0</v>
      </c>
      <c r="F213" s="36"/>
      <c r="G213" s="37">
        <f t="shared" si="124"/>
        <v>91.79</v>
      </c>
      <c r="H213" s="38">
        <f t="shared" si="125"/>
        <v>91.79</v>
      </c>
      <c r="I213" s="39">
        <v>91.79</v>
      </c>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t="str">
        <f t="shared" si="129"/>
        <v>11-1-714</v>
      </c>
      <c r="AY213" s="42">
        <f t="shared" si="130"/>
        <v>0</v>
      </c>
      <c r="AZ213" s="35">
        <f t="shared" si="131"/>
        <v>91.79</v>
      </c>
      <c r="BA213" s="35">
        <f t="shared" si="132"/>
        <v>91.79</v>
      </c>
      <c r="BB213" s="35">
        <f t="shared" si="133"/>
        <v>91.79</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2949" t="s">
        <v>3257</v>
      </c>
      <c r="D214" s="2210" t="s">
        <v>3301</v>
      </c>
      <c r="E214" s="35">
        <f t="shared" si="123"/>
        <v>0</v>
      </c>
      <c r="F214" s="36"/>
      <c r="G214" s="37">
        <f t="shared" si="124"/>
        <v>91.79</v>
      </c>
      <c r="H214" s="38">
        <f t="shared" si="125"/>
        <v>91.79</v>
      </c>
      <c r="I214" s="39">
        <v>91.79</v>
      </c>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t="str">
        <f t="shared" si="129"/>
        <v>11-1-814</v>
      </c>
      <c r="AY214" s="42">
        <f t="shared" si="130"/>
        <v>0</v>
      </c>
      <c r="AZ214" s="35">
        <f t="shared" si="131"/>
        <v>91.79</v>
      </c>
      <c r="BA214" s="35">
        <f t="shared" si="132"/>
        <v>91.79</v>
      </c>
      <c r="BB214" s="35">
        <f t="shared" si="133"/>
        <v>91.79</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2949" t="s">
        <v>3258</v>
      </c>
      <c r="D215" s="2210" t="s">
        <v>3301</v>
      </c>
      <c r="E215" s="35">
        <f t="shared" si="123"/>
        <v>0</v>
      </c>
      <c r="F215" s="36"/>
      <c r="G215" s="37">
        <f t="shared" si="124"/>
        <v>91.79</v>
      </c>
      <c r="H215" s="38">
        <f t="shared" si="125"/>
        <v>91.79</v>
      </c>
      <c r="I215" s="39">
        <v>91.79</v>
      </c>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t="str">
        <f t="shared" si="129"/>
        <v>11-1-902</v>
      </c>
      <c r="AY215" s="42">
        <f t="shared" si="130"/>
        <v>0</v>
      </c>
      <c r="AZ215" s="35">
        <f t="shared" si="131"/>
        <v>91.79</v>
      </c>
      <c r="BA215" s="35">
        <f t="shared" si="132"/>
        <v>91.79</v>
      </c>
      <c r="BB215" s="35">
        <f t="shared" si="133"/>
        <v>91.79</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2949" t="s">
        <v>3259</v>
      </c>
      <c r="D216" s="2210" t="s">
        <v>3301</v>
      </c>
      <c r="E216" s="35">
        <f t="shared" si="123"/>
        <v>0</v>
      </c>
      <c r="F216" s="36"/>
      <c r="G216" s="37">
        <f t="shared" si="124"/>
        <v>91.11</v>
      </c>
      <c r="H216" s="38">
        <f t="shared" si="125"/>
        <v>91.11</v>
      </c>
      <c r="I216" s="39">
        <v>91.11</v>
      </c>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t="str">
        <f t="shared" si="129"/>
        <v>11-1-909</v>
      </c>
      <c r="AY216" s="42">
        <f t="shared" si="130"/>
        <v>0</v>
      </c>
      <c r="AZ216" s="35">
        <f t="shared" si="131"/>
        <v>91.11</v>
      </c>
      <c r="BA216" s="35">
        <f t="shared" si="132"/>
        <v>91.11</v>
      </c>
      <c r="BB216" s="35">
        <f t="shared" si="133"/>
        <v>91.11</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2949" t="s">
        <v>3260</v>
      </c>
      <c r="D217" s="2210" t="s">
        <v>3301</v>
      </c>
      <c r="E217" s="35">
        <f t="shared" si="123"/>
        <v>0</v>
      </c>
      <c r="F217" s="36"/>
      <c r="G217" s="37">
        <f t="shared" si="124"/>
        <v>91.79</v>
      </c>
      <c r="H217" s="38">
        <f t="shared" si="125"/>
        <v>91.79</v>
      </c>
      <c r="I217" s="39">
        <v>91.79</v>
      </c>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t="str">
        <f t="shared" si="129"/>
        <v>11-1-910</v>
      </c>
      <c r="AY217" s="42">
        <f t="shared" si="130"/>
        <v>0</v>
      </c>
      <c r="AZ217" s="35">
        <f t="shared" si="131"/>
        <v>91.79</v>
      </c>
      <c r="BA217" s="35">
        <f t="shared" si="132"/>
        <v>91.79</v>
      </c>
      <c r="BB217" s="35">
        <f t="shared" si="133"/>
        <v>91.79</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2949" t="s">
        <v>3261</v>
      </c>
      <c r="D218" s="2210" t="s">
        <v>3301</v>
      </c>
      <c r="E218" s="35">
        <f t="shared" si="123"/>
        <v>0</v>
      </c>
      <c r="F218" s="36"/>
      <c r="G218" s="37">
        <f t="shared" si="124"/>
        <v>65.22</v>
      </c>
      <c r="H218" s="38">
        <f t="shared" si="125"/>
        <v>65.22</v>
      </c>
      <c r="I218" s="39">
        <v>65.22</v>
      </c>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t="str">
        <f t="shared" si="129"/>
        <v>11-1-911</v>
      </c>
      <c r="AY218" s="42">
        <f t="shared" si="130"/>
        <v>0</v>
      </c>
      <c r="AZ218" s="35">
        <f t="shared" si="131"/>
        <v>65.22</v>
      </c>
      <c r="BA218" s="35">
        <f t="shared" si="132"/>
        <v>65.22</v>
      </c>
      <c r="BB218" s="35">
        <f t="shared" si="133"/>
        <v>65.22</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2949" t="s">
        <v>3262</v>
      </c>
      <c r="D219" s="2210" t="s">
        <v>3301</v>
      </c>
      <c r="E219" s="35">
        <f t="shared" si="123"/>
        <v>0</v>
      </c>
      <c r="F219" s="36"/>
      <c r="G219" s="37">
        <f t="shared" si="124"/>
        <v>91.79</v>
      </c>
      <c r="H219" s="38">
        <f t="shared" si="125"/>
        <v>91.79</v>
      </c>
      <c r="I219" s="39">
        <v>91.79</v>
      </c>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t="str">
        <f t="shared" si="129"/>
        <v>11-1-914</v>
      </c>
      <c r="AY219" s="42">
        <f t="shared" si="130"/>
        <v>0</v>
      </c>
      <c r="AZ219" s="35">
        <f t="shared" si="131"/>
        <v>91.79</v>
      </c>
      <c r="BA219" s="35">
        <f t="shared" si="132"/>
        <v>91.79</v>
      </c>
      <c r="BB219" s="35">
        <f t="shared" si="133"/>
        <v>91.79</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2949" t="s">
        <v>3263</v>
      </c>
      <c r="D220" s="2210" t="s">
        <v>3301</v>
      </c>
      <c r="E220" s="35">
        <f t="shared" si="123"/>
        <v>0</v>
      </c>
      <c r="F220" s="36"/>
      <c r="G220" s="37">
        <f t="shared" si="124"/>
        <v>91.79</v>
      </c>
      <c r="H220" s="38">
        <f t="shared" si="125"/>
        <v>91.79</v>
      </c>
      <c r="I220" s="39">
        <v>91.79</v>
      </c>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t="str">
        <f t="shared" si="129"/>
        <v>11-1-1103</v>
      </c>
      <c r="AY220" s="42">
        <f t="shared" si="130"/>
        <v>0</v>
      </c>
      <c r="AZ220" s="35">
        <f t="shared" si="131"/>
        <v>91.79</v>
      </c>
      <c r="BA220" s="35">
        <f t="shared" si="132"/>
        <v>91.79</v>
      </c>
      <c r="BB220" s="35">
        <f t="shared" si="133"/>
        <v>91.79</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2949" t="s">
        <v>3264</v>
      </c>
      <c r="D221" s="2210" t="s">
        <v>3301</v>
      </c>
      <c r="E221" s="35">
        <f t="shared" si="123"/>
        <v>0</v>
      </c>
      <c r="F221" s="36"/>
      <c r="G221" s="37">
        <f t="shared" si="124"/>
        <v>93.17</v>
      </c>
      <c r="H221" s="38">
        <f t="shared" si="125"/>
        <v>93.17</v>
      </c>
      <c r="I221" s="39">
        <v>93.17</v>
      </c>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t="str">
        <f t="shared" si="129"/>
        <v>11-1-1108</v>
      </c>
      <c r="AY221" s="42">
        <f t="shared" si="130"/>
        <v>0</v>
      </c>
      <c r="AZ221" s="35">
        <f t="shared" si="131"/>
        <v>93.17</v>
      </c>
      <c r="BA221" s="35">
        <f t="shared" si="132"/>
        <v>93.17</v>
      </c>
      <c r="BB221" s="35">
        <f t="shared" si="133"/>
        <v>93.17</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2949" t="s">
        <v>3265</v>
      </c>
      <c r="D222" s="2210" t="s">
        <v>3301</v>
      </c>
      <c r="E222" s="35">
        <f t="shared" si="123"/>
        <v>0</v>
      </c>
      <c r="F222" s="36"/>
      <c r="G222" s="37">
        <f t="shared" si="124"/>
        <v>90.6</v>
      </c>
      <c r="H222" s="38">
        <f t="shared" si="125"/>
        <v>90.6</v>
      </c>
      <c r="I222" s="39">
        <v>90.6</v>
      </c>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t="str">
        <f t="shared" si="129"/>
        <v>9-1-208</v>
      </c>
      <c r="AY222" s="42">
        <f t="shared" si="130"/>
        <v>0</v>
      </c>
      <c r="AZ222" s="35">
        <f t="shared" si="131"/>
        <v>90.6</v>
      </c>
      <c r="BA222" s="35">
        <f t="shared" si="132"/>
        <v>90.6</v>
      </c>
      <c r="BB222" s="35">
        <f t="shared" si="133"/>
        <v>90.6</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2949" t="s">
        <v>3266</v>
      </c>
      <c r="D223" s="2210" t="s">
        <v>3301</v>
      </c>
      <c r="E223" s="35">
        <f t="shared" si="123"/>
        <v>0</v>
      </c>
      <c r="F223" s="36"/>
      <c r="G223" s="37">
        <f t="shared" si="124"/>
        <v>89.68</v>
      </c>
      <c r="H223" s="38">
        <f t="shared" si="125"/>
        <v>89.68</v>
      </c>
      <c r="I223" s="39">
        <v>89.68</v>
      </c>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t="str">
        <f t="shared" si="129"/>
        <v>9-1-209</v>
      </c>
      <c r="AY223" s="42">
        <f t="shared" si="130"/>
        <v>0</v>
      </c>
      <c r="AZ223" s="35">
        <f t="shared" si="131"/>
        <v>89.68</v>
      </c>
      <c r="BA223" s="35">
        <f t="shared" si="132"/>
        <v>89.68</v>
      </c>
      <c r="BB223" s="35">
        <f t="shared" si="133"/>
        <v>89.68</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2949" t="s">
        <v>3267</v>
      </c>
      <c r="D224" s="2210" t="s">
        <v>3301</v>
      </c>
      <c r="E224" s="35">
        <f t="shared" si="123"/>
        <v>0</v>
      </c>
      <c r="F224" s="36"/>
      <c r="G224" s="37">
        <f t="shared" si="124"/>
        <v>89.68</v>
      </c>
      <c r="H224" s="38">
        <f t="shared" si="125"/>
        <v>89.68</v>
      </c>
      <c r="I224" s="39">
        <v>89.68</v>
      </c>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t="str">
        <f t="shared" si="129"/>
        <v>9-1-212</v>
      </c>
      <c r="AY224" s="42">
        <f t="shared" si="130"/>
        <v>0</v>
      </c>
      <c r="AZ224" s="35">
        <f t="shared" si="131"/>
        <v>89.68</v>
      </c>
      <c r="BA224" s="35">
        <f t="shared" si="132"/>
        <v>89.68</v>
      </c>
      <c r="BB224" s="35">
        <f t="shared" si="133"/>
        <v>89.68</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2949" t="s">
        <v>3268</v>
      </c>
      <c r="D225" s="2210" t="s">
        <v>3301</v>
      </c>
      <c r="E225" s="35">
        <f t="shared" si="123"/>
        <v>0</v>
      </c>
      <c r="F225" s="36"/>
      <c r="G225" s="37">
        <f t="shared" si="124"/>
        <v>89.68</v>
      </c>
      <c r="H225" s="38">
        <f t="shared" si="125"/>
        <v>89.68</v>
      </c>
      <c r="I225" s="39">
        <v>89.68</v>
      </c>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t="str">
        <f t="shared" si="129"/>
        <v>9-1-214</v>
      </c>
      <c r="AY225" s="42">
        <f t="shared" si="130"/>
        <v>0</v>
      </c>
      <c r="AZ225" s="35">
        <f t="shared" si="131"/>
        <v>89.68</v>
      </c>
      <c r="BA225" s="35">
        <f t="shared" si="132"/>
        <v>89.68</v>
      </c>
      <c r="BB225" s="35">
        <f t="shared" si="133"/>
        <v>89.68</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2949" t="s">
        <v>3269</v>
      </c>
      <c r="D226" s="2210" t="s">
        <v>3301</v>
      </c>
      <c r="E226" s="35">
        <f t="shared" si="123"/>
        <v>0</v>
      </c>
      <c r="F226" s="36"/>
      <c r="G226" s="37">
        <f t="shared" si="124"/>
        <v>91.28</v>
      </c>
      <c r="H226" s="38">
        <f t="shared" si="125"/>
        <v>91.28</v>
      </c>
      <c r="I226" s="39">
        <v>91.28</v>
      </c>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t="str">
        <f t="shared" si="129"/>
        <v>9-1-215</v>
      </c>
      <c r="AY226" s="42">
        <f t="shared" si="130"/>
        <v>0</v>
      </c>
      <c r="AZ226" s="35">
        <f t="shared" si="131"/>
        <v>91.28</v>
      </c>
      <c r="BA226" s="35">
        <f t="shared" si="132"/>
        <v>91.28</v>
      </c>
      <c r="BB226" s="35">
        <f t="shared" si="133"/>
        <v>91.28</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2949" t="s">
        <v>3270</v>
      </c>
      <c r="D227" s="2210" t="s">
        <v>3301</v>
      </c>
      <c r="E227" s="35">
        <f t="shared" si="123"/>
        <v>0</v>
      </c>
      <c r="F227" s="36"/>
      <c r="G227" s="37">
        <f t="shared" si="124"/>
        <v>89.68</v>
      </c>
      <c r="H227" s="38">
        <f t="shared" si="125"/>
        <v>89.68</v>
      </c>
      <c r="I227" s="39">
        <v>89.68</v>
      </c>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t="str">
        <f t="shared" si="129"/>
        <v>9-1-1014</v>
      </c>
      <c r="AY227" s="42">
        <f t="shared" si="130"/>
        <v>0</v>
      </c>
      <c r="AZ227" s="35">
        <f t="shared" si="131"/>
        <v>89.68</v>
      </c>
      <c r="BA227" s="35">
        <f t="shared" si="132"/>
        <v>89.68</v>
      </c>
      <c r="BB227" s="35">
        <f t="shared" si="133"/>
        <v>89.68</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2949" t="s">
        <v>3271</v>
      </c>
      <c r="D228" s="2210" t="s">
        <v>3301</v>
      </c>
      <c r="E228" s="35">
        <f t="shared" si="123"/>
        <v>0</v>
      </c>
      <c r="F228" s="36"/>
      <c r="G228" s="37">
        <f t="shared" si="124"/>
        <v>89.68</v>
      </c>
      <c r="H228" s="38">
        <f t="shared" si="125"/>
        <v>89.68</v>
      </c>
      <c r="I228" s="39">
        <v>89.68</v>
      </c>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t="str">
        <f t="shared" si="129"/>
        <v>9-1-1113</v>
      </c>
      <c r="AY228" s="42">
        <f t="shared" si="130"/>
        <v>0</v>
      </c>
      <c r="AZ228" s="35">
        <f t="shared" si="131"/>
        <v>89.68</v>
      </c>
      <c r="BA228" s="35">
        <f t="shared" si="132"/>
        <v>89.68</v>
      </c>
      <c r="BB228" s="35">
        <f t="shared" si="133"/>
        <v>89.68</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2949" t="s">
        <v>3272</v>
      </c>
      <c r="D229" s="2210" t="s">
        <v>3301</v>
      </c>
      <c r="E229" s="35">
        <f t="shared" si="123"/>
        <v>0</v>
      </c>
      <c r="F229" s="36"/>
      <c r="G229" s="37">
        <f t="shared" si="124"/>
        <v>89.68</v>
      </c>
      <c r="H229" s="38">
        <f t="shared" si="125"/>
        <v>89.68</v>
      </c>
      <c r="I229" s="39">
        <v>89.68</v>
      </c>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t="str">
        <f t="shared" si="129"/>
        <v>9-1-1210</v>
      </c>
      <c r="AY229" s="42">
        <f t="shared" si="130"/>
        <v>0</v>
      </c>
      <c r="AZ229" s="35">
        <f t="shared" si="131"/>
        <v>89.68</v>
      </c>
      <c r="BA229" s="35">
        <f t="shared" si="132"/>
        <v>89.68</v>
      </c>
      <c r="BB229" s="35">
        <f t="shared" si="133"/>
        <v>89.68</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2949" t="s">
        <v>3273</v>
      </c>
      <c r="D230" s="2210" t="s">
        <v>3301</v>
      </c>
      <c r="E230" s="35">
        <f t="shared" si="123"/>
        <v>0</v>
      </c>
      <c r="F230" s="36"/>
      <c r="G230" s="37">
        <f t="shared" si="124"/>
        <v>89.68</v>
      </c>
      <c r="H230" s="38">
        <f t="shared" si="125"/>
        <v>89.68</v>
      </c>
      <c r="I230" s="39">
        <v>89.68</v>
      </c>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t="str">
        <f t="shared" si="129"/>
        <v>9-1-1211</v>
      </c>
      <c r="AY230" s="42">
        <f t="shared" si="130"/>
        <v>0</v>
      </c>
      <c r="AZ230" s="35">
        <f t="shared" si="131"/>
        <v>89.68</v>
      </c>
      <c r="BA230" s="35">
        <f t="shared" si="132"/>
        <v>89.68</v>
      </c>
      <c r="BB230" s="35">
        <f t="shared" si="133"/>
        <v>89.68</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2949" t="s">
        <v>3274</v>
      </c>
      <c r="D231" s="2210" t="s">
        <v>3301</v>
      </c>
      <c r="E231" s="35">
        <f t="shared" si="123"/>
        <v>0</v>
      </c>
      <c r="F231" s="36"/>
      <c r="G231" s="37">
        <f t="shared" si="124"/>
        <v>91.28</v>
      </c>
      <c r="H231" s="38">
        <f t="shared" si="125"/>
        <v>91.28</v>
      </c>
      <c r="I231" s="39">
        <v>91.28</v>
      </c>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t="str">
        <f t="shared" si="129"/>
        <v>9-2-208</v>
      </c>
      <c r="AY231" s="42">
        <f t="shared" si="130"/>
        <v>0</v>
      </c>
      <c r="AZ231" s="35">
        <f t="shared" si="131"/>
        <v>91.28</v>
      </c>
      <c r="BA231" s="35">
        <f t="shared" si="132"/>
        <v>91.28</v>
      </c>
      <c r="BB231" s="35">
        <f t="shared" si="133"/>
        <v>91.28</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2949" t="s">
        <v>3275</v>
      </c>
      <c r="D232" s="2210" t="s">
        <v>3301</v>
      </c>
      <c r="E232" s="35">
        <f t="shared" si="123"/>
        <v>0</v>
      </c>
      <c r="F232" s="36"/>
      <c r="G232" s="37">
        <f t="shared" si="124"/>
        <v>89.68</v>
      </c>
      <c r="H232" s="38">
        <f t="shared" si="125"/>
        <v>89.68</v>
      </c>
      <c r="I232" s="39">
        <v>89.68</v>
      </c>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t="str">
        <f t="shared" si="129"/>
        <v>9-2-209</v>
      </c>
      <c r="AY232" s="42">
        <f t="shared" si="130"/>
        <v>0</v>
      </c>
      <c r="AZ232" s="35">
        <f t="shared" si="131"/>
        <v>89.68</v>
      </c>
      <c r="BA232" s="35">
        <f t="shared" si="132"/>
        <v>89.68</v>
      </c>
      <c r="BB232" s="35">
        <f t="shared" si="133"/>
        <v>89.68</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2949" t="s">
        <v>3276</v>
      </c>
      <c r="D233" s="2210" t="s">
        <v>3301</v>
      </c>
      <c r="E233" s="35">
        <f t="shared" si="123"/>
        <v>0</v>
      </c>
      <c r="F233" s="36"/>
      <c r="G233" s="37">
        <f t="shared" si="124"/>
        <v>89.68</v>
      </c>
      <c r="H233" s="38">
        <f t="shared" si="125"/>
        <v>89.68</v>
      </c>
      <c r="I233" s="39">
        <v>89.68</v>
      </c>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t="str">
        <f t="shared" si="129"/>
        <v>9-2-210</v>
      </c>
      <c r="AY233" s="42">
        <f t="shared" si="130"/>
        <v>0</v>
      </c>
      <c r="AZ233" s="35">
        <f t="shared" si="131"/>
        <v>89.68</v>
      </c>
      <c r="BA233" s="35">
        <f t="shared" si="132"/>
        <v>89.68</v>
      </c>
      <c r="BB233" s="35">
        <f t="shared" si="133"/>
        <v>89.68</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2949" t="s">
        <v>3277</v>
      </c>
      <c r="D234" s="2210" t="s">
        <v>3301</v>
      </c>
      <c r="E234" s="35">
        <f t="shared" si="123"/>
        <v>0</v>
      </c>
      <c r="F234" s="36"/>
      <c r="G234" s="37">
        <f t="shared" si="124"/>
        <v>89.68</v>
      </c>
      <c r="H234" s="38">
        <f t="shared" si="125"/>
        <v>89.68</v>
      </c>
      <c r="I234" s="39">
        <v>89.68</v>
      </c>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t="str">
        <f t="shared" si="129"/>
        <v>9-2-212</v>
      </c>
      <c r="AY234" s="42">
        <f t="shared" si="130"/>
        <v>0</v>
      </c>
      <c r="AZ234" s="35">
        <f t="shared" si="131"/>
        <v>89.68</v>
      </c>
      <c r="BA234" s="35">
        <f t="shared" si="132"/>
        <v>89.68</v>
      </c>
      <c r="BB234" s="35">
        <f t="shared" si="133"/>
        <v>89.68</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2949" t="s">
        <v>3278</v>
      </c>
      <c r="D235" s="2210" t="s">
        <v>3301</v>
      </c>
      <c r="E235" s="35">
        <f t="shared" si="123"/>
        <v>0</v>
      </c>
      <c r="F235" s="36"/>
      <c r="G235" s="37">
        <f t="shared" si="124"/>
        <v>89.68</v>
      </c>
      <c r="H235" s="38">
        <f t="shared" si="125"/>
        <v>89.68</v>
      </c>
      <c r="I235" s="39">
        <v>89.68</v>
      </c>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t="str">
        <f t="shared" si="129"/>
        <v>9-2-213</v>
      </c>
      <c r="AY235" s="42">
        <f t="shared" si="130"/>
        <v>0</v>
      </c>
      <c r="AZ235" s="35">
        <f t="shared" si="131"/>
        <v>89.68</v>
      </c>
      <c r="BA235" s="35">
        <f t="shared" si="132"/>
        <v>89.68</v>
      </c>
      <c r="BB235" s="35">
        <f t="shared" si="133"/>
        <v>89.68</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2949" t="s">
        <v>3279</v>
      </c>
      <c r="D236" s="2210" t="s">
        <v>3301</v>
      </c>
      <c r="E236" s="35">
        <f t="shared" si="123"/>
        <v>0</v>
      </c>
      <c r="F236" s="36"/>
      <c r="G236" s="37">
        <f t="shared" si="124"/>
        <v>89.68</v>
      </c>
      <c r="H236" s="38">
        <f t="shared" si="125"/>
        <v>89.68</v>
      </c>
      <c r="I236" s="39">
        <v>89.68</v>
      </c>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t="str">
        <f t="shared" si="129"/>
        <v>9-2-214</v>
      </c>
      <c r="AY236" s="42">
        <f t="shared" si="130"/>
        <v>0</v>
      </c>
      <c r="AZ236" s="35">
        <f t="shared" si="131"/>
        <v>89.68</v>
      </c>
      <c r="BA236" s="35">
        <f t="shared" si="132"/>
        <v>89.68</v>
      </c>
      <c r="BB236" s="35">
        <f t="shared" si="133"/>
        <v>89.68</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2949" t="s">
        <v>3280</v>
      </c>
      <c r="D237" s="2210" t="s">
        <v>3301</v>
      </c>
      <c r="E237" s="35">
        <f t="shared" si="123"/>
        <v>0</v>
      </c>
      <c r="F237" s="36"/>
      <c r="G237" s="37">
        <f t="shared" si="124"/>
        <v>90.6</v>
      </c>
      <c r="H237" s="38">
        <f t="shared" si="125"/>
        <v>90.6</v>
      </c>
      <c r="I237" s="39">
        <v>90.6</v>
      </c>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t="str">
        <f t="shared" si="129"/>
        <v>9-2-215</v>
      </c>
      <c r="AY237" s="42">
        <f t="shared" si="130"/>
        <v>0</v>
      </c>
      <c r="AZ237" s="35">
        <f t="shared" si="131"/>
        <v>90.6</v>
      </c>
      <c r="BA237" s="35">
        <f t="shared" si="132"/>
        <v>90.6</v>
      </c>
      <c r="BB237" s="35">
        <f t="shared" si="133"/>
        <v>90.6</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2949" t="s">
        <v>3281</v>
      </c>
      <c r="D238" s="2210" t="s">
        <v>3301</v>
      </c>
      <c r="E238" s="35">
        <f t="shared" si="123"/>
        <v>0</v>
      </c>
      <c r="F238" s="36"/>
      <c r="G238" s="37">
        <f t="shared" si="124"/>
        <v>89.68</v>
      </c>
      <c r="H238" s="38">
        <f t="shared" si="125"/>
        <v>89.68</v>
      </c>
      <c r="I238" s="39">
        <v>89.68</v>
      </c>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t="str">
        <f t="shared" si="129"/>
        <v>9-2-610</v>
      </c>
      <c r="AY238" s="42">
        <f t="shared" si="130"/>
        <v>0</v>
      </c>
      <c r="AZ238" s="35">
        <f t="shared" si="131"/>
        <v>89.68</v>
      </c>
      <c r="BA238" s="35">
        <f t="shared" si="132"/>
        <v>89.68</v>
      </c>
      <c r="BB238" s="35">
        <f t="shared" si="133"/>
        <v>89.68</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2949" t="s">
        <v>3282</v>
      </c>
      <c r="D239" s="2210" t="s">
        <v>3301</v>
      </c>
      <c r="E239" s="35">
        <f t="shared" si="123"/>
        <v>0</v>
      </c>
      <c r="F239" s="36"/>
      <c r="G239" s="37">
        <f t="shared" si="124"/>
        <v>89.68</v>
      </c>
      <c r="H239" s="38">
        <f t="shared" si="125"/>
        <v>89.68</v>
      </c>
      <c r="I239" s="39">
        <v>89.68</v>
      </c>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t="str">
        <f t="shared" si="129"/>
        <v>9-2-714</v>
      </c>
      <c r="AY239" s="42">
        <f t="shared" si="130"/>
        <v>0</v>
      </c>
      <c r="AZ239" s="35">
        <f t="shared" si="131"/>
        <v>89.68</v>
      </c>
      <c r="BA239" s="35">
        <f t="shared" si="132"/>
        <v>89.68</v>
      </c>
      <c r="BB239" s="35">
        <f t="shared" si="133"/>
        <v>89.68</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2949" t="s">
        <v>3283</v>
      </c>
      <c r="D240" s="2210" t="s">
        <v>3301</v>
      </c>
      <c r="E240" s="35">
        <f t="shared" si="123"/>
        <v>0</v>
      </c>
      <c r="F240" s="36"/>
      <c r="G240" s="37">
        <f t="shared" si="124"/>
        <v>91.1</v>
      </c>
      <c r="H240" s="38">
        <f t="shared" si="125"/>
        <v>91.1</v>
      </c>
      <c r="I240" s="39">
        <v>91.1</v>
      </c>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t="str">
        <f t="shared" si="129"/>
        <v>5-1-207</v>
      </c>
      <c r="AY240" s="42">
        <f t="shared" si="130"/>
        <v>0</v>
      </c>
      <c r="AZ240" s="35">
        <f t="shared" si="131"/>
        <v>91.1</v>
      </c>
      <c r="BA240" s="35">
        <f t="shared" si="132"/>
        <v>91.1</v>
      </c>
      <c r="BB240" s="35">
        <f t="shared" si="133"/>
        <v>91.1</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2949" t="s">
        <v>3284</v>
      </c>
      <c r="D241" s="2210" t="s">
        <v>3301</v>
      </c>
      <c r="E241" s="35">
        <f t="shared" si="123"/>
        <v>0</v>
      </c>
      <c r="F241" s="36"/>
      <c r="G241" s="37">
        <f t="shared" si="124"/>
        <v>93.17</v>
      </c>
      <c r="H241" s="38">
        <f t="shared" si="125"/>
        <v>93.17</v>
      </c>
      <c r="I241" s="39">
        <v>93.17</v>
      </c>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t="str">
        <f t="shared" si="129"/>
        <v>5-1-208</v>
      </c>
      <c r="AY241" s="42">
        <f t="shared" si="130"/>
        <v>0</v>
      </c>
      <c r="AZ241" s="35">
        <f t="shared" si="131"/>
        <v>93.17</v>
      </c>
      <c r="BA241" s="35">
        <f t="shared" si="132"/>
        <v>93.17</v>
      </c>
      <c r="BB241" s="35">
        <f t="shared" si="133"/>
        <v>93.17</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2949" t="s">
        <v>3285</v>
      </c>
      <c r="D242" s="2210" t="s">
        <v>3301</v>
      </c>
      <c r="E242" s="35">
        <f t="shared" si="123"/>
        <v>0</v>
      </c>
      <c r="F242" s="36"/>
      <c r="G242" s="37">
        <f t="shared" si="124"/>
        <v>91.79</v>
      </c>
      <c r="H242" s="38">
        <f t="shared" si="125"/>
        <v>91.79</v>
      </c>
      <c r="I242" s="39">
        <v>91.79</v>
      </c>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t="str">
        <f t="shared" si="129"/>
        <v>5-1-210</v>
      </c>
      <c r="AY242" s="42">
        <f t="shared" si="130"/>
        <v>0</v>
      </c>
      <c r="AZ242" s="35">
        <f t="shared" si="131"/>
        <v>91.79</v>
      </c>
      <c r="BA242" s="35">
        <f t="shared" si="132"/>
        <v>91.79</v>
      </c>
      <c r="BB242" s="35">
        <f t="shared" si="133"/>
        <v>91.79</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2949" t="s">
        <v>3286</v>
      </c>
      <c r="D243" s="2210" t="s">
        <v>3301</v>
      </c>
      <c r="E243" s="35">
        <f t="shared" si="123"/>
        <v>0</v>
      </c>
      <c r="F243" s="36"/>
      <c r="G243" s="37">
        <f t="shared" si="124"/>
        <v>91.79</v>
      </c>
      <c r="H243" s="38">
        <f t="shared" si="125"/>
        <v>91.79</v>
      </c>
      <c r="I243" s="39">
        <v>91.79</v>
      </c>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t="str">
        <f t="shared" si="129"/>
        <v>5-1-211</v>
      </c>
      <c r="AY243" s="42">
        <f t="shared" si="130"/>
        <v>0</v>
      </c>
      <c r="AZ243" s="35">
        <f t="shared" si="131"/>
        <v>91.79</v>
      </c>
      <c r="BA243" s="35">
        <f t="shared" si="132"/>
        <v>91.79</v>
      </c>
      <c r="BB243" s="35">
        <f t="shared" si="133"/>
        <v>91.79</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2949" t="s">
        <v>3287</v>
      </c>
      <c r="D244" s="2210" t="s">
        <v>3301</v>
      </c>
      <c r="E244" s="35">
        <f t="shared" si="123"/>
        <v>0</v>
      </c>
      <c r="F244" s="36"/>
      <c r="G244" s="37">
        <f t="shared" si="124"/>
        <v>91.79</v>
      </c>
      <c r="H244" s="38">
        <f t="shared" si="125"/>
        <v>91.79</v>
      </c>
      <c r="I244" s="39">
        <v>91.79</v>
      </c>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t="str">
        <f t="shared" si="129"/>
        <v>5-1-212</v>
      </c>
      <c r="AY244" s="42">
        <f t="shared" si="130"/>
        <v>0</v>
      </c>
      <c r="AZ244" s="35">
        <f t="shared" si="131"/>
        <v>91.79</v>
      </c>
      <c r="BA244" s="35">
        <f t="shared" si="132"/>
        <v>91.79</v>
      </c>
      <c r="BB244" s="35">
        <f t="shared" si="133"/>
        <v>91.79</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2949" t="s">
        <v>3288</v>
      </c>
      <c r="D245" s="2210" t="s">
        <v>3301</v>
      </c>
      <c r="E245" s="35">
        <f t="shared" si="123"/>
        <v>0</v>
      </c>
      <c r="F245" s="36"/>
      <c r="G245" s="37">
        <f t="shared" si="124"/>
        <v>91.79</v>
      </c>
      <c r="H245" s="38">
        <f t="shared" si="125"/>
        <v>91.79</v>
      </c>
      <c r="I245" s="39">
        <v>91.79</v>
      </c>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t="str">
        <f t="shared" si="129"/>
        <v>5-1-213</v>
      </c>
      <c r="AY245" s="42">
        <f t="shared" si="130"/>
        <v>0</v>
      </c>
      <c r="AZ245" s="35">
        <f t="shared" si="131"/>
        <v>91.79</v>
      </c>
      <c r="BA245" s="35">
        <f t="shared" si="132"/>
        <v>91.79</v>
      </c>
      <c r="BB245" s="35">
        <f t="shared" si="133"/>
        <v>91.79</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2949" t="s">
        <v>3289</v>
      </c>
      <c r="D246" s="2210" t="s">
        <v>3301</v>
      </c>
      <c r="E246" s="35">
        <f t="shared" si="123"/>
        <v>0</v>
      </c>
      <c r="F246" s="36"/>
      <c r="G246" s="37">
        <f t="shared" si="124"/>
        <v>93.17</v>
      </c>
      <c r="H246" s="38">
        <f t="shared" si="125"/>
        <v>93.17</v>
      </c>
      <c r="I246" s="39">
        <v>93.17</v>
      </c>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t="str">
        <f t="shared" si="129"/>
        <v>5-1-215</v>
      </c>
      <c r="AY246" s="42">
        <f t="shared" si="130"/>
        <v>0</v>
      </c>
      <c r="AZ246" s="35">
        <f t="shared" si="131"/>
        <v>93.17</v>
      </c>
      <c r="BA246" s="35">
        <f t="shared" si="132"/>
        <v>93.17</v>
      </c>
      <c r="BB246" s="35">
        <f t="shared" si="133"/>
        <v>93.17</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2949" t="s">
        <v>3290</v>
      </c>
      <c r="D247" s="2210" t="s">
        <v>3301</v>
      </c>
      <c r="E247" s="35">
        <f t="shared" si="123"/>
        <v>0</v>
      </c>
      <c r="F247" s="36"/>
      <c r="G247" s="37">
        <f t="shared" si="124"/>
        <v>91.1</v>
      </c>
      <c r="H247" s="38">
        <f t="shared" si="125"/>
        <v>91.1</v>
      </c>
      <c r="I247" s="39">
        <v>91.1</v>
      </c>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t="str">
        <f t="shared" si="129"/>
        <v>5-1-501</v>
      </c>
      <c r="AY247" s="42">
        <f t="shared" si="130"/>
        <v>0</v>
      </c>
      <c r="AZ247" s="35">
        <f t="shared" si="131"/>
        <v>91.1</v>
      </c>
      <c r="BA247" s="35">
        <f t="shared" si="132"/>
        <v>91.1</v>
      </c>
      <c r="BB247" s="35">
        <f t="shared" si="133"/>
        <v>91.1</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2949" t="s">
        <v>3291</v>
      </c>
      <c r="D248" s="2210" t="s">
        <v>3301</v>
      </c>
      <c r="E248" s="35">
        <f t="shared" si="123"/>
        <v>0</v>
      </c>
      <c r="F248" s="36"/>
      <c r="G248" s="37">
        <f t="shared" si="124"/>
        <v>91.79</v>
      </c>
      <c r="H248" s="38">
        <f t="shared" si="125"/>
        <v>91.79</v>
      </c>
      <c r="I248" s="39">
        <v>91.79</v>
      </c>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t="str">
        <f t="shared" si="129"/>
        <v>5-1-514</v>
      </c>
      <c r="AY248" s="42">
        <f t="shared" si="130"/>
        <v>0</v>
      </c>
      <c r="AZ248" s="35">
        <f t="shared" si="131"/>
        <v>91.79</v>
      </c>
      <c r="BA248" s="35">
        <f t="shared" si="132"/>
        <v>91.79</v>
      </c>
      <c r="BB248" s="35">
        <f t="shared" si="133"/>
        <v>91.79</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2949" t="s">
        <v>3292</v>
      </c>
      <c r="D249" s="2210" t="s">
        <v>3301</v>
      </c>
      <c r="E249" s="35">
        <f t="shared" si="123"/>
        <v>0</v>
      </c>
      <c r="F249" s="36"/>
      <c r="G249" s="37">
        <f t="shared" si="124"/>
        <v>91.79</v>
      </c>
      <c r="H249" s="38">
        <f t="shared" si="125"/>
        <v>91.79</v>
      </c>
      <c r="I249" s="39">
        <v>91.79</v>
      </c>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t="str">
        <f t="shared" si="129"/>
        <v>11-1-203</v>
      </c>
      <c r="AY249" s="42">
        <f t="shared" si="130"/>
        <v>0</v>
      </c>
      <c r="AZ249" s="35">
        <f t="shared" si="131"/>
        <v>91.79</v>
      </c>
      <c r="BA249" s="35">
        <f t="shared" si="132"/>
        <v>91.79</v>
      </c>
      <c r="BB249" s="35">
        <f t="shared" si="133"/>
        <v>91.79</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2949" t="s">
        <v>3293</v>
      </c>
      <c r="D250" s="2210" t="s">
        <v>3301</v>
      </c>
      <c r="E250" s="35">
        <f t="shared" si="123"/>
        <v>0</v>
      </c>
      <c r="F250" s="36"/>
      <c r="G250" s="37">
        <f t="shared" si="124"/>
        <v>91.79</v>
      </c>
      <c r="H250" s="38">
        <f t="shared" si="125"/>
        <v>91.79</v>
      </c>
      <c r="I250" s="39">
        <v>91.79</v>
      </c>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t="str">
        <f t="shared" si="129"/>
        <v>11-1-204</v>
      </c>
      <c r="AY250" s="42">
        <f t="shared" si="130"/>
        <v>0</v>
      </c>
      <c r="AZ250" s="35">
        <f t="shared" si="131"/>
        <v>91.79</v>
      </c>
      <c r="BA250" s="35">
        <f t="shared" si="132"/>
        <v>91.79</v>
      </c>
      <c r="BB250" s="35">
        <f t="shared" si="133"/>
        <v>91.79</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2949" t="s">
        <v>3294</v>
      </c>
      <c r="D251" s="2210" t="s">
        <v>3301</v>
      </c>
      <c r="E251" s="35">
        <f t="shared" si="123"/>
        <v>0</v>
      </c>
      <c r="F251" s="36"/>
      <c r="G251" s="37">
        <f t="shared" si="124"/>
        <v>91.79</v>
      </c>
      <c r="H251" s="38">
        <f t="shared" si="125"/>
        <v>91.79</v>
      </c>
      <c r="I251" s="39">
        <v>91.79</v>
      </c>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t="str">
        <f t="shared" si="129"/>
        <v>11-1-205</v>
      </c>
      <c r="AY251" s="42">
        <f t="shared" si="130"/>
        <v>0</v>
      </c>
      <c r="AZ251" s="35">
        <f t="shared" si="131"/>
        <v>91.79</v>
      </c>
      <c r="BA251" s="35">
        <f t="shared" si="132"/>
        <v>91.79</v>
      </c>
      <c r="BB251" s="35">
        <f t="shared" si="133"/>
        <v>91.79</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2949" t="s">
        <v>3295</v>
      </c>
      <c r="D252" s="2210" t="s">
        <v>3301</v>
      </c>
      <c r="E252" s="35">
        <f t="shared" si="123"/>
        <v>0</v>
      </c>
      <c r="F252" s="36"/>
      <c r="G252" s="37">
        <f t="shared" si="124"/>
        <v>91.79</v>
      </c>
      <c r="H252" s="38">
        <f t="shared" si="125"/>
        <v>91.79</v>
      </c>
      <c r="I252" s="39">
        <v>91.79</v>
      </c>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t="str">
        <f t="shared" si="129"/>
        <v>17-1-203</v>
      </c>
      <c r="AY252" s="42">
        <f t="shared" si="130"/>
        <v>0</v>
      </c>
      <c r="AZ252" s="35">
        <f t="shared" si="131"/>
        <v>91.79</v>
      </c>
      <c r="BA252" s="35">
        <f t="shared" si="132"/>
        <v>91.79</v>
      </c>
      <c r="BB252" s="35">
        <f t="shared" si="133"/>
        <v>91.79</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2949" t="s">
        <v>3296</v>
      </c>
      <c r="D253" s="2210" t="s">
        <v>3301</v>
      </c>
      <c r="E253" s="35">
        <f t="shared" si="123"/>
        <v>0</v>
      </c>
      <c r="F253" s="36"/>
      <c r="G253" s="37">
        <f t="shared" si="124"/>
        <v>91.79</v>
      </c>
      <c r="H253" s="38">
        <f t="shared" si="125"/>
        <v>91.79</v>
      </c>
      <c r="I253" s="39">
        <v>91.79</v>
      </c>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t="str">
        <f t="shared" si="129"/>
        <v>17-1-204</v>
      </c>
      <c r="AY253" s="42">
        <f t="shared" si="130"/>
        <v>0</v>
      </c>
      <c r="AZ253" s="35">
        <f t="shared" si="131"/>
        <v>91.79</v>
      </c>
      <c r="BA253" s="35">
        <f t="shared" si="132"/>
        <v>91.79</v>
      </c>
      <c r="BB253" s="35">
        <f t="shared" si="133"/>
        <v>91.79</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2949" t="s">
        <v>3297</v>
      </c>
      <c r="D254" s="2210" t="s">
        <v>3301</v>
      </c>
      <c r="E254" s="35">
        <f t="shared" si="123"/>
        <v>0</v>
      </c>
      <c r="F254" s="36"/>
      <c r="G254" s="37">
        <f t="shared" si="124"/>
        <v>91.79</v>
      </c>
      <c r="H254" s="38">
        <f t="shared" si="125"/>
        <v>91.79</v>
      </c>
      <c r="I254" s="39">
        <v>91.79</v>
      </c>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t="str">
        <f t="shared" si="129"/>
        <v>17-1-205</v>
      </c>
      <c r="AY254" s="42">
        <f t="shared" si="130"/>
        <v>0</v>
      </c>
      <c r="AZ254" s="35">
        <f t="shared" si="131"/>
        <v>91.79</v>
      </c>
      <c r="BA254" s="35">
        <f t="shared" si="132"/>
        <v>91.79</v>
      </c>
      <c r="BB254" s="35">
        <f t="shared" si="133"/>
        <v>91.79</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2949" t="s">
        <v>3298</v>
      </c>
      <c r="D255" s="2210" t="s">
        <v>3301</v>
      </c>
      <c r="E255" s="35">
        <f t="shared" si="123"/>
        <v>0</v>
      </c>
      <c r="F255" s="36"/>
      <c r="G255" s="37">
        <f t="shared" si="124"/>
        <v>91.79</v>
      </c>
      <c r="H255" s="38">
        <f t="shared" si="125"/>
        <v>91.79</v>
      </c>
      <c r="I255" s="39">
        <v>91.79</v>
      </c>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t="str">
        <f t="shared" si="129"/>
        <v>5-1-202</v>
      </c>
      <c r="AY255" s="42">
        <f t="shared" si="130"/>
        <v>0</v>
      </c>
      <c r="AZ255" s="35">
        <f t="shared" si="131"/>
        <v>91.79</v>
      </c>
      <c r="BA255" s="35">
        <f t="shared" si="132"/>
        <v>91.79</v>
      </c>
      <c r="BB255" s="35">
        <f t="shared" si="133"/>
        <v>91.79</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2949" t="s">
        <v>3299</v>
      </c>
      <c r="D256" s="2210" t="s">
        <v>3301</v>
      </c>
      <c r="E256" s="35">
        <f t="shared" si="123"/>
        <v>0</v>
      </c>
      <c r="F256" s="36"/>
      <c r="G256" s="37">
        <f t="shared" si="124"/>
        <v>65.22</v>
      </c>
      <c r="H256" s="38">
        <f t="shared" si="125"/>
        <v>65.22</v>
      </c>
      <c r="I256" s="39">
        <v>65.22</v>
      </c>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t="str">
        <f t="shared" si="129"/>
        <v>5-1-203</v>
      </c>
      <c r="AY256" s="42">
        <f t="shared" si="130"/>
        <v>0</v>
      </c>
      <c r="AZ256" s="35">
        <f t="shared" si="131"/>
        <v>65.22</v>
      </c>
      <c r="BA256" s="35">
        <f t="shared" si="132"/>
        <v>65.22</v>
      </c>
      <c r="BB256" s="35">
        <f t="shared" si="133"/>
        <v>65.22</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2949" t="s">
        <v>3300</v>
      </c>
      <c r="D257" s="2210" t="s">
        <v>3301</v>
      </c>
      <c r="E257" s="35">
        <f t="shared" si="123"/>
        <v>0</v>
      </c>
      <c r="F257" s="36"/>
      <c r="G257" s="37">
        <f t="shared" si="124"/>
        <v>91.79</v>
      </c>
      <c r="H257" s="38">
        <f t="shared" si="125"/>
        <v>91.79</v>
      </c>
      <c r="I257" s="39">
        <v>91.79</v>
      </c>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t="str">
        <f t="shared" si="129"/>
        <v>5-1-206</v>
      </c>
      <c r="AY257" s="42">
        <f t="shared" si="130"/>
        <v>0</v>
      </c>
      <c r="AZ257" s="35">
        <f t="shared" si="131"/>
        <v>91.79</v>
      </c>
      <c r="BA257" s="35">
        <f t="shared" si="132"/>
        <v>91.79</v>
      </c>
      <c r="BB257" s="35">
        <f t="shared" si="133"/>
        <v>91.79</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2966" t="s">
        <v>3302</v>
      </c>
      <c r="D258" s="2210" t="s">
        <v>3301</v>
      </c>
      <c r="E258" s="35">
        <f t="shared" si="123"/>
        <v>0</v>
      </c>
      <c r="F258" s="36"/>
      <c r="G258" s="37">
        <f t="shared" si="124"/>
        <v>81.7</v>
      </c>
      <c r="H258" s="38">
        <f t="shared" si="125"/>
        <v>81.7</v>
      </c>
      <c r="I258" s="39"/>
      <c r="J258" s="39"/>
      <c r="K258" s="2967">
        <v>81.7</v>
      </c>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t="str">
        <f t="shared" si="129"/>
        <v>1-2-102</v>
      </c>
      <c r="AY258" s="42">
        <f t="shared" si="130"/>
        <v>0</v>
      </c>
      <c r="AZ258" s="35">
        <f t="shared" si="131"/>
        <v>81.7</v>
      </c>
      <c r="BA258" s="35">
        <f t="shared" si="132"/>
        <v>81.7</v>
      </c>
      <c r="BB258" s="35">
        <f t="shared" si="133"/>
        <v>0</v>
      </c>
      <c r="BC258" s="35">
        <f t="shared" si="134"/>
        <v>81.7</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2966" t="s">
        <v>3303</v>
      </c>
      <c r="D259" s="2210" t="s">
        <v>3301</v>
      </c>
      <c r="E259" s="35">
        <f t="shared" si="123"/>
        <v>0</v>
      </c>
      <c r="F259" s="36"/>
      <c r="G259" s="37">
        <f t="shared" si="124"/>
        <v>81.7</v>
      </c>
      <c r="H259" s="38">
        <f t="shared" si="125"/>
        <v>81.7</v>
      </c>
      <c r="I259" s="39"/>
      <c r="J259" s="39"/>
      <c r="K259" s="2967">
        <v>81.7</v>
      </c>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t="str">
        <f t="shared" si="129"/>
        <v>1-2-103</v>
      </c>
      <c r="AY259" s="42">
        <f t="shared" si="130"/>
        <v>0</v>
      </c>
      <c r="AZ259" s="35">
        <f t="shared" si="131"/>
        <v>81.7</v>
      </c>
      <c r="BA259" s="35">
        <f t="shared" si="132"/>
        <v>81.7</v>
      </c>
      <c r="BB259" s="35">
        <f t="shared" si="133"/>
        <v>0</v>
      </c>
      <c r="BC259" s="35">
        <f t="shared" si="134"/>
        <v>81.7</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2966" t="s">
        <v>3304</v>
      </c>
      <c r="D260" s="2210" t="s">
        <v>3301</v>
      </c>
      <c r="E260" s="35">
        <f t="shared" si="123"/>
        <v>0</v>
      </c>
      <c r="F260" s="36"/>
      <c r="G260" s="37">
        <f t="shared" si="124"/>
        <v>167.1</v>
      </c>
      <c r="H260" s="38">
        <f t="shared" si="125"/>
        <v>167.1</v>
      </c>
      <c r="I260" s="39"/>
      <c r="J260" s="39"/>
      <c r="K260" s="2967">
        <v>167.1</v>
      </c>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t="str">
        <f t="shared" si="129"/>
        <v>1-2-104</v>
      </c>
      <c r="AY260" s="42">
        <f t="shared" si="130"/>
        <v>0</v>
      </c>
      <c r="AZ260" s="35">
        <f t="shared" si="131"/>
        <v>167.1</v>
      </c>
      <c r="BA260" s="35">
        <f t="shared" si="132"/>
        <v>167.1</v>
      </c>
      <c r="BB260" s="35">
        <f t="shared" si="133"/>
        <v>0</v>
      </c>
      <c r="BC260" s="35">
        <f t="shared" si="134"/>
        <v>167.1</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2966" t="s">
        <v>3305</v>
      </c>
      <c r="D261" s="2210" t="s">
        <v>3301</v>
      </c>
      <c r="E261" s="35">
        <f t="shared" si="123"/>
        <v>0</v>
      </c>
      <c r="F261" s="36"/>
      <c r="G261" s="37">
        <f t="shared" si="124"/>
        <v>81.7</v>
      </c>
      <c r="H261" s="38">
        <f t="shared" si="125"/>
        <v>81.7</v>
      </c>
      <c r="I261" s="39"/>
      <c r="J261" s="39"/>
      <c r="K261" s="2967">
        <v>81.7</v>
      </c>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t="str">
        <f t="shared" si="129"/>
        <v>1-2-105</v>
      </c>
      <c r="AY261" s="42">
        <f t="shared" si="130"/>
        <v>0</v>
      </c>
      <c r="AZ261" s="35">
        <f t="shared" si="131"/>
        <v>81.7</v>
      </c>
      <c r="BA261" s="35">
        <f t="shared" si="132"/>
        <v>81.7</v>
      </c>
      <c r="BB261" s="35">
        <f t="shared" si="133"/>
        <v>0</v>
      </c>
      <c r="BC261" s="35">
        <f t="shared" si="134"/>
        <v>81.7</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2966" t="s">
        <v>3306</v>
      </c>
      <c r="D262" s="2210" t="s">
        <v>3301</v>
      </c>
      <c r="E262" s="35">
        <f t="shared" si="123"/>
        <v>0</v>
      </c>
      <c r="F262" s="36"/>
      <c r="G262" s="37">
        <f t="shared" si="124"/>
        <v>81.7</v>
      </c>
      <c r="H262" s="38">
        <f t="shared" si="125"/>
        <v>81.7</v>
      </c>
      <c r="I262" s="39"/>
      <c r="J262" s="39"/>
      <c r="K262" s="2967">
        <v>81.7</v>
      </c>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t="str">
        <f t="shared" si="129"/>
        <v>1-2-106</v>
      </c>
      <c r="AY262" s="42">
        <f t="shared" si="130"/>
        <v>0</v>
      </c>
      <c r="AZ262" s="35">
        <f t="shared" si="131"/>
        <v>81.7</v>
      </c>
      <c r="BA262" s="35">
        <f t="shared" si="132"/>
        <v>81.7</v>
      </c>
      <c r="BB262" s="35">
        <f t="shared" si="133"/>
        <v>0</v>
      </c>
      <c r="BC262" s="35">
        <f t="shared" si="134"/>
        <v>81.7</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2966" t="s">
        <v>3307</v>
      </c>
      <c r="D263" s="2210" t="s">
        <v>3301</v>
      </c>
      <c r="E263" s="35">
        <f t="shared" si="123"/>
        <v>0</v>
      </c>
      <c r="F263" s="36"/>
      <c r="G263" s="37">
        <f t="shared" si="124"/>
        <v>82.62</v>
      </c>
      <c r="H263" s="38">
        <f t="shared" si="125"/>
        <v>82.62</v>
      </c>
      <c r="I263" s="39"/>
      <c r="J263" s="39"/>
      <c r="K263" s="2967">
        <v>82.62</v>
      </c>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t="str">
        <f t="shared" si="129"/>
        <v>1-2-107</v>
      </c>
      <c r="AY263" s="42">
        <f t="shared" si="130"/>
        <v>0</v>
      </c>
      <c r="AZ263" s="35">
        <f t="shared" si="131"/>
        <v>82.62</v>
      </c>
      <c r="BA263" s="35">
        <f t="shared" si="132"/>
        <v>82.62</v>
      </c>
      <c r="BB263" s="35">
        <f t="shared" si="133"/>
        <v>0</v>
      </c>
      <c r="BC263" s="35">
        <f t="shared" si="134"/>
        <v>82.62</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2949" t="s">
        <v>3308</v>
      </c>
      <c r="D264" s="2210" t="s">
        <v>3301</v>
      </c>
      <c r="E264" s="35">
        <f t="shared" si="123"/>
        <v>0</v>
      </c>
      <c r="F264" s="36"/>
      <c r="G264" s="37">
        <f t="shared" si="124"/>
        <v>103.15</v>
      </c>
      <c r="H264" s="38">
        <f t="shared" si="125"/>
        <v>103.15</v>
      </c>
      <c r="I264" s="39"/>
      <c r="J264" s="39"/>
      <c r="K264" s="39">
        <v>103.15</v>
      </c>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t="str">
        <f t="shared" si="129"/>
        <v>1-3-01</v>
      </c>
      <c r="AY264" s="42">
        <f t="shared" si="130"/>
        <v>0</v>
      </c>
      <c r="AZ264" s="35">
        <f t="shared" si="131"/>
        <v>103.15</v>
      </c>
      <c r="BA264" s="35">
        <f t="shared" si="132"/>
        <v>103.15</v>
      </c>
      <c r="BB264" s="35">
        <f t="shared" si="133"/>
        <v>0</v>
      </c>
      <c r="BC264" s="35">
        <f t="shared" si="134"/>
        <v>103.15</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2949" t="s">
        <v>3309</v>
      </c>
      <c r="D265" s="2210" t="s">
        <v>3301</v>
      </c>
      <c r="E265" s="35">
        <f t="shared" si="123"/>
        <v>0</v>
      </c>
      <c r="F265" s="36"/>
      <c r="G265" s="37">
        <f t="shared" si="124"/>
        <v>104.3</v>
      </c>
      <c r="H265" s="38">
        <f t="shared" si="125"/>
        <v>104.3</v>
      </c>
      <c r="I265" s="39"/>
      <c r="J265" s="39"/>
      <c r="K265" s="39">
        <v>104.3</v>
      </c>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t="str">
        <f t="shared" si="129"/>
        <v>1-3-02</v>
      </c>
      <c r="AY265" s="42">
        <f t="shared" si="130"/>
        <v>0</v>
      </c>
      <c r="AZ265" s="35">
        <f t="shared" si="131"/>
        <v>104.3</v>
      </c>
      <c r="BA265" s="35">
        <f t="shared" si="132"/>
        <v>104.3</v>
      </c>
      <c r="BB265" s="35">
        <f t="shared" si="133"/>
        <v>0</v>
      </c>
      <c r="BC265" s="35">
        <f t="shared" si="134"/>
        <v>104.3</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2949" t="s">
        <v>3310</v>
      </c>
      <c r="D266" s="2210" t="s">
        <v>3301</v>
      </c>
      <c r="E266" s="35">
        <f t="shared" si="123"/>
        <v>0</v>
      </c>
      <c r="F266" s="36"/>
      <c r="G266" s="37">
        <f t="shared" si="124"/>
        <v>104.3</v>
      </c>
      <c r="H266" s="38">
        <f t="shared" si="125"/>
        <v>104.3</v>
      </c>
      <c r="I266" s="39"/>
      <c r="J266" s="39"/>
      <c r="K266" s="39">
        <v>104.3</v>
      </c>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t="str">
        <f t="shared" si="129"/>
        <v>1-3-03</v>
      </c>
      <c r="AY266" s="42">
        <f t="shared" si="130"/>
        <v>0</v>
      </c>
      <c r="AZ266" s="35">
        <f t="shared" si="131"/>
        <v>104.3</v>
      </c>
      <c r="BA266" s="35">
        <f t="shared" si="132"/>
        <v>104.3</v>
      </c>
      <c r="BB266" s="35">
        <f t="shared" si="133"/>
        <v>0</v>
      </c>
      <c r="BC266" s="35">
        <f t="shared" si="134"/>
        <v>104.3</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2949" t="s">
        <v>3311</v>
      </c>
      <c r="D267" s="2210" t="s">
        <v>3301</v>
      </c>
      <c r="E267" s="35">
        <f t="shared" si="123"/>
        <v>0</v>
      </c>
      <c r="F267" s="36"/>
      <c r="G267" s="37">
        <f t="shared" si="124"/>
        <v>104.3</v>
      </c>
      <c r="H267" s="38">
        <f t="shared" si="125"/>
        <v>104.3</v>
      </c>
      <c r="I267" s="39"/>
      <c r="J267" s="39"/>
      <c r="K267" s="39">
        <v>104.3</v>
      </c>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t="str">
        <f t="shared" si="129"/>
        <v>1-3-04</v>
      </c>
      <c r="AY267" s="42">
        <f t="shared" si="130"/>
        <v>0</v>
      </c>
      <c r="AZ267" s="35">
        <f t="shared" si="131"/>
        <v>104.3</v>
      </c>
      <c r="BA267" s="35">
        <f t="shared" si="132"/>
        <v>104.3</v>
      </c>
      <c r="BB267" s="35">
        <f t="shared" si="133"/>
        <v>0</v>
      </c>
      <c r="BC267" s="35">
        <f t="shared" si="134"/>
        <v>104.3</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2949" t="s">
        <v>3312</v>
      </c>
      <c r="D268" s="2210" t="s">
        <v>3301</v>
      </c>
      <c r="E268" s="35">
        <f t="shared" si="123"/>
        <v>0</v>
      </c>
      <c r="F268" s="36"/>
      <c r="G268" s="37">
        <f t="shared" si="124"/>
        <v>104.3</v>
      </c>
      <c r="H268" s="38">
        <f t="shared" si="125"/>
        <v>104.3</v>
      </c>
      <c r="I268" s="39"/>
      <c r="J268" s="39"/>
      <c r="K268" s="39">
        <v>104.3</v>
      </c>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t="str">
        <f t="shared" si="129"/>
        <v>1-3-05</v>
      </c>
      <c r="AY268" s="42">
        <f t="shared" si="130"/>
        <v>0</v>
      </c>
      <c r="AZ268" s="35">
        <f t="shared" si="131"/>
        <v>104.3</v>
      </c>
      <c r="BA268" s="35">
        <f t="shared" si="132"/>
        <v>104.3</v>
      </c>
      <c r="BB268" s="35">
        <f t="shared" si="133"/>
        <v>0</v>
      </c>
      <c r="BC268" s="35">
        <f t="shared" si="134"/>
        <v>104.3</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2966" t="s">
        <v>3313</v>
      </c>
      <c r="D269" s="2210" t="s">
        <v>3301</v>
      </c>
      <c r="E269" s="35">
        <f t="shared" si="123"/>
        <v>0</v>
      </c>
      <c r="F269" s="36"/>
      <c r="G269" s="37">
        <f t="shared" si="124"/>
        <v>104.3</v>
      </c>
      <c r="H269" s="38">
        <f t="shared" si="125"/>
        <v>104.3</v>
      </c>
      <c r="I269" s="39"/>
      <c r="J269" s="39"/>
      <c r="K269" s="2967">
        <v>104.3</v>
      </c>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t="str">
        <f t="shared" si="129"/>
        <v>1-3-06</v>
      </c>
      <c r="AY269" s="42">
        <f t="shared" si="130"/>
        <v>0</v>
      </c>
      <c r="AZ269" s="35">
        <f t="shared" si="131"/>
        <v>104.3</v>
      </c>
      <c r="BA269" s="35">
        <f t="shared" si="132"/>
        <v>104.3</v>
      </c>
      <c r="BB269" s="35">
        <f t="shared" si="133"/>
        <v>0</v>
      </c>
      <c r="BC269" s="35">
        <f t="shared" si="134"/>
        <v>104.3</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2966" t="s">
        <v>3314</v>
      </c>
      <c r="D270" s="2210" t="s">
        <v>3301</v>
      </c>
      <c r="E270" s="35">
        <f t="shared" si="123"/>
        <v>0</v>
      </c>
      <c r="F270" s="36"/>
      <c r="G270" s="37">
        <f t="shared" si="124"/>
        <v>82.62</v>
      </c>
      <c r="H270" s="38">
        <f t="shared" si="125"/>
        <v>82.62</v>
      </c>
      <c r="I270" s="39"/>
      <c r="J270" s="39"/>
      <c r="K270" s="2967">
        <v>82.62</v>
      </c>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t="str">
        <f t="shared" si="129"/>
        <v>1-3-101</v>
      </c>
      <c r="AY270" s="42">
        <f t="shared" si="130"/>
        <v>0</v>
      </c>
      <c r="AZ270" s="35">
        <f t="shared" si="131"/>
        <v>82.62</v>
      </c>
      <c r="BA270" s="35">
        <f t="shared" si="132"/>
        <v>82.62</v>
      </c>
      <c r="BB270" s="35">
        <f t="shared" si="133"/>
        <v>0</v>
      </c>
      <c r="BC270" s="35">
        <f t="shared" si="134"/>
        <v>82.62</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2966" t="s">
        <v>3315</v>
      </c>
      <c r="D271" s="2210" t="s">
        <v>3301</v>
      </c>
      <c r="E271" s="35">
        <f t="shared" si="123"/>
        <v>0</v>
      </c>
      <c r="F271" s="36"/>
      <c r="G271" s="37">
        <f t="shared" si="124"/>
        <v>81.7</v>
      </c>
      <c r="H271" s="38">
        <f t="shared" si="125"/>
        <v>81.7</v>
      </c>
      <c r="I271" s="39"/>
      <c r="J271" s="39"/>
      <c r="K271" s="2967">
        <v>81.7</v>
      </c>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t="str">
        <f t="shared" si="129"/>
        <v>1-3-102</v>
      </c>
      <c r="AY271" s="42">
        <f t="shared" si="130"/>
        <v>0</v>
      </c>
      <c r="AZ271" s="35">
        <f t="shared" si="131"/>
        <v>81.7</v>
      </c>
      <c r="BA271" s="35">
        <f t="shared" si="132"/>
        <v>81.7</v>
      </c>
      <c r="BB271" s="35">
        <f t="shared" si="133"/>
        <v>0</v>
      </c>
      <c r="BC271" s="35">
        <f t="shared" si="134"/>
        <v>81.7</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2966" t="s">
        <v>3316</v>
      </c>
      <c r="D272" s="2210" t="s">
        <v>3301</v>
      </c>
      <c r="E272" s="35">
        <f t="shared" si="123"/>
        <v>0</v>
      </c>
      <c r="F272" s="36"/>
      <c r="G272" s="37">
        <f t="shared" si="124"/>
        <v>81.7</v>
      </c>
      <c r="H272" s="38">
        <f t="shared" si="125"/>
        <v>81.7</v>
      </c>
      <c r="I272" s="39"/>
      <c r="J272" s="39"/>
      <c r="K272" s="2967">
        <v>81.7</v>
      </c>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t="str">
        <f t="shared" si="129"/>
        <v>1-3-103</v>
      </c>
      <c r="AY272" s="42">
        <f t="shared" si="130"/>
        <v>0</v>
      </c>
      <c r="AZ272" s="35">
        <f t="shared" si="131"/>
        <v>81.7</v>
      </c>
      <c r="BA272" s="35">
        <f t="shared" si="132"/>
        <v>81.7</v>
      </c>
      <c r="BB272" s="35">
        <f t="shared" si="133"/>
        <v>0</v>
      </c>
      <c r="BC272" s="35">
        <f t="shared" si="134"/>
        <v>81.7</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2966" t="s">
        <v>3317</v>
      </c>
      <c r="D273" s="2210" t="s">
        <v>3301</v>
      </c>
      <c r="E273" s="35">
        <f t="shared" si="123"/>
        <v>0</v>
      </c>
      <c r="F273" s="36"/>
      <c r="G273" s="37">
        <f t="shared" si="124"/>
        <v>167.1</v>
      </c>
      <c r="H273" s="38">
        <f t="shared" si="125"/>
        <v>167.1</v>
      </c>
      <c r="I273" s="39"/>
      <c r="J273" s="39"/>
      <c r="K273" s="2967">
        <v>167.1</v>
      </c>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t="str">
        <f t="shared" si="129"/>
        <v>1-3-104</v>
      </c>
      <c r="AY273" s="42">
        <f t="shared" si="130"/>
        <v>0</v>
      </c>
      <c r="AZ273" s="35">
        <f t="shared" si="131"/>
        <v>167.1</v>
      </c>
      <c r="BA273" s="35">
        <f t="shared" si="132"/>
        <v>167.1</v>
      </c>
      <c r="BB273" s="35">
        <f t="shared" si="133"/>
        <v>0</v>
      </c>
      <c r="BC273" s="35">
        <f t="shared" si="134"/>
        <v>167.1</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2966" t="s">
        <v>3318</v>
      </c>
      <c r="D274" s="2210" t="s">
        <v>3301</v>
      </c>
      <c r="E274" s="35">
        <f t="shared" si="123"/>
        <v>0</v>
      </c>
      <c r="F274" s="36"/>
      <c r="G274" s="37">
        <f t="shared" si="124"/>
        <v>81.7</v>
      </c>
      <c r="H274" s="38">
        <f t="shared" si="125"/>
        <v>81.7</v>
      </c>
      <c r="I274" s="39"/>
      <c r="J274" s="39"/>
      <c r="K274" s="2967">
        <v>81.7</v>
      </c>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t="str">
        <f t="shared" si="129"/>
        <v>1-3-105</v>
      </c>
      <c r="AY274" s="42">
        <f t="shared" si="130"/>
        <v>0</v>
      </c>
      <c r="AZ274" s="35">
        <f t="shared" si="131"/>
        <v>81.7</v>
      </c>
      <c r="BA274" s="35">
        <f t="shared" si="132"/>
        <v>81.7</v>
      </c>
      <c r="BB274" s="35">
        <f t="shared" si="133"/>
        <v>0</v>
      </c>
      <c r="BC274" s="35">
        <f t="shared" si="134"/>
        <v>81.7</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2966" t="s">
        <v>3319</v>
      </c>
      <c r="D275" s="2210" t="s">
        <v>3301</v>
      </c>
      <c r="E275" s="35">
        <f t="shared" si="123"/>
        <v>0</v>
      </c>
      <c r="F275" s="36"/>
      <c r="G275" s="37">
        <f t="shared" si="124"/>
        <v>81.7</v>
      </c>
      <c r="H275" s="38">
        <f t="shared" si="125"/>
        <v>81.7</v>
      </c>
      <c r="I275" s="39"/>
      <c r="J275" s="39"/>
      <c r="K275" s="2967">
        <v>81.7</v>
      </c>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t="str">
        <f t="shared" si="129"/>
        <v>1-3-106</v>
      </c>
      <c r="AY275" s="42">
        <f t="shared" si="130"/>
        <v>0</v>
      </c>
      <c r="AZ275" s="35">
        <f t="shared" si="131"/>
        <v>81.7</v>
      </c>
      <c r="BA275" s="35">
        <f t="shared" si="132"/>
        <v>81.7</v>
      </c>
      <c r="BB275" s="35">
        <f t="shared" si="133"/>
        <v>0</v>
      </c>
      <c r="BC275" s="35">
        <f t="shared" si="134"/>
        <v>81.7</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2966" t="s">
        <v>3320</v>
      </c>
      <c r="D276" s="2210" t="s">
        <v>3301</v>
      </c>
      <c r="E276" s="35">
        <f t="shared" si="123"/>
        <v>0</v>
      </c>
      <c r="F276" s="36"/>
      <c r="G276" s="37">
        <f t="shared" si="124"/>
        <v>180.22</v>
      </c>
      <c r="H276" s="38">
        <f t="shared" si="125"/>
        <v>180.22</v>
      </c>
      <c r="I276" s="39"/>
      <c r="J276" s="39"/>
      <c r="K276" s="2967">
        <v>180.22</v>
      </c>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t="str">
        <f t="shared" si="129"/>
        <v>1-3-107</v>
      </c>
      <c r="AY276" s="42">
        <f t="shared" si="130"/>
        <v>0</v>
      </c>
      <c r="AZ276" s="35">
        <f t="shared" si="131"/>
        <v>180.22</v>
      </c>
      <c r="BA276" s="35">
        <f t="shared" si="132"/>
        <v>180.22</v>
      </c>
      <c r="BB276" s="35">
        <f t="shared" si="133"/>
        <v>0</v>
      </c>
      <c r="BC276" s="35">
        <f t="shared" si="134"/>
        <v>180.22</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2966" t="s">
        <v>3321</v>
      </c>
      <c r="D277" s="2210" t="s">
        <v>3301</v>
      </c>
      <c r="E277" s="35">
        <f t="shared" si="123"/>
        <v>0</v>
      </c>
      <c r="F277" s="36"/>
      <c r="G277" s="37">
        <f t="shared" si="124"/>
        <v>77.040000000000006</v>
      </c>
      <c r="H277" s="38">
        <f t="shared" si="125"/>
        <v>77.040000000000006</v>
      </c>
      <c r="I277" s="39"/>
      <c r="J277" s="39"/>
      <c r="K277" s="2967">
        <v>77.040000000000006</v>
      </c>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t="str">
        <f t="shared" si="129"/>
        <v>1-3-108</v>
      </c>
      <c r="AY277" s="42">
        <f t="shared" si="130"/>
        <v>0</v>
      </c>
      <c r="AZ277" s="35">
        <f t="shared" si="131"/>
        <v>77.040000000000006</v>
      </c>
      <c r="BA277" s="35">
        <f t="shared" si="132"/>
        <v>77.040000000000006</v>
      </c>
      <c r="BB277" s="35">
        <f t="shared" si="133"/>
        <v>0</v>
      </c>
      <c r="BC277" s="35">
        <f t="shared" si="134"/>
        <v>77.040000000000006</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2966" t="s">
        <v>3322</v>
      </c>
      <c r="D278" s="2210" t="s">
        <v>3301</v>
      </c>
      <c r="E278" s="35">
        <f t="shared" si="123"/>
        <v>0</v>
      </c>
      <c r="F278" s="36"/>
      <c r="G278" s="37">
        <f t="shared" si="124"/>
        <v>77.040000000000006</v>
      </c>
      <c r="H278" s="38">
        <f t="shared" si="125"/>
        <v>77.040000000000006</v>
      </c>
      <c r="I278" s="39"/>
      <c r="J278" s="39"/>
      <c r="K278" s="2967">
        <v>77.040000000000006</v>
      </c>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t="str">
        <f t="shared" si="129"/>
        <v>1-3-110</v>
      </c>
      <c r="AY278" s="42">
        <f t="shared" si="130"/>
        <v>0</v>
      </c>
      <c r="AZ278" s="35">
        <f t="shared" si="131"/>
        <v>77.040000000000006</v>
      </c>
      <c r="BA278" s="35">
        <f t="shared" si="132"/>
        <v>77.040000000000006</v>
      </c>
      <c r="BB278" s="35">
        <f t="shared" si="133"/>
        <v>0</v>
      </c>
      <c r="BC278" s="35">
        <f t="shared" si="134"/>
        <v>77.040000000000006</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2966" t="s">
        <v>3323</v>
      </c>
      <c r="D279" s="2210" t="s">
        <v>3301</v>
      </c>
      <c r="E279" s="35">
        <f t="shared" si="123"/>
        <v>0</v>
      </c>
      <c r="F279" s="36"/>
      <c r="G279" s="37">
        <f t="shared" si="124"/>
        <v>80.14</v>
      </c>
      <c r="H279" s="38">
        <f t="shared" si="125"/>
        <v>80.14</v>
      </c>
      <c r="I279" s="39"/>
      <c r="J279" s="39"/>
      <c r="K279" s="2967">
        <v>80.14</v>
      </c>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t="str">
        <f t="shared" si="129"/>
        <v>1-3-111</v>
      </c>
      <c r="AY279" s="42">
        <f t="shared" si="130"/>
        <v>0</v>
      </c>
      <c r="AZ279" s="35">
        <f t="shared" si="131"/>
        <v>80.14</v>
      </c>
      <c r="BA279" s="35">
        <f t="shared" si="132"/>
        <v>80.14</v>
      </c>
      <c r="BB279" s="35">
        <f t="shared" si="133"/>
        <v>0</v>
      </c>
      <c r="BC279" s="35">
        <f t="shared" si="134"/>
        <v>80.14</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2966" t="s">
        <v>3324</v>
      </c>
      <c r="D280" s="2210" t="s">
        <v>3301</v>
      </c>
      <c r="E280" s="35">
        <f t="shared" si="123"/>
        <v>0</v>
      </c>
      <c r="F280" s="36"/>
      <c r="G280" s="37">
        <f t="shared" si="124"/>
        <v>150.71</v>
      </c>
      <c r="H280" s="38">
        <f t="shared" si="125"/>
        <v>150.71</v>
      </c>
      <c r="I280" s="39"/>
      <c r="J280" s="39"/>
      <c r="K280" s="2967">
        <v>150.71</v>
      </c>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t="str">
        <f t="shared" si="129"/>
        <v>7-1-101</v>
      </c>
      <c r="AY280" s="42">
        <f t="shared" si="130"/>
        <v>0</v>
      </c>
      <c r="AZ280" s="35">
        <f t="shared" si="131"/>
        <v>150.71</v>
      </c>
      <c r="BA280" s="35">
        <f t="shared" si="132"/>
        <v>150.71</v>
      </c>
      <c r="BB280" s="35">
        <f t="shared" si="133"/>
        <v>0</v>
      </c>
      <c r="BC280" s="35">
        <f t="shared" si="134"/>
        <v>150.71</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2949" t="s">
        <v>3325</v>
      </c>
      <c r="D281" s="2210" t="s">
        <v>3301</v>
      </c>
      <c r="E281" s="35">
        <f t="shared" si="123"/>
        <v>0</v>
      </c>
      <c r="F281" s="36"/>
      <c r="G281" s="37">
        <f t="shared" si="124"/>
        <v>262.48</v>
      </c>
      <c r="H281" s="38">
        <f t="shared" si="125"/>
        <v>262.48</v>
      </c>
      <c r="I281" s="39"/>
      <c r="J281" s="39"/>
      <c r="K281" s="39">
        <v>262.48</v>
      </c>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t="str">
        <f t="shared" si="129"/>
        <v>17-1-101</v>
      </c>
      <c r="AY281" s="42">
        <f t="shared" si="130"/>
        <v>0</v>
      </c>
      <c r="AZ281" s="35">
        <f t="shared" si="131"/>
        <v>262.48</v>
      </c>
      <c r="BA281" s="35">
        <f t="shared" si="132"/>
        <v>262.48</v>
      </c>
      <c r="BB281" s="35">
        <f t="shared" si="133"/>
        <v>0</v>
      </c>
      <c r="BC281" s="35">
        <f t="shared" si="134"/>
        <v>262.48</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2966" t="s">
        <v>3326</v>
      </c>
      <c r="D282" s="2210" t="s">
        <v>3301</v>
      </c>
      <c r="E282" s="35">
        <f t="shared" si="123"/>
        <v>0</v>
      </c>
      <c r="F282" s="36"/>
      <c r="G282" s="37">
        <f t="shared" si="124"/>
        <v>100.94</v>
      </c>
      <c r="H282" s="38">
        <f t="shared" si="125"/>
        <v>100.94</v>
      </c>
      <c r="I282" s="39"/>
      <c r="J282" s="39"/>
      <c r="K282" s="2967">
        <v>100.94</v>
      </c>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t="str">
        <f t="shared" si="129"/>
        <v>19-1-101</v>
      </c>
      <c r="AY282" s="42">
        <f t="shared" si="130"/>
        <v>0</v>
      </c>
      <c r="AZ282" s="35">
        <f t="shared" si="131"/>
        <v>100.94</v>
      </c>
      <c r="BA282" s="35">
        <f t="shared" si="132"/>
        <v>100.94</v>
      </c>
      <c r="BB282" s="35">
        <f t="shared" si="133"/>
        <v>0</v>
      </c>
      <c r="BC282" s="35">
        <f t="shared" si="134"/>
        <v>100.94</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2966" t="s">
        <v>3327</v>
      </c>
      <c r="D283" s="2210" t="s">
        <v>3301</v>
      </c>
      <c r="E283" s="35">
        <f t="shared" si="123"/>
        <v>0</v>
      </c>
      <c r="F283" s="36"/>
      <c r="G283" s="37">
        <f t="shared" si="124"/>
        <v>83.4</v>
      </c>
      <c r="H283" s="38">
        <f t="shared" si="125"/>
        <v>83.4</v>
      </c>
      <c r="I283" s="39"/>
      <c r="J283" s="39"/>
      <c r="K283" s="2967">
        <v>83.4</v>
      </c>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t="str">
        <f t="shared" si="129"/>
        <v>19-1-102</v>
      </c>
      <c r="AY283" s="42">
        <f t="shared" si="130"/>
        <v>0</v>
      </c>
      <c r="AZ283" s="35">
        <f t="shared" si="131"/>
        <v>83.4</v>
      </c>
      <c r="BA283" s="35">
        <f t="shared" si="132"/>
        <v>83.4</v>
      </c>
      <c r="BB283" s="35">
        <f t="shared" si="133"/>
        <v>0</v>
      </c>
      <c r="BC283" s="35">
        <f t="shared" si="134"/>
        <v>83.4</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2966" t="s">
        <v>3328</v>
      </c>
      <c r="D284" s="2210" t="s">
        <v>3301</v>
      </c>
      <c r="E284" s="35">
        <f t="shared" si="123"/>
        <v>0</v>
      </c>
      <c r="F284" s="36"/>
      <c r="G284" s="37">
        <f t="shared" si="124"/>
        <v>83.4</v>
      </c>
      <c r="H284" s="38">
        <f t="shared" si="125"/>
        <v>83.4</v>
      </c>
      <c r="I284" s="39"/>
      <c r="J284" s="39"/>
      <c r="K284" s="2967">
        <v>83.4</v>
      </c>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t="str">
        <f t="shared" si="129"/>
        <v>19-1-103</v>
      </c>
      <c r="AY284" s="42">
        <f t="shared" si="130"/>
        <v>0</v>
      </c>
      <c r="AZ284" s="35">
        <f t="shared" si="131"/>
        <v>83.4</v>
      </c>
      <c r="BA284" s="35">
        <f t="shared" si="132"/>
        <v>83.4</v>
      </c>
      <c r="BB284" s="35">
        <f t="shared" si="133"/>
        <v>0</v>
      </c>
      <c r="BC284" s="35">
        <f t="shared" si="134"/>
        <v>83.4</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2966" t="s">
        <v>3329</v>
      </c>
      <c r="D285" s="2210" t="s">
        <v>3301</v>
      </c>
      <c r="E285" s="35">
        <f t="shared" si="123"/>
        <v>0</v>
      </c>
      <c r="F285" s="36"/>
      <c r="G285" s="37">
        <f t="shared" si="124"/>
        <v>170.72</v>
      </c>
      <c r="H285" s="38">
        <f t="shared" si="125"/>
        <v>170.72</v>
      </c>
      <c r="I285" s="39"/>
      <c r="J285" s="39"/>
      <c r="K285" s="2967">
        <v>170.72</v>
      </c>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t="str">
        <f t="shared" si="129"/>
        <v>19-1-104</v>
      </c>
      <c r="AY285" s="42">
        <f t="shared" si="130"/>
        <v>0</v>
      </c>
      <c r="AZ285" s="35">
        <f t="shared" si="131"/>
        <v>170.72</v>
      </c>
      <c r="BA285" s="35">
        <f t="shared" si="132"/>
        <v>170.72</v>
      </c>
      <c r="BB285" s="35">
        <f t="shared" si="133"/>
        <v>0</v>
      </c>
      <c r="BC285" s="35">
        <f t="shared" si="134"/>
        <v>170.72</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2966" t="s">
        <v>3330</v>
      </c>
      <c r="D286" s="2210" t="s">
        <v>3301</v>
      </c>
      <c r="E286" s="35">
        <f t="shared" si="123"/>
        <v>0</v>
      </c>
      <c r="F286" s="36"/>
      <c r="G286" s="37">
        <f t="shared" si="124"/>
        <v>83.4</v>
      </c>
      <c r="H286" s="38">
        <f t="shared" si="125"/>
        <v>83.4</v>
      </c>
      <c r="I286" s="39"/>
      <c r="J286" s="39"/>
      <c r="K286" s="2967">
        <v>83.4</v>
      </c>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t="str">
        <f t="shared" si="129"/>
        <v>19-1-105</v>
      </c>
      <c r="AY286" s="42">
        <f t="shared" si="130"/>
        <v>0</v>
      </c>
      <c r="AZ286" s="35">
        <f t="shared" si="131"/>
        <v>83.4</v>
      </c>
      <c r="BA286" s="35">
        <f t="shared" si="132"/>
        <v>83.4</v>
      </c>
      <c r="BB286" s="35">
        <f t="shared" si="133"/>
        <v>0</v>
      </c>
      <c r="BC286" s="35">
        <f t="shared" si="134"/>
        <v>83.4</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2949" t="s">
        <v>3331</v>
      </c>
      <c r="D287" s="2210" t="s">
        <v>3301</v>
      </c>
      <c r="E287" s="35">
        <f t="shared" si="123"/>
        <v>0</v>
      </c>
      <c r="F287" s="36"/>
      <c r="G287" s="37">
        <f t="shared" si="124"/>
        <v>83.4</v>
      </c>
      <c r="H287" s="38">
        <f t="shared" si="125"/>
        <v>83.4</v>
      </c>
      <c r="I287" s="39"/>
      <c r="J287" s="39"/>
      <c r="K287" s="39">
        <v>83.4</v>
      </c>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t="str">
        <f t="shared" si="129"/>
        <v>19-1-106</v>
      </c>
      <c r="AY287" s="42">
        <f t="shared" si="130"/>
        <v>0</v>
      </c>
      <c r="AZ287" s="35">
        <f t="shared" si="131"/>
        <v>83.4</v>
      </c>
      <c r="BA287" s="35">
        <f t="shared" si="132"/>
        <v>83.4</v>
      </c>
      <c r="BB287" s="35">
        <f t="shared" si="133"/>
        <v>0</v>
      </c>
      <c r="BC287" s="35">
        <f t="shared" si="134"/>
        <v>83.4</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2949" t="s">
        <v>3332</v>
      </c>
      <c r="D288" s="2210" t="s">
        <v>3301</v>
      </c>
      <c r="E288" s="35">
        <f t="shared" si="123"/>
        <v>0</v>
      </c>
      <c r="F288" s="36"/>
      <c r="G288" s="37">
        <f t="shared" si="124"/>
        <v>84.46</v>
      </c>
      <c r="H288" s="38">
        <f t="shared" si="125"/>
        <v>84.46</v>
      </c>
      <c r="I288" s="39"/>
      <c r="J288" s="39"/>
      <c r="K288" s="39">
        <v>84.46</v>
      </c>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t="str">
        <f t="shared" si="129"/>
        <v>19-1-107</v>
      </c>
      <c r="AY288" s="42">
        <f t="shared" si="130"/>
        <v>0</v>
      </c>
      <c r="AZ288" s="35">
        <f t="shared" si="131"/>
        <v>84.46</v>
      </c>
      <c r="BA288" s="35">
        <f t="shared" si="132"/>
        <v>84.46</v>
      </c>
      <c r="BB288" s="35">
        <f t="shared" si="133"/>
        <v>0</v>
      </c>
      <c r="BC288" s="35">
        <f t="shared" si="134"/>
        <v>84.46</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2966" t="s">
        <v>3333</v>
      </c>
      <c r="D289" s="2210" t="s">
        <v>3301</v>
      </c>
      <c r="E289" s="35">
        <f t="shared" si="123"/>
        <v>0</v>
      </c>
      <c r="F289" s="36"/>
      <c r="G289" s="37">
        <f t="shared" si="124"/>
        <v>83.06</v>
      </c>
      <c r="H289" s="38">
        <f t="shared" si="125"/>
        <v>83.06</v>
      </c>
      <c r="I289" s="39"/>
      <c r="J289" s="39"/>
      <c r="K289" s="2967">
        <v>83.06</v>
      </c>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t="str">
        <f t="shared" si="129"/>
        <v>19-1-110</v>
      </c>
      <c r="AY289" s="42">
        <f t="shared" si="130"/>
        <v>0</v>
      </c>
      <c r="AZ289" s="35">
        <f t="shared" si="131"/>
        <v>83.06</v>
      </c>
      <c r="BA289" s="35">
        <f t="shared" si="132"/>
        <v>83.06</v>
      </c>
      <c r="BB289" s="35">
        <f t="shared" si="133"/>
        <v>0</v>
      </c>
      <c r="BC289" s="35">
        <f t="shared" si="134"/>
        <v>83.06</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2949" t="s">
        <v>3334</v>
      </c>
      <c r="D290" s="2210" t="s">
        <v>3301</v>
      </c>
      <c r="E290" s="35">
        <f t="shared" si="123"/>
        <v>0</v>
      </c>
      <c r="F290" s="36"/>
      <c r="G290" s="37">
        <f t="shared" si="124"/>
        <v>84.46</v>
      </c>
      <c r="H290" s="38">
        <f t="shared" si="125"/>
        <v>84.46</v>
      </c>
      <c r="I290" s="39"/>
      <c r="J290" s="39"/>
      <c r="K290" s="39">
        <v>84.46</v>
      </c>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t="str">
        <f t="shared" si="129"/>
        <v>19-2-101</v>
      </c>
      <c r="AY290" s="42">
        <f t="shared" si="130"/>
        <v>0</v>
      </c>
      <c r="AZ290" s="35">
        <f t="shared" si="131"/>
        <v>84.46</v>
      </c>
      <c r="BA290" s="35">
        <f t="shared" si="132"/>
        <v>84.46</v>
      </c>
      <c r="BB290" s="35">
        <f t="shared" si="133"/>
        <v>0</v>
      </c>
      <c r="BC290" s="35">
        <f t="shared" si="134"/>
        <v>84.46</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2949" t="s">
        <v>3335</v>
      </c>
      <c r="D291" s="2210" t="s">
        <v>3301</v>
      </c>
      <c r="E291" s="35">
        <f t="shared" si="123"/>
        <v>0</v>
      </c>
      <c r="F291" s="36"/>
      <c r="G291" s="37">
        <f t="shared" si="124"/>
        <v>83.4</v>
      </c>
      <c r="H291" s="38">
        <f t="shared" si="125"/>
        <v>83.4</v>
      </c>
      <c r="I291" s="39"/>
      <c r="J291" s="39"/>
      <c r="K291" s="39">
        <v>83.4</v>
      </c>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t="str">
        <f t="shared" si="129"/>
        <v>19-2-102</v>
      </c>
      <c r="AY291" s="42">
        <f t="shared" si="130"/>
        <v>0</v>
      </c>
      <c r="AZ291" s="35">
        <f t="shared" si="131"/>
        <v>83.4</v>
      </c>
      <c r="BA291" s="35">
        <f t="shared" si="132"/>
        <v>83.4</v>
      </c>
      <c r="BB291" s="35">
        <f t="shared" si="133"/>
        <v>0</v>
      </c>
      <c r="BC291" s="35">
        <f t="shared" si="134"/>
        <v>83.4</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2949" t="s">
        <v>3336</v>
      </c>
      <c r="D292" s="2210" t="s">
        <v>3301</v>
      </c>
      <c r="E292" s="35">
        <f t="shared" si="123"/>
        <v>0</v>
      </c>
      <c r="F292" s="36"/>
      <c r="G292" s="37">
        <f t="shared" si="124"/>
        <v>83.4</v>
      </c>
      <c r="H292" s="38">
        <f t="shared" si="125"/>
        <v>83.4</v>
      </c>
      <c r="I292" s="39"/>
      <c r="J292" s="39"/>
      <c r="K292" s="39">
        <v>83.4</v>
      </c>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t="str">
        <f t="shared" si="129"/>
        <v>19-2-103</v>
      </c>
      <c r="AY292" s="42">
        <f t="shared" si="130"/>
        <v>0</v>
      </c>
      <c r="AZ292" s="35">
        <f t="shared" si="131"/>
        <v>83.4</v>
      </c>
      <c r="BA292" s="35">
        <f t="shared" si="132"/>
        <v>83.4</v>
      </c>
      <c r="BB292" s="35">
        <f t="shared" si="133"/>
        <v>0</v>
      </c>
      <c r="BC292" s="35">
        <f t="shared" si="134"/>
        <v>83.4</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2949" t="s">
        <v>3337</v>
      </c>
      <c r="D293" s="2210" t="s">
        <v>3301</v>
      </c>
      <c r="E293" s="35">
        <f t="shared" si="123"/>
        <v>0</v>
      </c>
      <c r="F293" s="36"/>
      <c r="G293" s="37">
        <f t="shared" si="124"/>
        <v>170.72</v>
      </c>
      <c r="H293" s="38">
        <f t="shared" si="125"/>
        <v>170.72</v>
      </c>
      <c r="I293" s="39"/>
      <c r="J293" s="39"/>
      <c r="K293" s="39">
        <v>170.72</v>
      </c>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t="str">
        <f t="shared" si="129"/>
        <v>19-2-104</v>
      </c>
      <c r="AY293" s="42">
        <f t="shared" si="130"/>
        <v>0</v>
      </c>
      <c r="AZ293" s="35">
        <f t="shared" si="131"/>
        <v>170.72</v>
      </c>
      <c r="BA293" s="35">
        <f t="shared" si="132"/>
        <v>170.72</v>
      </c>
      <c r="BB293" s="35">
        <f t="shared" si="133"/>
        <v>0</v>
      </c>
      <c r="BC293" s="35">
        <f t="shared" si="134"/>
        <v>170.72</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2949" t="s">
        <v>3338</v>
      </c>
      <c r="D294" s="2210" t="s">
        <v>3301</v>
      </c>
      <c r="E294" s="35">
        <f t="shared" si="123"/>
        <v>0</v>
      </c>
      <c r="F294" s="36"/>
      <c r="G294" s="37">
        <f t="shared" si="124"/>
        <v>83.4</v>
      </c>
      <c r="H294" s="38">
        <f t="shared" si="125"/>
        <v>83.4</v>
      </c>
      <c r="I294" s="39"/>
      <c r="J294" s="39"/>
      <c r="K294" s="39">
        <v>83.4</v>
      </c>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t="str">
        <f t="shared" si="129"/>
        <v>19-2-105</v>
      </c>
      <c r="AY294" s="42">
        <f t="shared" si="130"/>
        <v>0</v>
      </c>
      <c r="AZ294" s="35">
        <f t="shared" si="131"/>
        <v>83.4</v>
      </c>
      <c r="BA294" s="35">
        <f t="shared" si="132"/>
        <v>83.4</v>
      </c>
      <c r="BB294" s="35">
        <f t="shared" si="133"/>
        <v>0</v>
      </c>
      <c r="BC294" s="35">
        <f t="shared" si="134"/>
        <v>83.4</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2949" t="s">
        <v>3339</v>
      </c>
      <c r="D295" s="2210" t="s">
        <v>3301</v>
      </c>
      <c r="E295" s="35">
        <f t="shared" si="123"/>
        <v>0</v>
      </c>
      <c r="F295" s="36"/>
      <c r="G295" s="37">
        <f t="shared" si="124"/>
        <v>83.4</v>
      </c>
      <c r="H295" s="38">
        <f t="shared" si="125"/>
        <v>83.4</v>
      </c>
      <c r="I295" s="39"/>
      <c r="J295" s="39"/>
      <c r="K295" s="39">
        <v>83.4</v>
      </c>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t="str">
        <f t="shared" si="129"/>
        <v>19-2-106</v>
      </c>
      <c r="AY295" s="42">
        <f t="shared" si="130"/>
        <v>0</v>
      </c>
      <c r="AZ295" s="35">
        <f t="shared" si="131"/>
        <v>83.4</v>
      </c>
      <c r="BA295" s="35">
        <f t="shared" si="132"/>
        <v>83.4</v>
      </c>
      <c r="BB295" s="35">
        <f t="shared" si="133"/>
        <v>0</v>
      </c>
      <c r="BC295" s="35">
        <f t="shared" si="134"/>
        <v>83.4</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1935</v>
      </c>
      <c r="B1" s="1392"/>
      <c r="C1" s="1392"/>
      <c r="D1" s="1392"/>
      <c r="E1" s="1392"/>
      <c r="F1" s="1392"/>
      <c r="G1" s="1392"/>
      <c r="H1" s="1392"/>
      <c r="I1" s="1392"/>
      <c r="J1" s="1392"/>
      <c r="K1" s="1392"/>
      <c r="L1" s="1392"/>
      <c r="M1" s="1392"/>
      <c r="N1" s="1392"/>
      <c r="O1" s="1392"/>
      <c r="P1" s="1392"/>
    </row>
    <row r="2" spans="1:16" ht="15">
      <c r="A2" s="3057" t="s">
        <v>1936</v>
      </c>
      <c r="B2" s="3057"/>
      <c r="C2" s="3057"/>
      <c r="D2" s="967" t="s">
        <v>1912</v>
      </c>
      <c r="E2" s="2224" t="s">
        <v>1913</v>
      </c>
      <c r="F2" s="1392"/>
      <c r="G2" s="2225"/>
      <c r="H2" s="2226"/>
      <c r="I2" s="2227" t="s">
        <v>1937</v>
      </c>
      <c r="J2" s="1392"/>
      <c r="K2" s="1392"/>
      <c r="L2" s="1392"/>
      <c r="M2" s="1392"/>
      <c r="N2" s="1427"/>
      <c r="O2" s="1392"/>
      <c r="P2" s="1392"/>
    </row>
    <row r="3" spans="1:16" ht="15.75" thickBot="1">
      <c r="A3" s="3058" t="s">
        <v>1910</v>
      </c>
      <c r="B3" s="3058"/>
      <c r="C3" s="3058"/>
      <c r="D3" s="46">
        <f>'数据-基础表'!AY6</f>
        <v>0</v>
      </c>
      <c r="E3" s="46">
        <f>'数据-基础表'!AZ5</f>
        <v>25398.790000000015</v>
      </c>
      <c r="F3" s="1392"/>
      <c r="G3" s="1399"/>
      <c r="H3" s="1247" t="s">
        <v>1911</v>
      </c>
      <c r="I3" s="55" t="e">
        <f>ROUND('数据-基础表'!B3/'数据-基础表'!A3,2)</f>
        <v>#DIV/0!</v>
      </c>
      <c r="J3" s="1392"/>
      <c r="K3" s="1392"/>
      <c r="L3" s="1392"/>
      <c r="M3" s="1392"/>
      <c r="N3" s="1427"/>
      <c r="O3" s="1392"/>
      <c r="P3" s="1392"/>
    </row>
    <row r="4" spans="1:16" ht="15">
      <c r="A4" s="3059"/>
      <c r="B4" s="3060"/>
      <c r="C4" s="3061"/>
      <c r="D4" s="2228" t="s">
        <v>1912</v>
      </c>
      <c r="E4" s="2229" t="s">
        <v>1913</v>
      </c>
      <c r="F4" s="1392"/>
      <c r="G4" s="2230" t="s">
        <v>1938</v>
      </c>
      <c r="H4" s="1247" t="s">
        <v>1918</v>
      </c>
      <c r="I4" s="55" t="e">
        <f>ROUND(SUMIF('数据-基础表'!I9:AS9,"地上",'数据-基础表'!I5:AS5)/'数据-基础表'!A3,2)</f>
        <v>#DIV/0!</v>
      </c>
      <c r="J4" s="1392"/>
      <c r="K4" s="1392"/>
      <c r="L4" s="1392"/>
      <c r="M4" s="1392"/>
      <c r="N4" s="1427"/>
      <c r="O4" s="1392"/>
      <c r="P4" s="1392"/>
    </row>
    <row r="5" spans="1:16">
      <c r="A5" s="47" t="s">
        <v>1914</v>
      </c>
      <c r="B5" s="3062" t="s">
        <v>1915</v>
      </c>
      <c r="C5" s="3062"/>
      <c r="D5" s="48">
        <f>ROUND($D$3*E5/$E$3,2)</f>
        <v>0</v>
      </c>
      <c r="E5" s="49">
        <f>SUMIF('数据-基础表'!$11:$11,"住宅",'数据-基础表'!$5:$5)</f>
        <v>0</v>
      </c>
      <c r="F5" s="1392"/>
      <c r="G5" s="1399"/>
      <c r="H5" s="1247" t="s">
        <v>1911</v>
      </c>
      <c r="I5" s="55" t="e">
        <f>ROUND(E31/D31,2)</f>
        <v>#DIV/0!</v>
      </c>
      <c r="J5" s="1392"/>
      <c r="K5" s="1392"/>
      <c r="L5" s="1392"/>
      <c r="M5" s="1392"/>
      <c r="N5" s="1392"/>
      <c r="O5" s="1392"/>
      <c r="P5" s="1392"/>
    </row>
    <row r="6" spans="1:16" ht="15" thickBot="1">
      <c r="A6" s="2231"/>
      <c r="B6" s="3062" t="s">
        <v>1916</v>
      </c>
      <c r="C6" s="3062"/>
      <c r="D6" s="48">
        <f>ROUND($D$3*E6/$E$3,2)</f>
        <v>0</v>
      </c>
      <c r="E6" s="49">
        <f>E3-E5</f>
        <v>25398.790000000015</v>
      </c>
      <c r="F6" s="1392"/>
      <c r="G6" s="2232" t="s">
        <v>1917</v>
      </c>
      <c r="H6" s="1399" t="s">
        <v>1918</v>
      </c>
      <c r="I6" s="939" t="e">
        <f>ROUND(F31/D31,2)</f>
        <v>#DIV/0!</v>
      </c>
      <c r="J6" s="1392"/>
      <c r="K6" s="1392"/>
      <c r="L6" s="1392"/>
      <c r="M6" s="1392"/>
      <c r="N6" s="1392"/>
      <c r="O6" s="1392"/>
      <c r="P6" s="1392"/>
    </row>
    <row r="7" spans="1:16" ht="15">
      <c r="A7" s="3054"/>
      <c r="B7" s="3055"/>
      <c r="C7" s="3056"/>
      <c r="D7" s="2228" t="s">
        <v>1912</v>
      </c>
      <c r="E7" s="2233" t="s">
        <v>1919</v>
      </c>
      <c r="F7" s="1392"/>
      <c r="G7" s="2225" t="s">
        <v>1920</v>
      </c>
      <c r="H7" s="64"/>
      <c r="I7" s="420"/>
      <c r="J7" s="1392"/>
      <c r="K7" s="1392"/>
      <c r="L7" s="1392"/>
      <c r="M7" s="1392"/>
      <c r="N7" s="1392"/>
      <c r="O7" s="1392"/>
      <c r="P7" s="1392"/>
    </row>
    <row r="8" spans="1:16">
      <c r="A8" s="47" t="s">
        <v>1921</v>
      </c>
      <c r="B8" s="50" t="s">
        <v>1922</v>
      </c>
      <c r="C8" s="48" t="s">
        <v>1923</v>
      </c>
      <c r="D8" s="48">
        <f t="shared" ref="D8:D15" si="0">ROUND($D$3*E8/$E$3,2)</f>
        <v>0</v>
      </c>
      <c r="E8" s="51">
        <f>SUMIF('数据-基础表'!BB10:BK10,"地上",'数据-基础表'!BB5:BK5)</f>
        <v>25398.790000000005</v>
      </c>
      <c r="F8" s="1392"/>
      <c r="G8" s="2234"/>
      <c r="H8" s="2234"/>
      <c r="I8" s="1392"/>
      <c r="J8" s="1392"/>
      <c r="K8" s="1392"/>
      <c r="L8" s="1392"/>
      <c r="M8" s="1392"/>
      <c r="N8" s="1392"/>
      <c r="O8" s="1392"/>
      <c r="P8" s="1392"/>
    </row>
    <row r="9" spans="1:16">
      <c r="A9" s="2235"/>
      <c r="B9" s="2236"/>
      <c r="C9" s="48" t="s">
        <v>1924</v>
      </c>
      <c r="D9" s="48">
        <f t="shared" si="0"/>
        <v>0</v>
      </c>
      <c r="E9" s="52">
        <v>0</v>
      </c>
      <c r="F9" s="1392"/>
      <c r="G9" s="2234"/>
      <c r="H9" s="2234"/>
      <c r="I9" s="1392"/>
      <c r="J9" s="1392"/>
      <c r="K9" s="1392"/>
      <c r="L9" s="1392"/>
      <c r="M9" s="1392"/>
      <c r="N9" s="1392"/>
      <c r="O9" s="1392"/>
      <c r="P9" s="1392"/>
    </row>
    <row r="10" spans="1:16">
      <c r="A10" s="2235"/>
      <c r="B10" s="2236"/>
      <c r="C10" s="48" t="s">
        <v>1933</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1925</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1926</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1927</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1939</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1934</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1928</v>
      </c>
      <c r="D16" s="50">
        <f>SUM(D8:D15)</f>
        <v>0</v>
      </c>
      <c r="E16" s="53">
        <f>SUM(E8:E15)</f>
        <v>25398.790000000005</v>
      </c>
      <c r="F16" s="1392"/>
      <c r="G16" s="2234"/>
      <c r="H16" s="2237" t="s">
        <v>1940</v>
      </c>
      <c r="I16" s="2238"/>
      <c r="J16" s="1392"/>
      <c r="K16" s="3051" t="s">
        <v>1940</v>
      </c>
      <c r="L16" s="3052"/>
      <c r="M16" s="3052"/>
      <c r="N16" s="3052"/>
      <c r="O16" s="3052"/>
      <c r="P16" s="3053"/>
    </row>
    <row r="17" spans="1:19" ht="15">
      <c r="A17" s="2239" t="s">
        <v>1941</v>
      </c>
      <c r="B17" s="2240" t="s">
        <v>1942</v>
      </c>
      <c r="C17" s="2241" t="s">
        <v>1943</v>
      </c>
      <c r="D17" s="2242" t="s">
        <v>1931</v>
      </c>
      <c r="E17" s="2243" t="s">
        <v>1932</v>
      </c>
      <c r="F17" s="2244"/>
      <c r="G17" s="2245"/>
      <c r="H17" s="2246" t="s">
        <v>1944</v>
      </c>
      <c r="I17" s="2247" t="s">
        <v>1929</v>
      </c>
      <c r="J17" s="1392"/>
      <c r="K17" s="3048" t="s">
        <v>1945</v>
      </c>
      <c r="L17" s="3049"/>
      <c r="M17" s="3050"/>
      <c r="N17" s="3048" t="s">
        <v>1946</v>
      </c>
      <c r="O17" s="3049"/>
      <c r="P17" s="3050"/>
      <c r="R17" s="2225" t="s">
        <v>1947</v>
      </c>
      <c r="S17" s="64"/>
    </row>
    <row r="18" spans="1:19" ht="15">
      <c r="A18" s="2235"/>
      <c r="B18" s="2248"/>
      <c r="C18" s="2249"/>
      <c r="D18" s="2250"/>
      <c r="E18" s="2251" t="s">
        <v>1948</v>
      </c>
      <c r="F18" s="2252" t="s">
        <v>1949</v>
      </c>
      <c r="G18" s="2253" t="s">
        <v>1950</v>
      </c>
      <c r="H18" s="1262" t="s">
        <v>1951</v>
      </c>
      <c r="I18" s="2254" t="s">
        <v>1952</v>
      </c>
      <c r="J18" s="1392"/>
      <c r="K18" s="1262" t="s">
        <v>1953</v>
      </c>
      <c r="L18" s="2255" t="s">
        <v>1954</v>
      </c>
      <c r="M18" s="1046" t="s">
        <v>1955</v>
      </c>
      <c r="N18" s="1262" t="s">
        <v>1953</v>
      </c>
      <c r="O18" s="2255" t="s">
        <v>1954</v>
      </c>
      <c r="P18" s="1046" t="s">
        <v>1955</v>
      </c>
      <c r="R18" s="1247" t="s">
        <v>1956</v>
      </c>
      <c r="S18" s="1247" t="s">
        <v>1957</v>
      </c>
    </row>
    <row r="19" spans="1:19">
      <c r="A19" s="2256"/>
      <c r="B19" s="50" t="s">
        <v>1930</v>
      </c>
      <c r="C19" s="2950" t="s">
        <v>3344</v>
      </c>
      <c r="D19" s="48">
        <f>ROUND($D$3*E19/$E$3,2)</f>
        <v>0</v>
      </c>
      <c r="E19" s="56">
        <f t="shared" ref="E19:E26" si="1">SUM(F19:G19)</f>
        <v>21431.910000000003</v>
      </c>
      <c r="F19" s="57">
        <f>'数据-基础表'!I5</f>
        <v>21431.910000000003</v>
      </c>
      <c r="G19" s="58"/>
      <c r="H19" s="720">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0</v>
      </c>
      <c r="S19" s="1248">
        <f t="shared" si="5"/>
        <v>21431.910000000003</v>
      </c>
    </row>
    <row r="20" spans="1:19">
      <c r="A20" s="2259"/>
      <c r="B20" s="50" t="s">
        <v>1958</v>
      </c>
      <c r="C20" s="2950" t="s">
        <v>3461</v>
      </c>
      <c r="D20" s="48">
        <f t="shared" ref="D20:D26" si="6">ROUND($D$3*E20/$E$3,2)</f>
        <v>0</v>
      </c>
      <c r="E20" s="56">
        <f t="shared" si="1"/>
        <v>3966.8800000000006</v>
      </c>
      <c r="F20" s="57">
        <f>'数据-基础表'!K5-'数据-汇总表'!F21</f>
        <v>3966.8800000000006</v>
      </c>
      <c r="G20" s="58"/>
      <c r="H20" s="720">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3966.8800000000006</v>
      </c>
    </row>
    <row r="21" spans="1:19">
      <c r="A21" s="2259"/>
      <c r="B21" s="50" t="s">
        <v>1958</v>
      </c>
      <c r="C21" s="2950"/>
      <c r="D21" s="48">
        <f t="shared" si="6"/>
        <v>0</v>
      </c>
      <c r="E21" s="56">
        <f t="shared" si="1"/>
        <v>0</v>
      </c>
      <c r="F21" s="57"/>
      <c r="G21" s="58"/>
      <c r="H21" s="720">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1958</v>
      </c>
      <c r="C22" s="60"/>
      <c r="D22" s="48">
        <f t="shared" si="6"/>
        <v>0</v>
      </c>
      <c r="E22" s="56">
        <f t="shared" si="1"/>
        <v>0</v>
      </c>
      <c r="F22" s="61"/>
      <c r="G22" s="62"/>
      <c r="H22" s="720">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1958</v>
      </c>
      <c r="C23" s="60"/>
      <c r="D23" s="48">
        <f>ROUND($D$3*E23/$E$3,2)</f>
        <v>0</v>
      </c>
      <c r="E23" s="56">
        <f>SUM(F23:G23)</f>
        <v>0</v>
      </c>
      <c r="F23" s="61"/>
      <c r="G23" s="62"/>
      <c r="H23" s="720">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1958</v>
      </c>
      <c r="C24" s="60"/>
      <c r="D24" s="48">
        <f>ROUND($D$3*E24/$E$3,2)</f>
        <v>0</v>
      </c>
      <c r="E24" s="56">
        <f>SUM(F24:G24)</f>
        <v>0</v>
      </c>
      <c r="F24" s="61"/>
      <c r="G24" s="62"/>
      <c r="H24" s="720">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1959</v>
      </c>
      <c r="D27" s="1393">
        <f>SUM(D19:D26)</f>
        <v>0</v>
      </c>
      <c r="E27" s="1394">
        <f>IF(SUM(E19:E26)='数据-基础表'!BA5,SUM(E19:E26),IF(F27="地上面积有误","面积有误","地下面积有误"))</f>
        <v>25398.790000000005</v>
      </c>
      <c r="F27" s="1393">
        <f>IF(SUM(F19:F26)=E8,SUM(F19:F26),"地上面积有误")</f>
        <v>25398.790000000005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25398.790000000005</v>
      </c>
    </row>
    <row r="28" spans="1:19">
      <c r="A28" s="2259"/>
      <c r="B28" s="50" t="s">
        <v>1960</v>
      </c>
      <c r="C28" s="1259" t="s">
        <v>1961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1960</v>
      </c>
      <c r="C29" s="2263"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1963</v>
      </c>
      <c r="D31" s="726">
        <f>D27+D30</f>
        <v>0</v>
      </c>
      <c r="E31" s="726">
        <f>E27+E30</f>
        <v>25398.790000000005</v>
      </c>
      <c r="F31" s="727">
        <f>F27+F30</f>
        <v>25398.790000000005</v>
      </c>
      <c r="G31" s="728">
        <f>G27+G30</f>
        <v>0</v>
      </c>
      <c r="H31" s="1392"/>
      <c r="I31" s="1392"/>
      <c r="J31" s="1392"/>
      <c r="K31" s="1392"/>
      <c r="L31" s="1392"/>
      <c r="M31" s="1392"/>
      <c r="N31" s="1392"/>
      <c r="O31" s="1392"/>
      <c r="P31" s="1392"/>
    </row>
    <row r="32" spans="1:19">
      <c r="A32" s="2230"/>
      <c r="B32" s="2230" t="s">
        <v>1964</v>
      </c>
      <c r="C32" s="2230"/>
      <c r="D32" s="2230"/>
      <c r="E32" s="1274">
        <f>SUMIF(C19:C26,"*住宅*",E19:E26)</f>
        <v>0</v>
      </c>
      <c r="F32" s="2230"/>
      <c r="G32" s="2230"/>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S22" sqref="S2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29"/>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1966</v>
      </c>
      <c r="B2" s="1266">
        <f>项目基本情况!D3</f>
        <v>43335</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1" t="s">
        <v>1971</v>
      </c>
      <c r="AA4" s="2241"/>
      <c r="AB4" s="2241"/>
      <c r="AC4" s="2241"/>
      <c r="AD4" s="2241"/>
      <c r="AE4" s="2239" t="s">
        <v>1972</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1973</v>
      </c>
      <c r="B5" s="2286" t="s">
        <v>1974</v>
      </c>
      <c r="C5" s="2287" t="s">
        <v>1975</v>
      </c>
      <c r="D5" s="2288" t="s">
        <v>1976</v>
      </c>
      <c r="E5" s="1268" t="s">
        <v>1977</v>
      </c>
      <c r="F5" s="2289" t="s">
        <v>1978</v>
      </c>
      <c r="G5" s="1268" t="s">
        <v>1979</v>
      </c>
      <c r="H5" s="1268" t="s">
        <v>1980</v>
      </c>
      <c r="I5" s="1268" t="s">
        <v>1981</v>
      </c>
      <c r="J5" s="2290" t="s">
        <v>1982</v>
      </c>
      <c r="K5" s="2291" t="s">
        <v>1983</v>
      </c>
      <c r="L5" s="2292" t="s">
        <v>1984</v>
      </c>
      <c r="M5" s="2293" t="s">
        <v>1985</v>
      </c>
      <c r="N5" s="2294" t="s">
        <v>3347</v>
      </c>
      <c r="O5" s="2292" t="s">
        <v>1986</v>
      </c>
      <c r="P5" s="2295" t="s">
        <v>1987</v>
      </c>
      <c r="Q5" s="69" t="s">
        <v>1988</v>
      </c>
      <c r="R5" s="2296" t="s">
        <v>1989</v>
      </c>
      <c r="S5" s="2297" t="s">
        <v>1990</v>
      </c>
      <c r="T5" s="2298" t="s">
        <v>1991</v>
      </c>
      <c r="U5" s="1267" t="s">
        <v>1992</v>
      </c>
      <c r="V5" s="1268" t="s">
        <v>1993</v>
      </c>
      <c r="W5" s="1268" t="s">
        <v>1994</v>
      </c>
      <c r="X5" s="71"/>
      <c r="Y5" s="70" t="s">
        <v>1995</v>
      </c>
      <c r="Z5" s="2299" t="s">
        <v>1992</v>
      </c>
      <c r="AA5" s="1268" t="s">
        <v>1993</v>
      </c>
      <c r="AB5" s="1268" t="s">
        <v>1994</v>
      </c>
      <c r="AC5" s="71"/>
      <c r="AD5" s="71" t="s">
        <v>1995</v>
      </c>
      <c r="AE5" s="1267" t="s">
        <v>1996</v>
      </c>
      <c r="AF5" s="1268" t="s">
        <v>1997</v>
      </c>
      <c r="AG5" s="70" t="s">
        <v>1998</v>
      </c>
      <c r="AH5" s="1267" t="s">
        <v>1999</v>
      </c>
      <c r="AI5" s="2299" t="s">
        <v>2000</v>
      </c>
      <c r="AJ5" s="2299" t="s">
        <v>2001</v>
      </c>
      <c r="AK5" s="1268" t="s">
        <v>2002</v>
      </c>
      <c r="AL5" s="1268" t="s">
        <v>2003</v>
      </c>
      <c r="AM5" s="70" t="s">
        <v>2004</v>
      </c>
      <c r="AN5" s="2300" t="s">
        <v>2005</v>
      </c>
      <c r="AO5" s="2071" t="s">
        <v>2006</v>
      </c>
      <c r="AP5" s="1249" t="s">
        <v>2007</v>
      </c>
      <c r="AQ5" s="2301" t="s">
        <v>2008</v>
      </c>
      <c r="AR5" s="2301" t="s">
        <v>2009</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2" t="str">
        <f>'数据-汇总表'!C19</f>
        <v>商住</v>
      </c>
      <c r="B6" s="2303" t="str">
        <f>IF(A6=0,"","经营性")</f>
        <v>经营性</v>
      </c>
      <c r="C6" s="2304" t="s">
        <v>27</v>
      </c>
      <c r="D6" s="1051">
        <f>SUMIF(项目基本情况!D$12:I$12,C6,项目基本情况!D$14:I$14)</f>
        <v>50</v>
      </c>
      <c r="E6" s="1048">
        <f>IF(B6="","",SUMIF(项目基本情况!D$12:I$12,C6,项目基本情况!D$13:I$13))</f>
        <v>59068</v>
      </c>
      <c r="F6" s="72">
        <f>SUMIF(项目基本情况!D$12:I$12,C6,项目基本情况!D$15:I$15)</f>
        <v>43.1</v>
      </c>
      <c r="G6" s="73">
        <f>IF(ISERROR(ROUND(POWER(1+H6,D6-F6)*(POWER(1+H6,F6)-1)/(POWER(1+H6,D6)-1),3)),0,ROUND(POWER(1+H6,D6-F6)*(POWER(1+H6,F6)-1)/(POWER(1+H6,D6)-1),3))</f>
        <v>0.95599999999999996</v>
      </c>
      <c r="H6" s="799">
        <v>4.4999999999999998E-2</v>
      </c>
      <c r="I6" s="799">
        <v>0.05</v>
      </c>
      <c r="J6" s="74">
        <v>8.5000000000000006E-2</v>
      </c>
      <c r="K6" s="1251">
        <f>SUMIF('数据-汇总表'!C$19:C$33,A6,'数据-汇总表'!E$19:E$33)</f>
        <v>21431.910000000003</v>
      </c>
      <c r="L6" s="800">
        <v>4000</v>
      </c>
      <c r="M6" s="75">
        <f t="shared" ref="M6:M14" si="0">ROUND(K6*L6/10000,0)</f>
        <v>8573</v>
      </c>
      <c r="N6" s="798">
        <f>ROUND(1-(2018-2014)/60,2)</f>
        <v>0.93</v>
      </c>
      <c r="O6" s="75" t="str">
        <f>IF($N$5="成新度","——",ROUND(M6*N6,0))</f>
        <v>——</v>
      </c>
      <c r="P6" s="76" t="str">
        <f>IF($N$5="成新度","——",M6-O6)</f>
        <v>——</v>
      </c>
      <c r="Q6" s="801">
        <v>0.1</v>
      </c>
      <c r="R6" s="77">
        <f ca="1">SUMIF('数据-汇总表'!C$19:C$33,A6,'数据-汇总表'!R$19:R$27)</f>
        <v>0</v>
      </c>
      <c r="S6" s="54">
        <f>IF('数据-汇总表'!$I$17="按面积比例",SUMIF('数据-汇总表'!C$19:C$33,A6,'数据-汇总表'!K$19:K$33),SUMIF('数据-汇总表'!C$19:C$33,A6,'数据-汇总表'!N$19:N$33))</f>
        <v>0</v>
      </c>
      <c r="T6" s="1443">
        <f>ROUND($L$14*S6/10000,0)</f>
        <v>0</v>
      </c>
      <c r="U6" s="78">
        <v>1.8</v>
      </c>
      <c r="V6" s="79">
        <v>0.03</v>
      </c>
      <c r="W6" s="79">
        <v>0.1</v>
      </c>
      <c r="X6" s="1261"/>
      <c r="Y6" s="80">
        <f>N6</f>
        <v>0.93</v>
      </c>
      <c r="Z6" s="81"/>
      <c r="AA6" s="74"/>
      <c r="AB6" s="74"/>
      <c r="AC6" s="1261"/>
      <c r="AD6" s="82"/>
      <c r="AE6" s="1262">
        <f ca="1">IF(AN6="",0,SUMIF(INDIRECT("'"&amp;AN6&amp;"'"&amp;"!E:E"),$AE$5,INDIRECT("'"&amp;AN6&amp;"'"&amp;"!F:F")))</f>
        <v>43.1</v>
      </c>
      <c r="AF6" s="1803"/>
      <c r="AG6" s="147">
        <f>IF(AF6="",0,AE6-AF6)</f>
        <v>0</v>
      </c>
      <c r="AH6" s="83"/>
      <c r="AI6" s="85">
        <v>365</v>
      </c>
      <c r="AJ6" s="86"/>
      <c r="AK6" s="87">
        <v>0.02</v>
      </c>
      <c r="AL6" s="88">
        <v>2E-3</v>
      </c>
      <c r="AM6" s="89">
        <v>0.02</v>
      </c>
      <c r="AN6" s="2305" t="s">
        <v>3349</v>
      </c>
      <c r="AO6" s="55">
        <f ca="1">SUMIF(INDIRECT("'"&amp;AN6&amp;"'"&amp;"!A:A"),"总价",INDIRECT("'"&amp;AN6&amp;"'"&amp;"!B:B"))</f>
        <v>21552</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t="str">
        <f>'数据-汇总表'!C20</f>
        <v>底商</v>
      </c>
      <c r="B7" s="2303" t="str">
        <f t="shared" ref="B7:B13" si="1">IF(A7=0,"","经营性")</f>
        <v>经营性</v>
      </c>
      <c r="C7" s="2304" t="s">
        <v>1377</v>
      </c>
      <c r="D7" s="1051">
        <f>SUMIF(项目基本情况!D$12:I$12,C7,项目基本情况!D$14:I$14)</f>
        <v>40</v>
      </c>
      <c r="E7" s="1048">
        <f>IF(B7="","",SUMIF(项目基本情况!D$12:I$12,C7,项目基本情况!D$13:I$13))</f>
        <v>55415</v>
      </c>
      <c r="F7" s="72">
        <f>SUMIF(项目基本情况!D$12:I$12,C7,项目基本情况!D$15:I$15)</f>
        <v>33.090000000000003</v>
      </c>
      <c r="G7" s="73">
        <f t="shared" ref="G7:G11" si="2">IF(ISERROR(ROUND(POWER(1+H7,D7-F7)*(POWER(1+H7,F7)-1)/(POWER(1+H7,D7)-1),3)),0,ROUND(POWER(1+H7,D7-F7)*(POWER(1+H7,F7)-1)/(POWER(1+H7,D7)-1),3))</f>
        <v>0.93400000000000005</v>
      </c>
      <c r="H7" s="799">
        <v>0.05</v>
      </c>
      <c r="I7" s="799">
        <v>0.06</v>
      </c>
      <c r="J7" s="74">
        <v>8.5000000000000006E-2</v>
      </c>
      <c r="K7" s="1251">
        <f>SUMIF('数据-汇总表'!C$19:C$33,A7,'数据-汇总表'!E$19:E$33)</f>
        <v>3966.8800000000006</v>
      </c>
      <c r="L7" s="800">
        <v>4000</v>
      </c>
      <c r="M7" s="75">
        <f t="shared" si="0"/>
        <v>1587</v>
      </c>
      <c r="N7" s="798">
        <f>ROUND(1-(2018-2014)/60,2)</f>
        <v>0.93</v>
      </c>
      <c r="O7" s="75" t="str">
        <f t="shared" ref="O7:O14" si="3">IF($N$5="成新度","——",ROUND(M7*N7,0))</f>
        <v>——</v>
      </c>
      <c r="P7" s="76" t="str">
        <f t="shared" ref="P7:P14" si="4">IF($N$5="成新度","——",M7-O7)</f>
        <v>——</v>
      </c>
      <c r="Q7" s="801">
        <v>0.15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v>2.5</v>
      </c>
      <c r="V7" s="79">
        <v>0.03</v>
      </c>
      <c r="W7" s="79">
        <v>0.1</v>
      </c>
      <c r="X7" s="1261"/>
      <c r="Y7" s="80">
        <f>N7</f>
        <v>0.93</v>
      </c>
      <c r="Z7" s="81"/>
      <c r="AA7" s="74"/>
      <c r="AB7" s="74"/>
      <c r="AC7" s="1261"/>
      <c r="AD7" s="82"/>
      <c r="AE7" s="1262">
        <f t="shared" ref="AE7:AE13" ca="1" si="6">IF(AN7="",0,SUMIF(INDIRECT("'"&amp;AN7&amp;"'"&amp;"!E:E"),$AE$5,INDIRECT("'"&amp;AN7&amp;"'"&amp;"!F:F")))</f>
        <v>33.090000000000003</v>
      </c>
      <c r="AF7" s="1803"/>
      <c r="AG7" s="147">
        <f t="shared" ref="AG7:AG13" si="7">IF(AF7="",0,AE7-AF7)</f>
        <v>0</v>
      </c>
      <c r="AH7" s="83"/>
      <c r="AI7" s="85">
        <v>365</v>
      </c>
      <c r="AJ7" s="86"/>
      <c r="AK7" s="87">
        <v>0.02</v>
      </c>
      <c r="AL7" s="88">
        <v>2E-3</v>
      </c>
      <c r="AM7" s="89">
        <v>0.02</v>
      </c>
      <c r="AN7" s="2305" t="s">
        <v>3351</v>
      </c>
      <c r="AO7" s="55">
        <f t="shared" ref="AO7:AO13" ca="1" si="8">SUMIF(INDIRECT("'"&amp;AN7&amp;"'"&amp;"!A:A"),"总价",INDIRECT("'"&amp;AN7&amp;"'"&amp;"!B:B"))</f>
        <v>4354</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51">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3">
        <f t="shared" si="5"/>
        <v>0</v>
      </c>
      <c r="U8" s="802"/>
      <c r="V8" s="803"/>
      <c r="W8" s="803"/>
      <c r="X8" s="1261"/>
      <c r="Y8" s="804"/>
      <c r="Z8" s="81"/>
      <c r="AA8" s="74"/>
      <c r="AB8" s="74"/>
      <c r="AC8" s="1261"/>
      <c r="AD8" s="82"/>
      <c r="AE8" s="1262">
        <f t="shared" ca="1" si="6"/>
        <v>0</v>
      </c>
      <c r="AF8" s="1803"/>
      <c r="AG8" s="147">
        <f t="shared" si="7"/>
        <v>0</v>
      </c>
      <c r="AH8" s="805"/>
      <c r="AI8" s="85"/>
      <c r="AJ8" s="86"/>
      <c r="AK8" s="806"/>
      <c r="AL8" s="807"/>
      <c r="AM8" s="808"/>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2010</v>
      </c>
      <c r="B14" s="2303" t="s">
        <v>2011</v>
      </c>
      <c r="C14" s="2308" t="s">
        <v>2010</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0"/>
      <c r="V14" s="1256"/>
      <c r="W14" s="1256"/>
      <c r="X14" s="1257"/>
      <c r="Y14" s="1258"/>
      <c r="Z14" s="1259"/>
      <c r="AA14" s="1260"/>
      <c r="AB14" s="1260"/>
      <c r="AC14" s="1261"/>
      <c r="AD14" s="1257"/>
      <c r="AE14" s="1262"/>
      <c r="AF14" s="55"/>
      <c r="AG14" s="147"/>
      <c r="AH14" s="1262"/>
      <c r="AI14" s="1814"/>
      <c r="AJ14" s="770"/>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2012</v>
      </c>
      <c r="B15" s="2303" t="s">
        <v>2011</v>
      </c>
      <c r="C15" s="2308"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0"/>
      <c r="V15" s="1256"/>
      <c r="W15" s="1256"/>
      <c r="X15" s="1257"/>
      <c r="Y15" s="1258"/>
      <c r="Z15" s="1259"/>
      <c r="AA15" s="1260"/>
      <c r="AB15" s="1260"/>
      <c r="AC15" s="1261"/>
      <c r="AD15" s="1257"/>
      <c r="AE15" s="1262"/>
      <c r="AF15" s="55"/>
      <c r="AG15" s="147"/>
      <c r="AH15" s="1262"/>
      <c r="AI15" s="1814"/>
      <c r="AJ15" s="770"/>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2014</v>
      </c>
      <c r="B16" s="97"/>
      <c r="C16" s="1005"/>
      <c r="D16" s="2310"/>
      <c r="E16" s="97"/>
      <c r="F16" s="97"/>
      <c r="G16" s="98">
        <f>ROUND(SUMPRODUCT(G6:G13,K6:K13)/SUMPRODUCT((G6:G13&gt;0)*(K6:K13)),3)</f>
        <v>0.95299999999999996</v>
      </c>
      <c r="H16" s="99">
        <f>ROUND(SUMPRODUCT(H6:H13,K6:K13)/SUMPRODUCT((H6:H13&gt;0)*(K6:K13)),3)</f>
        <v>4.5999999999999999E-2</v>
      </c>
      <c r="I16" s="100"/>
      <c r="J16" s="100"/>
      <c r="K16" s="101">
        <f>SUM(K6:K15)</f>
        <v>25398.790000000005</v>
      </c>
      <c r="L16" s="102">
        <f>ROUND(M16*10000/SUM(K6:K14),0)</f>
        <v>4000</v>
      </c>
      <c r="M16" s="102">
        <f>SUM(M6:M14)</f>
        <v>10160</v>
      </c>
      <c r="N16" s="103">
        <f>ROUND(SUMPRODUCT(M6:M14,N6:N14)/M16,3)</f>
        <v>0.93</v>
      </c>
      <c r="O16" s="102">
        <f>SUM(O6:O14)</f>
        <v>0</v>
      </c>
      <c r="P16" s="102">
        <f>SUM(P6:P14)</f>
        <v>0</v>
      </c>
      <c r="Q16" s="104">
        <f>ROUND(SUMPRODUCT(Q6:Q13,K6:K13)/SUMPRODUCT((Q6:Q13&gt;0)*(K6:K13)),2)</f>
        <v>0.11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9"/>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2016</v>
      </c>
      <c r="B19" s="112">
        <v>0</v>
      </c>
      <c r="C19" s="2273" t="s">
        <v>2017</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2018</v>
      </c>
      <c r="B20" s="113">
        <v>2</v>
      </c>
      <c r="C20" s="2273" t="s">
        <v>2019</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2020</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2021</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2022</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2023</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2024</v>
      </c>
      <c r="B26" s="2316" t="s">
        <v>2025</v>
      </c>
      <c r="C26" s="2317" t="s">
        <v>2026</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2027</v>
      </c>
      <c r="B27" s="116">
        <v>140</v>
      </c>
      <c r="C27" s="1764" t="s">
        <v>2028</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2029</v>
      </c>
      <c r="B28" s="119">
        <v>170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2030</v>
      </c>
      <c r="B29" s="121">
        <f>ROUND(B28*K16/10000,0)</f>
        <v>432</v>
      </c>
      <c r="C29" s="1764" t="s">
        <v>2031</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2032</v>
      </c>
      <c r="B30" s="721">
        <v>200</v>
      </c>
      <c r="C30" s="2322" t="s">
        <v>3354</v>
      </c>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2033</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2034</v>
      </c>
      <c r="B32" s="722">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2035</v>
      </c>
      <c r="B33" s="723">
        <v>0.03</v>
      </c>
      <c r="C33" s="1763" t="s">
        <v>2036</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2037</v>
      </c>
      <c r="B34" s="122">
        <v>0</v>
      </c>
      <c r="C34" s="1763" t="s">
        <v>2038</v>
      </c>
      <c r="D34" s="2274" t="s">
        <v>2039</v>
      </c>
      <c r="E34" s="729"/>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2040</v>
      </c>
      <c r="B35" s="119">
        <v>200</v>
      </c>
      <c r="C35" s="1763" t="s">
        <v>2041</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2042</v>
      </c>
      <c r="B36" s="123">
        <v>1.4999999999999999E-2</v>
      </c>
      <c r="C36" s="1763" t="s">
        <v>2043</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2044</v>
      </c>
      <c r="B37" s="124">
        <v>0.02</v>
      </c>
      <c r="C37" s="1763" t="s">
        <v>2045</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2046</v>
      </c>
      <c r="B38" s="122">
        <v>0.02</v>
      </c>
      <c r="C38" s="1763" t="s">
        <v>2045</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2047</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2048</v>
      </c>
      <c r="B40" s="1300">
        <f ca="1">存贷款利率!G1</f>
        <v>4.7500000000000001E-2</v>
      </c>
      <c r="C40" s="1763" t="s">
        <v>2049</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2050</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2051</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2052</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2053</v>
      </c>
      <c r="B44" s="128">
        <v>0.05</v>
      </c>
      <c r="C44" s="1763" t="s">
        <v>2054</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2055</v>
      </c>
      <c r="B45" s="126">
        <v>0.03</v>
      </c>
      <c r="C45" s="1764" t="s">
        <v>2056</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2057</v>
      </c>
      <c r="B46" s="126">
        <v>0.02</v>
      </c>
      <c r="C46" s="1764" t="s">
        <v>2058</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2059</v>
      </c>
      <c r="B47" s="129">
        <v>0</v>
      </c>
      <c r="C47" s="1764" t="s">
        <v>2060</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2061</v>
      </c>
      <c r="B48" s="130">
        <v>0.03</v>
      </c>
      <c r="C48" s="1770" t="s">
        <v>2062</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2063</v>
      </c>
      <c r="B49" s="126">
        <v>5.0000000000000001E-4</v>
      </c>
      <c r="C49" s="1770" t="s">
        <v>2064</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2065</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2066</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2067</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2068</v>
      </c>
      <c r="B53" s="2332" t="s">
        <v>56</v>
      </c>
      <c r="C53" s="1427" t="s">
        <v>2069</v>
      </c>
      <c r="D53" s="2333" t="s">
        <v>2070</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2071</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2072</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2073</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2074</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2075</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2076</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2077</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2078</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2079</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2080</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5"/>
      <c r="L64" s="795"/>
    </row>
    <row r="65" spans="1:12" s="964" customFormat="1">
      <c r="A65" s="2337"/>
      <c r="D65" s="2338"/>
      <c r="K65" s="795"/>
      <c r="L65" s="795"/>
    </row>
    <row r="66" spans="1:12" s="964" customFormat="1">
      <c r="A66" s="2337"/>
      <c r="D66" s="2338"/>
      <c r="K66" s="795"/>
      <c r="L66" s="795"/>
    </row>
    <row r="67" spans="1:12" s="964" customFormat="1">
      <c r="A67" s="2337"/>
      <c r="D67" s="2338"/>
      <c r="K67" s="795"/>
      <c r="L67" s="795"/>
    </row>
    <row r="68" spans="1:12" s="964" customFormat="1">
      <c r="A68" s="2337"/>
      <c r="D68" s="2338"/>
      <c r="K68" s="795"/>
      <c r="L68" s="795"/>
    </row>
    <row r="69" spans="1:12" s="964" customFormat="1">
      <c r="A69" s="2337"/>
      <c r="D69" s="2338"/>
      <c r="K69" s="795"/>
      <c r="L69" s="795"/>
    </row>
    <row r="70" spans="1:12" s="964" customFormat="1">
      <c r="A70" s="2337"/>
      <c r="D70" s="2338"/>
      <c r="K70" s="795"/>
      <c r="L70" s="795"/>
    </row>
    <row r="71" spans="1:12" s="964" customFormat="1">
      <c r="A71" s="2337"/>
      <c r="D71" s="2338"/>
      <c r="K71" s="795"/>
      <c r="L71" s="795"/>
    </row>
    <row r="72" spans="1:12" s="964" customFormat="1">
      <c r="A72" s="2337"/>
      <c r="D72" s="2338"/>
      <c r="K72" s="795"/>
      <c r="L72" s="795"/>
    </row>
    <row r="73" spans="1:12" s="964" customFormat="1">
      <c r="A73" s="2337"/>
      <c r="D73" s="2338"/>
      <c r="K73" s="795"/>
      <c r="L73" s="795"/>
    </row>
    <row r="74" spans="1:12" s="964" customFormat="1">
      <c r="A74" s="2337"/>
      <c r="D74" s="2338"/>
      <c r="K74" s="795"/>
      <c r="L74" s="795"/>
    </row>
    <row r="75" spans="1:12" s="964" customFormat="1">
      <c r="A75" s="2337"/>
      <c r="D75" s="2338"/>
      <c r="K75" s="795"/>
      <c r="L75" s="795"/>
    </row>
    <row r="76" spans="1:12" s="964" customFormat="1">
      <c r="A76" s="2337"/>
      <c r="D76" s="2338"/>
      <c r="K76" s="795"/>
      <c r="L76" s="795"/>
    </row>
    <row r="77" spans="1:12" s="964" customFormat="1">
      <c r="A77" s="2337"/>
      <c r="D77" s="2338"/>
      <c r="K77" s="795"/>
      <c r="L77" s="795"/>
    </row>
    <row r="78" spans="1:12" s="964" customFormat="1">
      <c r="A78" s="2337"/>
      <c r="D78" s="2338"/>
      <c r="K78" s="795"/>
      <c r="L78" s="795"/>
    </row>
    <row r="79" spans="1:12" s="964" customFormat="1">
      <c r="A79" s="2337"/>
      <c r="D79" s="2338"/>
      <c r="K79" s="795"/>
      <c r="L79" s="795"/>
    </row>
    <row r="80" spans="1:12" s="964" customFormat="1">
      <c r="A80" s="2337"/>
      <c r="D80" s="2338"/>
      <c r="K80" s="795"/>
      <c r="L80" s="795"/>
    </row>
    <row r="81" spans="1:12" s="964" customFormat="1">
      <c r="A81" s="2337"/>
      <c r="D81" s="2338"/>
      <c r="K81" s="795"/>
      <c r="L81" s="795"/>
    </row>
    <row r="82" spans="1:12" s="964" customFormat="1">
      <c r="A82" s="2337"/>
      <c r="D82" s="2338"/>
      <c r="K82" s="795"/>
      <c r="L82" s="795"/>
    </row>
    <row r="83" spans="1:12" s="964" customFormat="1">
      <c r="A83" s="2337"/>
      <c r="D83" s="2338"/>
      <c r="K83" s="795"/>
      <c r="L83" s="795"/>
    </row>
    <row r="84" spans="1:12" s="964" customFormat="1">
      <c r="A84" s="2337"/>
      <c r="D84" s="2338"/>
      <c r="K84" s="795"/>
      <c r="L84" s="795"/>
    </row>
    <row r="85" spans="1:12" s="964" customFormat="1">
      <c r="A85" s="2337"/>
      <c r="D85" s="2338"/>
      <c r="K85" s="795"/>
      <c r="L85" s="795"/>
    </row>
    <row r="86" spans="1:12" s="964" customFormat="1">
      <c r="A86" s="2337"/>
      <c r="D86" s="2338"/>
      <c r="K86" s="795"/>
      <c r="L86" s="795"/>
    </row>
    <row r="87" spans="1:12" s="964" customFormat="1">
      <c r="A87" s="2337"/>
      <c r="D87" s="2338"/>
      <c r="K87" s="795"/>
      <c r="L87" s="795"/>
    </row>
    <row r="88" spans="1:12" s="964" customFormat="1">
      <c r="A88" s="2337"/>
      <c r="D88" s="2338"/>
      <c r="K88" s="795"/>
      <c r="L88" s="795"/>
    </row>
    <row r="89" spans="1:12" s="964" customFormat="1">
      <c r="A89" s="2337"/>
      <c r="D89" s="2338"/>
      <c r="K89" s="795"/>
      <c r="L89" s="795"/>
    </row>
    <row r="90" spans="1:12" s="964" customFormat="1">
      <c r="A90" s="2337"/>
      <c r="D90" s="2338"/>
      <c r="K90" s="795"/>
      <c r="L90" s="795"/>
    </row>
    <row r="91" spans="1:12" s="964" customFormat="1">
      <c r="A91" s="2337"/>
      <c r="D91" s="2338"/>
      <c r="K91" s="795"/>
      <c r="L91" s="795"/>
    </row>
    <row r="92" spans="1:12" s="964" customFormat="1">
      <c r="A92" s="2337"/>
      <c r="D92" s="2338"/>
      <c r="K92" s="795"/>
      <c r="L92" s="795"/>
    </row>
    <row r="93" spans="1:12" s="964" customFormat="1">
      <c r="A93" s="2337"/>
      <c r="D93" s="2338"/>
      <c r="K93" s="795"/>
      <c r="L93" s="795"/>
    </row>
    <row r="94" spans="1:12" s="964" customFormat="1">
      <c r="A94" s="2337"/>
      <c r="D94" s="2338"/>
      <c r="K94" s="795"/>
      <c r="L94" s="795"/>
    </row>
    <row r="95" spans="1:12" s="964" customFormat="1">
      <c r="A95" s="2337"/>
      <c r="D95" s="2338"/>
      <c r="K95" s="795"/>
      <c r="L95" s="795"/>
    </row>
    <row r="96" spans="1:12" s="964" customFormat="1">
      <c r="A96" s="2337"/>
      <c r="D96" s="2338"/>
      <c r="K96" s="795"/>
      <c r="L96" s="795"/>
    </row>
    <row r="97" spans="1:12" s="964" customFormat="1">
      <c r="A97" s="2337"/>
      <c r="D97" s="2338"/>
      <c r="K97" s="795"/>
      <c r="L97" s="795"/>
    </row>
    <row r="98" spans="1:12" s="964" customFormat="1">
      <c r="A98" s="2337"/>
      <c r="D98" s="2338"/>
      <c r="K98" s="795"/>
      <c r="L98" s="795"/>
    </row>
    <row r="99" spans="1:12" s="964" customFormat="1">
      <c r="A99" s="2337"/>
      <c r="D99" s="2338"/>
      <c r="K99" s="795"/>
      <c r="L99" s="795"/>
    </row>
    <row r="100" spans="1:12" s="964" customFormat="1">
      <c r="A100" s="2337"/>
      <c r="D100" s="2338"/>
      <c r="K100" s="795"/>
      <c r="L100" s="795"/>
    </row>
    <row r="101" spans="1:12" s="964" customFormat="1">
      <c r="A101" s="2337"/>
      <c r="D101" s="2338"/>
      <c r="K101" s="795"/>
      <c r="L101" s="795"/>
    </row>
    <row r="102" spans="1:12" s="964" customFormat="1">
      <c r="A102" s="2337"/>
      <c r="D102" s="2338"/>
      <c r="K102" s="795"/>
      <c r="L102" s="795"/>
    </row>
    <row r="103" spans="1:12" s="964" customFormat="1">
      <c r="A103" s="2337"/>
      <c r="D103" s="2338"/>
      <c r="K103" s="795"/>
      <c r="L103" s="795"/>
    </row>
    <row r="104" spans="1:12" s="964" customFormat="1">
      <c r="A104" s="2337"/>
      <c r="D104" s="2338"/>
      <c r="K104" s="795"/>
      <c r="L104" s="795"/>
    </row>
    <row r="105" spans="1:12" s="964" customFormat="1">
      <c r="A105" s="2337"/>
      <c r="D105" s="2338"/>
      <c r="K105" s="795"/>
      <c r="L105" s="795"/>
    </row>
    <row r="106" spans="1:12" s="964" customFormat="1">
      <c r="A106" s="2337"/>
      <c r="D106" s="2338"/>
      <c r="K106" s="795"/>
      <c r="L106" s="795"/>
    </row>
    <row r="107" spans="1:12" s="964" customFormat="1">
      <c r="A107" s="2337"/>
      <c r="D107" s="2338"/>
      <c r="K107" s="795"/>
      <c r="L107" s="795"/>
    </row>
    <row r="108" spans="1:12" s="964" customFormat="1">
      <c r="A108" s="2337"/>
      <c r="D108" s="2338"/>
      <c r="K108" s="795"/>
      <c r="L108" s="795"/>
    </row>
    <row r="109" spans="1:12" s="964" customFormat="1">
      <c r="A109" s="2337"/>
      <c r="D109" s="2338"/>
      <c r="K109" s="795"/>
      <c r="L109" s="795"/>
    </row>
    <row r="110" spans="1:12" s="964" customFormat="1">
      <c r="A110" s="2337"/>
      <c r="D110" s="2338"/>
      <c r="K110" s="795"/>
      <c r="L110" s="795"/>
    </row>
    <row r="111" spans="1:12" s="964" customFormat="1">
      <c r="A111" s="2337"/>
      <c r="D111" s="2338"/>
      <c r="K111" s="795"/>
      <c r="L111" s="795"/>
    </row>
    <row r="112" spans="1:12" s="964" customFormat="1">
      <c r="A112" s="2337"/>
      <c r="D112" s="2338"/>
      <c r="K112" s="795"/>
      <c r="L112" s="795"/>
    </row>
    <row r="113" spans="1:12" s="964" customFormat="1">
      <c r="A113" s="2337"/>
      <c r="D113" s="2338"/>
      <c r="K113" s="795"/>
      <c r="L113" s="795"/>
    </row>
    <row r="114" spans="1:12" s="964" customFormat="1">
      <c r="A114" s="2337"/>
      <c r="D114" s="2338"/>
      <c r="K114" s="795"/>
      <c r="L114" s="795"/>
    </row>
    <row r="115" spans="1:12" s="964" customFormat="1">
      <c r="A115" s="2337"/>
      <c r="D115" s="2338"/>
      <c r="K115" s="795"/>
      <c r="L115" s="795"/>
    </row>
    <row r="116" spans="1:12" s="964" customFormat="1">
      <c r="A116" s="2337"/>
      <c r="D116" s="2338"/>
      <c r="K116" s="795"/>
      <c r="L116" s="795"/>
    </row>
    <row r="117" spans="1:12" s="964" customFormat="1">
      <c r="A117" s="2337"/>
      <c r="D117" s="2338"/>
      <c r="K117" s="795"/>
      <c r="L117" s="795"/>
    </row>
    <row r="118" spans="1:12" s="964" customFormat="1">
      <c r="A118" s="2337"/>
      <c r="D118" s="2338"/>
      <c r="K118" s="795"/>
      <c r="L118" s="795"/>
    </row>
    <row r="119" spans="1:12" s="964" customFormat="1">
      <c r="A119" s="2337"/>
      <c r="D119" s="2338"/>
      <c r="K119" s="795"/>
      <c r="L119" s="795"/>
    </row>
    <row r="120" spans="1:12" s="964" customFormat="1">
      <c r="A120" s="2337"/>
      <c r="D120" s="2338"/>
      <c r="K120" s="795"/>
      <c r="L120" s="795"/>
    </row>
    <row r="121" spans="1:12" s="964" customFormat="1">
      <c r="A121" s="2337"/>
      <c r="D121" s="2338"/>
      <c r="K121" s="795"/>
      <c r="L121" s="795"/>
    </row>
    <row r="122" spans="1:12" s="964" customFormat="1">
      <c r="A122" s="2337"/>
      <c r="D122" s="2338"/>
      <c r="K122" s="795"/>
      <c r="L122" s="795"/>
    </row>
    <row r="123" spans="1:12" s="964" customFormat="1">
      <c r="A123" s="2337"/>
      <c r="D123" s="2338"/>
      <c r="K123" s="795"/>
      <c r="L123" s="795"/>
    </row>
    <row r="124" spans="1:12" s="964" customFormat="1">
      <c r="A124" s="2337"/>
      <c r="D124" s="2338"/>
      <c r="K124" s="795"/>
      <c r="L124" s="795"/>
    </row>
    <row r="125" spans="1:12" s="964" customFormat="1">
      <c r="A125" s="2337"/>
      <c r="D125" s="2338"/>
      <c r="K125" s="795"/>
      <c r="L125" s="795"/>
    </row>
    <row r="126" spans="1:12" s="964" customFormat="1">
      <c r="A126" s="2337"/>
      <c r="D126" s="2338"/>
      <c r="K126" s="795"/>
      <c r="L126" s="795"/>
    </row>
    <row r="127" spans="1:12" s="964" customFormat="1">
      <c r="A127" s="2337"/>
      <c r="D127" s="2338"/>
      <c r="K127" s="795"/>
      <c r="L127" s="795"/>
    </row>
    <row r="128" spans="1:12" s="964" customFormat="1">
      <c r="A128" s="2337"/>
      <c r="D128" s="2338"/>
      <c r="K128" s="795"/>
      <c r="L128" s="795"/>
    </row>
    <row r="129" spans="1:12" s="964" customFormat="1">
      <c r="A129" s="2337"/>
      <c r="D129" s="2338"/>
      <c r="K129" s="795"/>
      <c r="L129" s="795"/>
    </row>
    <row r="130" spans="1:12" s="964" customFormat="1">
      <c r="A130" s="2337"/>
      <c r="D130" s="2338"/>
      <c r="K130" s="795"/>
      <c r="L130" s="795"/>
    </row>
    <row r="131" spans="1:12" s="964" customFormat="1">
      <c r="A131" s="2337"/>
      <c r="D131" s="2338"/>
      <c r="K131" s="795"/>
      <c r="L131" s="795"/>
    </row>
    <row r="132" spans="1:12" s="964" customFormat="1">
      <c r="A132" s="2337"/>
      <c r="D132" s="2338"/>
      <c r="K132" s="795"/>
      <c r="L132" s="795"/>
    </row>
    <row r="133" spans="1:12" s="964" customFormat="1">
      <c r="A133" s="2337"/>
      <c r="D133" s="2338"/>
      <c r="K133" s="795"/>
      <c r="L133" s="795"/>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5"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4"/>
    <col min="30" max="16384" width="9" style="2365"/>
  </cols>
  <sheetData>
    <row r="1" spans="1:29" s="2358" customFormat="1" ht="19.5" thickBot="1">
      <c r="A1" s="3063" t="s">
        <v>2081</v>
      </c>
      <c r="B1" s="3064"/>
      <c r="C1" s="3064"/>
      <c r="D1" s="3064"/>
      <c r="E1" s="3064"/>
      <c r="F1" s="3064"/>
      <c r="G1" s="3064"/>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2082</v>
      </c>
      <c r="D2" s="2362"/>
      <c r="E2" s="2363"/>
      <c r="F2" s="2282"/>
      <c r="G2" s="2361" t="s">
        <v>2083</v>
      </c>
      <c r="H2" s="2364"/>
      <c r="I2" s="2364"/>
      <c r="J2" s="2364"/>
      <c r="K2" s="2364"/>
      <c r="L2" s="2364"/>
      <c r="M2" s="2364"/>
      <c r="N2" s="2364"/>
      <c r="O2" s="2364"/>
      <c r="P2" s="2364"/>
      <c r="Q2" s="2364"/>
      <c r="R2" s="2364"/>
    </row>
    <row r="3" spans="1:29" ht="42.75">
      <c r="A3" s="415" t="s">
        <v>2084</v>
      </c>
      <c r="B3" s="1268" t="s">
        <v>2085</v>
      </c>
      <c r="C3" s="2955" t="s">
        <v>3370</v>
      </c>
      <c r="D3" s="2366"/>
      <c r="E3" s="431" t="s">
        <v>2084</v>
      </c>
      <c r="F3" s="2367" t="s">
        <v>2086</v>
      </c>
      <c r="G3" s="2368" t="s">
        <v>2087</v>
      </c>
      <c r="H3" s="2364"/>
      <c r="I3" s="2364"/>
      <c r="J3" s="2364"/>
      <c r="K3" s="2364"/>
      <c r="L3" s="2364"/>
      <c r="M3" s="2364"/>
      <c r="N3" s="2364"/>
      <c r="O3" s="2364"/>
      <c r="P3" s="2364"/>
      <c r="Q3" s="2364"/>
      <c r="R3" s="2364"/>
    </row>
    <row r="4" spans="1:29" ht="54">
      <c r="A4" s="431"/>
      <c r="B4" s="1794" t="s">
        <v>2088</v>
      </c>
      <c r="C4" s="2951" t="s">
        <v>3358</v>
      </c>
      <c r="D4" s="2366"/>
      <c r="E4" s="2369"/>
      <c r="F4" s="42" t="s">
        <v>2089</v>
      </c>
      <c r="G4" s="2370" t="s">
        <v>2090</v>
      </c>
      <c r="H4" s="2364"/>
      <c r="I4" s="2364"/>
      <c r="J4" s="2364"/>
      <c r="K4" s="2364"/>
      <c r="L4" s="2364"/>
      <c r="M4" s="2364"/>
      <c r="N4" s="2364"/>
      <c r="O4" s="2364"/>
      <c r="P4" s="2364"/>
      <c r="Q4" s="2364"/>
      <c r="R4" s="2364"/>
    </row>
    <row r="5" spans="1:29" ht="40.5">
      <c r="A5" s="431"/>
      <c r="B5" s="1794" t="s">
        <v>2091</v>
      </c>
      <c r="C5" s="2951" t="s">
        <v>3359</v>
      </c>
      <c r="D5" s="2366"/>
      <c r="E5" s="2369"/>
      <c r="F5" s="1794" t="s">
        <v>2092</v>
      </c>
      <c r="G5" s="2370" t="s">
        <v>2093</v>
      </c>
      <c r="H5" s="2364"/>
      <c r="I5" s="2364"/>
      <c r="J5" s="2364"/>
      <c r="K5" s="2364"/>
      <c r="L5" s="2364"/>
      <c r="M5" s="2364"/>
      <c r="N5" s="2364"/>
      <c r="O5" s="2364"/>
      <c r="P5" s="2364"/>
      <c r="Q5" s="2364"/>
      <c r="R5" s="2364"/>
    </row>
    <row r="6" spans="1:29" ht="54">
      <c r="A6" s="431"/>
      <c r="B6" s="1794" t="s">
        <v>2094</v>
      </c>
      <c r="C6" s="2370" t="s">
        <v>3355</v>
      </c>
      <c r="D6" s="2366"/>
      <c r="E6" s="2369"/>
      <c r="F6" s="1794" t="s">
        <v>2095</v>
      </c>
      <c r="G6" s="2370" t="s">
        <v>2096</v>
      </c>
      <c r="H6" s="2364"/>
      <c r="I6" s="2364"/>
      <c r="J6" s="2364"/>
      <c r="K6" s="2364"/>
      <c r="L6" s="2364"/>
      <c r="M6" s="2364"/>
      <c r="N6" s="2364"/>
      <c r="O6" s="2364"/>
      <c r="P6" s="2364"/>
      <c r="Q6" s="2364"/>
      <c r="R6" s="2364"/>
    </row>
    <row r="7" spans="1:29" ht="41.25" thickBot="1">
      <c r="A7" s="431"/>
      <c r="B7" s="1794" t="s">
        <v>2092</v>
      </c>
      <c r="C7" s="2952" t="s">
        <v>3356</v>
      </c>
      <c r="D7" s="2371"/>
      <c r="E7" s="2372"/>
      <c r="F7" s="2373" t="s">
        <v>2097</v>
      </c>
      <c r="G7" s="2374" t="s">
        <v>2098</v>
      </c>
      <c r="H7" s="2364"/>
      <c r="I7" s="2364"/>
      <c r="J7" s="2364"/>
      <c r="K7" s="2364"/>
      <c r="L7" s="2364"/>
      <c r="M7" s="2364"/>
      <c r="N7" s="2364"/>
      <c r="O7" s="2364"/>
      <c r="P7" s="2364"/>
      <c r="Q7" s="2364"/>
      <c r="R7" s="2364"/>
    </row>
    <row r="8" spans="1:29" ht="27">
      <c r="A8" s="431"/>
      <c r="B8" s="1794" t="s">
        <v>2095</v>
      </c>
      <c r="C8" s="2952" t="s">
        <v>3357</v>
      </c>
      <c r="D8" s="2371"/>
      <c r="E8" s="2371"/>
      <c r="F8" s="1133"/>
      <c r="G8" s="1133"/>
      <c r="H8" s="2364"/>
      <c r="I8" s="2364"/>
      <c r="J8" s="2364"/>
      <c r="K8" s="2364"/>
      <c r="L8" s="2364"/>
      <c r="M8" s="2364"/>
      <c r="N8" s="2364"/>
      <c r="O8" s="2364"/>
      <c r="P8" s="2364"/>
      <c r="Q8" s="2364"/>
      <c r="R8" s="2364"/>
    </row>
    <row r="9" spans="1:29" ht="40.5">
      <c r="A9" s="431"/>
      <c r="B9" s="1794" t="s">
        <v>2099</v>
      </c>
      <c r="C9" s="2951" t="s">
        <v>3368</v>
      </c>
      <c r="D9" s="2366"/>
      <c r="E9" s="2371"/>
      <c r="F9" s="1133"/>
      <c r="G9" s="1133"/>
      <c r="H9" s="2364"/>
      <c r="I9" s="2364"/>
      <c r="J9" s="2364"/>
      <c r="K9" s="2364"/>
      <c r="L9" s="2364"/>
      <c r="M9" s="2364"/>
      <c r="N9" s="2364"/>
      <c r="O9" s="2364"/>
      <c r="P9" s="2364"/>
      <c r="Q9" s="2364"/>
      <c r="R9" s="2364"/>
    </row>
    <row r="10" spans="1:29" s="117" customFormat="1" ht="15.75" thickBot="1">
      <c r="A10" s="2375"/>
      <c r="B10" s="2376" t="s">
        <v>2100</v>
      </c>
      <c r="C10" s="2953" t="s">
        <v>3369</v>
      </c>
      <c r="D10" s="2366"/>
      <c r="E10" s="2366"/>
      <c r="F10" s="1133"/>
      <c r="G10" s="1133" t="s">
        <v>3353</v>
      </c>
      <c r="H10" s="2377"/>
      <c r="I10" s="2378"/>
      <c r="J10" s="2379"/>
      <c r="K10" s="2377"/>
      <c r="L10" s="2378"/>
      <c r="M10" s="2379"/>
      <c r="N10" s="2377"/>
      <c r="O10" s="2378"/>
      <c r="P10" s="2379"/>
      <c r="Q10" s="2377"/>
      <c r="R10" s="2378"/>
      <c r="S10" s="2364"/>
      <c r="T10" s="2364"/>
      <c r="U10" s="2364"/>
      <c r="V10" s="2364"/>
      <c r="W10" s="2364"/>
      <c r="X10" s="2364"/>
      <c r="Y10" s="2364"/>
      <c r="Z10" s="2364"/>
      <c r="AA10" s="2364"/>
      <c r="AB10" s="2364"/>
      <c r="AC10" s="2364"/>
    </row>
    <row r="11" spans="1:29" s="117" customFormat="1" ht="15">
      <c r="A11" s="2380"/>
      <c r="B11" s="2371"/>
      <c r="C11" s="2366"/>
      <c r="D11" s="2366"/>
      <c r="E11" s="2366"/>
      <c r="F11" s="2371"/>
      <c r="G11" s="1151"/>
      <c r="H11" s="2377"/>
      <c r="I11" s="2378"/>
      <c r="J11" s="2379"/>
      <c r="K11" s="2377"/>
      <c r="L11" s="2378"/>
      <c r="M11" s="2379"/>
      <c r="N11" s="2377"/>
      <c r="O11" s="2378"/>
      <c r="P11" s="2379"/>
      <c r="Q11" s="2377"/>
      <c r="R11" s="2378"/>
      <c r="S11" s="2364"/>
      <c r="T11" s="2364"/>
      <c r="U11" s="2364"/>
      <c r="V11" s="2364"/>
      <c r="W11" s="2364"/>
      <c r="X11" s="2364"/>
      <c r="Y11" s="2364"/>
      <c r="Z11" s="2364"/>
      <c r="AA11" s="2364"/>
      <c r="AB11" s="2364"/>
      <c r="AC11" s="2364"/>
    </row>
    <row r="12" spans="1:29" s="2358" customFormat="1" ht="18">
      <c r="A12" s="2380"/>
      <c r="B12" s="2371"/>
      <c r="C12" s="2366"/>
      <c r="D12" s="2381"/>
      <c r="E12" s="2366"/>
      <c r="F12" s="2371"/>
      <c r="G12" s="1151"/>
      <c r="H12" s="2382"/>
      <c r="I12" s="2383"/>
      <c r="J12" s="2382"/>
      <c r="K12" s="2382"/>
      <c r="L12" s="2384"/>
      <c r="M12" s="2382"/>
      <c r="N12" s="2385"/>
      <c r="O12" s="2386"/>
      <c r="P12" s="2385"/>
      <c r="Q12" s="2385"/>
      <c r="R12" s="2356"/>
      <c r="S12" s="2357"/>
      <c r="T12" s="2357"/>
      <c r="U12" s="2357"/>
      <c r="V12" s="2357"/>
      <c r="W12" s="2357"/>
      <c r="X12" s="2357"/>
      <c r="Y12" s="2357"/>
      <c r="Z12" s="2357"/>
      <c r="AA12" s="2357"/>
      <c r="AB12" s="2357"/>
      <c r="AC12" s="2357"/>
    </row>
    <row r="13" spans="1:29" ht="19.5" thickBot="1">
      <c r="A13" s="2387" t="s">
        <v>2101</v>
      </c>
      <c r="B13" s="2381"/>
      <c r="C13" s="2381"/>
      <c r="D13" s="2388"/>
      <c r="E13" s="2381"/>
      <c r="F13" s="2381"/>
      <c r="G13" s="2381"/>
    </row>
    <row r="14" spans="1:29" ht="15.75" thickBot="1">
      <c r="A14" s="2392"/>
      <c r="B14" s="2393"/>
      <c r="C14" s="2394" t="s">
        <v>2102</v>
      </c>
      <c r="D14" s="2366"/>
      <c r="E14" s="2395"/>
      <c r="F14" s="2395"/>
      <c r="G14" s="2361" t="s">
        <v>2103</v>
      </c>
    </row>
    <row r="15" spans="1:29" ht="42.75">
      <c r="A15" s="68" t="s">
        <v>2104</v>
      </c>
      <c r="B15" s="1267" t="s">
        <v>2085</v>
      </c>
      <c r="C15" s="2396" t="str">
        <f>C3</f>
        <v>估价对象周围有星悦国际小区、首开国风美仑等住宅小区，居住社区成熟度一般</v>
      </c>
      <c r="D15" s="2366"/>
      <c r="E15" s="2397" t="s">
        <v>2105</v>
      </c>
      <c r="F15" s="1267" t="s">
        <v>2106</v>
      </c>
      <c r="G15" s="135" t="str">
        <f>G3</f>
        <v>估价对象位于XX开发区，园区建设成熟度XX，产业集聚程度XX</v>
      </c>
    </row>
    <row r="16" spans="1:29" ht="57">
      <c r="A16" s="644"/>
      <c r="B16" s="2398" t="s">
        <v>2088</v>
      </c>
      <c r="C16" s="2399" t="str">
        <f>C4</f>
        <v>估价对象位于通州区马驹桥镇物流产业园周围，周边商业氛围较差，人流量一般，商业繁华度一般</v>
      </c>
      <c r="D16" s="2366"/>
      <c r="E16" s="2400"/>
      <c r="F16" s="2401" t="s">
        <v>2089</v>
      </c>
      <c r="G16" s="136" t="str">
        <f>G4</f>
        <v>估价对象周边道路状况、公共交通通达情况、停车便捷程度，综合评价交通便捷度较好</v>
      </c>
    </row>
    <row r="17" spans="1:18" ht="42.75">
      <c r="A17" s="644"/>
      <c r="B17" s="2398" t="s">
        <v>2091</v>
      </c>
      <c r="C17" s="2399" t="str">
        <f>C5</f>
        <v>估价对象位于通州区马驹桥镇物流产业园周围，周边办公集聚程度一般</v>
      </c>
      <c r="D17" s="2371"/>
      <c r="E17" s="2400"/>
      <c r="F17" s="2401" t="s">
        <v>2107</v>
      </c>
      <c r="G17" s="1569"/>
    </row>
    <row r="18" spans="1:18" ht="57">
      <c r="A18" s="644"/>
      <c r="B18" s="2401" t="s">
        <v>2094</v>
      </c>
      <c r="C18" s="136" t="str">
        <f>C6</f>
        <v>估价对象周边道路状况、公共交通通达情况、停车便捷程度，综合评价交通便捷度较好</v>
      </c>
      <c r="D18" s="2371"/>
      <c r="E18" s="2400"/>
      <c r="F18" s="2401" t="s">
        <v>2097</v>
      </c>
      <c r="G18" s="136" t="str">
        <f>G7</f>
        <v>该园区内是否有污染型企业，绿化情况，卫生条件，整体环境状况判断</v>
      </c>
    </row>
    <row r="19" spans="1:18" ht="28.5">
      <c r="A19" s="644"/>
      <c r="B19" s="2401" t="s">
        <v>2108</v>
      </c>
      <c r="C19" s="1569"/>
      <c r="D19" s="2366"/>
      <c r="E19" s="2400"/>
      <c r="F19" s="1794" t="s">
        <v>2092</v>
      </c>
      <c r="G19" s="136" t="str">
        <f>G5</f>
        <v>估价对象所在区域公共配套设施齐备情况</v>
      </c>
    </row>
    <row r="20" spans="1:18" ht="42.75">
      <c r="A20" s="644"/>
      <c r="B20" s="2401" t="s">
        <v>2109</v>
      </c>
      <c r="C20" s="2399" t="str">
        <f>C9</f>
        <v>区域自然环境：凉水河；人文环境：无高等院校等；综合评价环境状况一般</v>
      </c>
      <c r="D20" s="2371"/>
      <c r="E20" s="2400"/>
      <c r="F20" s="1794" t="s">
        <v>2110</v>
      </c>
      <c r="G20" s="136" t="str">
        <f>G6</f>
        <v>估价对象所在区域基础设施水平</v>
      </c>
    </row>
    <row r="21" spans="1:18" ht="28.5">
      <c r="A21" s="644"/>
      <c r="B21" s="1794" t="s">
        <v>2092</v>
      </c>
      <c r="C21" s="136" t="str">
        <f>C7</f>
        <v>估价对象所在区域公共配套设施齐备情况较好</v>
      </c>
      <c r="D21" s="2366"/>
      <c r="E21" s="2400"/>
      <c r="F21" s="2401" t="s">
        <v>2111</v>
      </c>
      <c r="G21" s="2402"/>
    </row>
    <row r="22" spans="1:18" ht="13.5" customHeight="1">
      <c r="A22" s="644"/>
      <c r="B22" s="1794" t="s">
        <v>2095</v>
      </c>
      <c r="C22" s="136" t="str">
        <f>C8</f>
        <v>估价对象所在区域基础设施水平七通</v>
      </c>
      <c r="D22" s="2366"/>
      <c r="E22" s="2400"/>
      <c r="F22" s="2401" t="s">
        <v>2100</v>
      </c>
      <c r="G22" s="1569"/>
    </row>
    <row r="23" spans="1:18" s="2364" customFormat="1" ht="15.75" thickBot="1">
      <c r="A23" s="644"/>
      <c r="B23" s="2401" t="s">
        <v>2111</v>
      </c>
      <c r="C23" s="2402"/>
      <c r="D23" s="2389"/>
      <c r="E23" s="2403"/>
      <c r="F23" s="2404" t="s">
        <v>2112</v>
      </c>
      <c r="G23" s="2405"/>
      <c r="H23" s="2389"/>
      <c r="I23" s="2390"/>
      <c r="J23" s="2389"/>
      <c r="K23" s="2389"/>
      <c r="L23" s="2390"/>
      <c r="M23" s="2389"/>
      <c r="N23" s="2389"/>
      <c r="O23" s="2390"/>
      <c r="P23" s="2389"/>
      <c r="Q23" s="2389"/>
      <c r="R23" s="2391"/>
    </row>
    <row r="24" spans="1:18" s="2364" customFormat="1" ht="15.75" thickBot="1">
      <c r="A24" s="2406"/>
      <c r="B24" s="2404" t="s">
        <v>2113</v>
      </c>
      <c r="C24" s="137" t="str">
        <f>C10</f>
        <v>城市快速路——南六环路</v>
      </c>
      <c r="D24" s="2389"/>
      <c r="E24" s="2407"/>
      <c r="F24" s="2407"/>
      <c r="G24" s="2408"/>
      <c r="H24" s="2389"/>
      <c r="I24" s="2390"/>
      <c r="J24" s="2389"/>
      <c r="K24" s="2389"/>
      <c r="L24" s="2390"/>
      <c r="M24" s="2389"/>
      <c r="N24" s="2389"/>
      <c r="O24" s="2390"/>
      <c r="P24" s="2389"/>
      <c r="Q24" s="2389"/>
      <c r="R24" s="2391"/>
    </row>
    <row r="25" spans="1:18" s="2364" customFormat="1">
      <c r="B25" s="2389"/>
      <c r="C25" s="2389"/>
      <c r="D25" s="2389"/>
      <c r="H25" s="2389"/>
      <c r="I25" s="2390"/>
      <c r="J25" s="2389"/>
      <c r="K25" s="2389"/>
      <c r="L25" s="2390"/>
      <c r="M25" s="2389"/>
      <c r="N25" s="2389"/>
      <c r="O25" s="2390"/>
      <c r="P25" s="2389"/>
      <c r="Q25" s="2389"/>
      <c r="R25" s="2391"/>
    </row>
    <row r="26" spans="1:18" s="2364" customFormat="1">
      <c r="B26" s="2389"/>
      <c r="C26" s="2389"/>
      <c r="D26" s="2389"/>
      <c r="H26" s="2389"/>
      <c r="I26" s="2390"/>
      <c r="J26" s="2389"/>
      <c r="K26" s="2389"/>
      <c r="L26" s="2390"/>
      <c r="M26" s="2389"/>
      <c r="N26" s="2389"/>
      <c r="O26" s="2390"/>
      <c r="P26" s="2389"/>
      <c r="Q26" s="2389"/>
      <c r="R26" s="2391"/>
    </row>
    <row r="27" spans="1:18" s="2364" customFormat="1">
      <c r="B27" s="2389"/>
      <c r="C27" s="2389"/>
      <c r="D27" s="2389"/>
      <c r="H27" s="2389"/>
      <c r="I27" s="2390"/>
      <c r="J27" s="2389"/>
      <c r="K27" s="2389"/>
      <c r="L27" s="2390"/>
      <c r="M27" s="2389"/>
      <c r="N27" s="2389"/>
      <c r="O27" s="2390"/>
      <c r="P27" s="2389"/>
      <c r="Q27" s="2389"/>
      <c r="R27" s="2391"/>
    </row>
    <row r="28" spans="1:18" s="2364" customFormat="1">
      <c r="B28" s="2389"/>
      <c r="C28" s="2389"/>
      <c r="D28" s="2389"/>
      <c r="H28" s="2389"/>
      <c r="I28" s="2390"/>
      <c r="J28" s="2389"/>
      <c r="K28" s="2389"/>
      <c r="L28" s="2390"/>
      <c r="M28" s="2389"/>
      <c r="N28" s="2389"/>
      <c r="O28" s="2390"/>
      <c r="P28" s="2389"/>
      <c r="Q28" s="2389"/>
      <c r="R28" s="2391"/>
    </row>
    <row r="29" spans="1:18" s="2364" customFormat="1">
      <c r="B29" s="2389"/>
      <c r="C29" s="2389"/>
      <c r="D29" s="2389"/>
      <c r="H29" s="2389"/>
      <c r="I29" s="2390"/>
      <c r="J29" s="2389"/>
      <c r="K29" s="2389"/>
      <c r="L29" s="2390"/>
      <c r="M29" s="2389"/>
      <c r="N29" s="2389"/>
      <c r="O29" s="2390"/>
      <c r="P29" s="2389"/>
      <c r="Q29" s="2389"/>
      <c r="R29" s="2391"/>
    </row>
    <row r="30" spans="1:18" s="2364" customFormat="1">
      <c r="B30" s="2389"/>
      <c r="C30" s="2389"/>
      <c r="D30" s="2389"/>
      <c r="H30" s="2389"/>
      <c r="I30" s="2390"/>
      <c r="J30" s="2389"/>
      <c r="K30" s="2389"/>
      <c r="L30" s="2390"/>
      <c r="M30" s="2389"/>
      <c r="N30" s="2389"/>
      <c r="O30" s="2390"/>
      <c r="P30" s="2389"/>
      <c r="Q30" s="2389"/>
      <c r="R30" s="2391"/>
    </row>
    <row r="31" spans="1:18" s="2364" customFormat="1">
      <c r="B31" s="2389"/>
      <c r="C31" s="2389"/>
      <c r="D31" s="2389"/>
      <c r="H31" s="2389"/>
      <c r="I31" s="2390"/>
      <c r="J31" s="2389"/>
      <c r="K31" s="2389"/>
      <c r="L31" s="2390"/>
      <c r="M31" s="2389"/>
      <c r="N31" s="2389"/>
      <c r="O31" s="2390"/>
      <c r="P31" s="2389"/>
      <c r="Q31" s="2389"/>
      <c r="R31" s="2391"/>
    </row>
    <row r="32" spans="1:18" s="2364" customFormat="1">
      <c r="B32" s="2389"/>
      <c r="C32" s="2389"/>
      <c r="D32" s="2389"/>
      <c r="H32" s="2389"/>
      <c r="I32" s="2390"/>
      <c r="J32" s="2389"/>
      <c r="K32" s="2389"/>
      <c r="L32" s="2390"/>
      <c r="M32" s="2389"/>
      <c r="N32" s="2389"/>
      <c r="O32" s="2390"/>
      <c r="P32" s="2389"/>
      <c r="Q32" s="2389"/>
      <c r="R32" s="2391"/>
    </row>
    <row r="33" spans="2:18" s="2364" customFormat="1">
      <c r="B33" s="2389"/>
      <c r="C33" s="2389"/>
      <c r="D33" s="2389"/>
      <c r="H33" s="2389"/>
      <c r="I33" s="2390"/>
      <c r="J33" s="2389"/>
      <c r="K33" s="2389"/>
      <c r="L33" s="2390"/>
      <c r="M33" s="2389"/>
      <c r="N33" s="2389"/>
      <c r="O33" s="2390"/>
      <c r="P33" s="2389"/>
      <c r="Q33" s="2389"/>
      <c r="R33" s="2391"/>
    </row>
    <row r="34" spans="2:18" s="2364" customFormat="1">
      <c r="B34" s="2389"/>
      <c r="C34" s="2389"/>
      <c r="D34" s="2389"/>
      <c r="H34" s="2389"/>
      <c r="I34" s="2390"/>
      <c r="J34" s="2389"/>
      <c r="K34" s="2389"/>
      <c r="L34" s="2390"/>
      <c r="M34" s="2389"/>
      <c r="N34" s="2389"/>
      <c r="O34" s="2390"/>
      <c r="P34" s="2389"/>
      <c r="Q34" s="2389"/>
      <c r="R34" s="2391"/>
    </row>
    <row r="35" spans="2:18" s="2364" customFormat="1">
      <c r="B35" s="2389"/>
      <c r="C35" s="2389"/>
      <c r="D35" s="2389"/>
      <c r="H35" s="2389"/>
      <c r="I35" s="2390"/>
      <c r="J35" s="2389"/>
      <c r="K35" s="2389"/>
      <c r="L35" s="2390"/>
      <c r="M35" s="2389"/>
      <c r="N35" s="2389"/>
      <c r="O35" s="2390"/>
      <c r="P35" s="2389"/>
      <c r="Q35" s="2389"/>
      <c r="R35" s="2391"/>
    </row>
    <row r="36" spans="2:18" s="2364" customFormat="1">
      <c r="B36" s="2389"/>
      <c r="C36" s="2389"/>
      <c r="D36" s="2389"/>
      <c r="H36" s="2389"/>
      <c r="I36" s="2390"/>
      <c r="J36" s="2389"/>
      <c r="K36" s="2389"/>
      <c r="L36" s="2390"/>
      <c r="M36" s="2389"/>
      <c r="N36" s="2389"/>
      <c r="O36" s="2390"/>
      <c r="P36" s="2389"/>
      <c r="Q36" s="2389"/>
      <c r="R36" s="2391"/>
    </row>
    <row r="37" spans="2:18" s="2364" customFormat="1">
      <c r="B37" s="2389"/>
      <c r="C37" s="2389"/>
      <c r="D37" s="2389"/>
      <c r="H37" s="2389"/>
      <c r="I37" s="2390"/>
      <c r="J37" s="2389"/>
      <c r="K37" s="2389"/>
      <c r="L37" s="2390"/>
      <c r="M37" s="2389"/>
      <c r="N37" s="2389"/>
      <c r="O37" s="2390"/>
      <c r="P37" s="2389"/>
      <c r="Q37" s="2389"/>
      <c r="R37" s="2391"/>
    </row>
    <row r="38" spans="2:18" s="2364" customFormat="1">
      <c r="B38" s="2389"/>
      <c r="C38" s="2389"/>
      <c r="D38" s="2389"/>
      <c r="E38" s="2389"/>
      <c r="F38" s="2389"/>
      <c r="G38" s="2390"/>
      <c r="H38" s="2389"/>
      <c r="I38" s="2390"/>
      <c r="J38" s="2389"/>
      <c r="K38" s="2389"/>
      <c r="L38" s="2390"/>
      <c r="M38" s="2389"/>
      <c r="N38" s="2389"/>
      <c r="O38" s="2390"/>
      <c r="P38" s="2389"/>
      <c r="Q38" s="2389"/>
      <c r="R38" s="2391"/>
    </row>
    <row r="39" spans="2:18" s="2364" customFormat="1">
      <c r="B39" s="2389"/>
      <c r="C39" s="2389"/>
      <c r="D39" s="2389"/>
      <c r="E39" s="2389"/>
      <c r="F39" s="2389"/>
      <c r="G39" s="2390"/>
      <c r="H39" s="2389"/>
      <c r="I39" s="2390"/>
      <c r="J39" s="2389"/>
      <c r="K39" s="2389"/>
      <c r="L39" s="2390"/>
      <c r="M39" s="2389"/>
      <c r="N39" s="2389"/>
      <c r="O39" s="2390"/>
      <c r="P39" s="2389"/>
      <c r="Q39" s="2389"/>
      <c r="R39" s="2391"/>
    </row>
    <row r="40" spans="2:18" s="2364" customFormat="1">
      <c r="B40" s="2389"/>
      <c r="C40" s="2389"/>
      <c r="D40" s="2389"/>
      <c r="E40" s="2389"/>
      <c r="F40" s="2389"/>
      <c r="G40" s="2390"/>
      <c r="H40" s="2389"/>
      <c r="I40" s="2390"/>
      <c r="J40" s="2389"/>
      <c r="K40" s="2389"/>
      <c r="L40" s="2390"/>
      <c r="M40" s="2389"/>
      <c r="N40" s="2389"/>
      <c r="O40" s="2390"/>
      <c r="P40" s="2389"/>
      <c r="Q40" s="2389"/>
      <c r="R40" s="2391"/>
    </row>
    <row r="41" spans="2:18" s="2364" customFormat="1">
      <c r="B41" s="2389"/>
      <c r="C41" s="2389"/>
      <c r="D41" s="2389"/>
      <c r="E41" s="2389"/>
      <c r="F41" s="2389"/>
      <c r="G41" s="2390"/>
      <c r="H41" s="2389"/>
      <c r="I41" s="2390"/>
      <c r="J41" s="2389"/>
      <c r="K41" s="2389"/>
      <c r="L41" s="2390"/>
      <c r="M41" s="2389"/>
      <c r="N41" s="2389"/>
      <c r="O41" s="2390"/>
      <c r="P41" s="2389"/>
      <c r="Q41" s="2389"/>
      <c r="R41" s="2391"/>
    </row>
    <row r="42" spans="2:18" s="2364" customFormat="1">
      <c r="B42" s="2389"/>
      <c r="C42" s="2389"/>
      <c r="D42" s="2389"/>
      <c r="E42" s="2389"/>
      <c r="F42" s="2389"/>
      <c r="G42" s="2390"/>
      <c r="H42" s="2389"/>
      <c r="I42" s="2390"/>
      <c r="J42" s="2389"/>
      <c r="K42" s="2389"/>
      <c r="L42" s="2390"/>
      <c r="M42" s="2389"/>
      <c r="N42" s="2389"/>
      <c r="O42" s="2390"/>
      <c r="P42" s="2389"/>
      <c r="Q42" s="2389"/>
      <c r="R42" s="2391"/>
    </row>
    <row r="43" spans="2:18" s="2364" customFormat="1">
      <c r="B43" s="2389"/>
      <c r="C43" s="2389"/>
      <c r="D43" s="2389"/>
      <c r="E43" s="2389"/>
      <c r="F43" s="2389"/>
      <c r="G43" s="2390"/>
      <c r="H43" s="2389"/>
      <c r="I43" s="2390"/>
      <c r="J43" s="2389"/>
      <c r="K43" s="2389"/>
      <c r="L43" s="2390"/>
      <c r="M43" s="2389"/>
      <c r="N43" s="2389"/>
      <c r="O43" s="2390"/>
      <c r="P43" s="2389"/>
      <c r="Q43" s="2389"/>
      <c r="R43" s="2391"/>
    </row>
    <row r="44" spans="2:18" s="2364" customFormat="1">
      <c r="B44" s="2389"/>
      <c r="C44" s="2389"/>
      <c r="D44" s="2389"/>
      <c r="E44" s="2389"/>
      <c r="F44" s="2389"/>
      <c r="G44" s="2390"/>
      <c r="H44" s="2389"/>
      <c r="I44" s="2390"/>
      <c r="J44" s="2389"/>
      <c r="K44" s="2389"/>
      <c r="L44" s="2390"/>
      <c r="M44" s="2389"/>
      <c r="N44" s="2389"/>
      <c r="O44" s="2390"/>
      <c r="P44" s="2389"/>
      <c r="Q44" s="2389"/>
      <c r="R44" s="2391"/>
    </row>
    <row r="45" spans="2:18" s="2364" customFormat="1">
      <c r="B45" s="2389"/>
      <c r="C45" s="2389"/>
      <c r="D45" s="2389"/>
      <c r="E45" s="2389"/>
      <c r="F45" s="2389"/>
      <c r="G45" s="2390"/>
      <c r="H45" s="2389"/>
      <c r="I45" s="2390"/>
      <c r="J45" s="2389"/>
      <c r="K45" s="2389"/>
      <c r="L45" s="2390"/>
      <c r="M45" s="2389"/>
      <c r="N45" s="2389"/>
      <c r="O45" s="2390"/>
      <c r="P45" s="2389"/>
      <c r="Q45" s="2389"/>
      <c r="R45" s="2391"/>
    </row>
    <row r="46" spans="2:18" s="2364" customFormat="1">
      <c r="B46" s="2389"/>
      <c r="C46" s="2389"/>
      <c r="D46" s="2389"/>
      <c r="E46" s="2389"/>
      <c r="F46" s="2389"/>
      <c r="G46" s="2390"/>
      <c r="H46" s="2389"/>
      <c r="I46" s="2390"/>
      <c r="J46" s="2389"/>
      <c r="K46" s="2389"/>
      <c r="L46" s="2390"/>
      <c r="M46" s="2389"/>
      <c r="N46" s="2389"/>
      <c r="O46" s="2390"/>
      <c r="P46" s="2389"/>
      <c r="Q46" s="2389"/>
      <c r="R46" s="2391"/>
    </row>
    <row r="47" spans="2:18" s="2364" customFormat="1">
      <c r="B47" s="2389"/>
      <c r="C47" s="2389"/>
      <c r="D47" s="2389"/>
      <c r="E47" s="2389"/>
      <c r="F47" s="2389"/>
      <c r="G47" s="2390"/>
      <c r="H47" s="2389"/>
      <c r="I47" s="2390"/>
      <c r="J47" s="2389"/>
      <c r="K47" s="2389"/>
      <c r="L47" s="2390"/>
      <c r="M47" s="2389"/>
      <c r="N47" s="2389"/>
      <c r="O47" s="2390"/>
      <c r="P47" s="2389"/>
      <c r="Q47" s="2389"/>
      <c r="R47" s="2391"/>
    </row>
    <row r="48" spans="2:18" s="2364" customFormat="1">
      <c r="B48" s="2389"/>
      <c r="C48" s="2389"/>
      <c r="D48" s="2389"/>
      <c r="E48" s="2389"/>
      <c r="F48" s="2389"/>
      <c r="G48" s="2390"/>
      <c r="H48" s="2389"/>
      <c r="I48" s="2390"/>
      <c r="J48" s="2389"/>
      <c r="K48" s="2389"/>
      <c r="L48" s="2390"/>
      <c r="M48" s="2389"/>
      <c r="N48" s="2389"/>
      <c r="O48" s="2390"/>
      <c r="P48" s="2389"/>
      <c r="Q48" s="2389"/>
      <c r="R48" s="2391"/>
    </row>
    <row r="49" spans="2:18" s="2364" customFormat="1">
      <c r="B49" s="2389"/>
      <c r="C49" s="2389"/>
      <c r="D49" s="2389"/>
      <c r="E49" s="2389"/>
      <c r="F49" s="2389"/>
      <c r="G49" s="2390"/>
      <c r="H49" s="2389"/>
      <c r="I49" s="2390"/>
      <c r="J49" s="2389"/>
      <c r="K49" s="2389"/>
      <c r="L49" s="2390"/>
      <c r="M49" s="2389"/>
      <c r="N49" s="2389"/>
      <c r="O49" s="2390"/>
      <c r="P49" s="2389"/>
      <c r="Q49" s="2389"/>
      <c r="R49" s="2391"/>
    </row>
    <row r="50" spans="2:18" s="2364" customFormat="1">
      <c r="B50" s="2389"/>
      <c r="C50" s="2389"/>
      <c r="D50" s="2389"/>
      <c r="E50" s="2389"/>
      <c r="F50" s="2389"/>
      <c r="G50" s="2390"/>
      <c r="H50" s="2389"/>
      <c r="I50" s="2390"/>
      <c r="J50" s="2389"/>
      <c r="K50" s="2389"/>
      <c r="L50" s="2390"/>
      <c r="M50" s="2389"/>
      <c r="N50" s="2389"/>
      <c r="O50" s="2390"/>
      <c r="P50" s="2389"/>
      <c r="Q50" s="2389"/>
      <c r="R50" s="2391"/>
    </row>
    <row r="51" spans="2:18" s="2364" customFormat="1">
      <c r="B51" s="2389"/>
      <c r="C51" s="2389"/>
      <c r="D51" s="2389"/>
      <c r="E51" s="2389"/>
      <c r="F51" s="2389"/>
      <c r="G51" s="2390"/>
      <c r="H51" s="2389"/>
      <c r="I51" s="2390"/>
      <c r="J51" s="2389"/>
      <c r="K51" s="2389"/>
      <c r="L51" s="2390"/>
      <c r="M51" s="2389"/>
      <c r="N51" s="2389"/>
      <c r="O51" s="2390"/>
      <c r="P51" s="2389"/>
      <c r="Q51" s="2389"/>
      <c r="R51" s="2391"/>
    </row>
    <row r="52" spans="2:18" s="2364" customFormat="1">
      <c r="B52" s="2389"/>
      <c r="C52" s="2389"/>
      <c r="D52" s="2389"/>
      <c r="E52" s="2389"/>
      <c r="F52" s="2389"/>
      <c r="G52" s="2390"/>
      <c r="H52" s="2389"/>
      <c r="I52" s="2390"/>
      <c r="J52" s="2389"/>
      <c r="K52" s="2389"/>
      <c r="L52" s="2390"/>
      <c r="M52" s="2389"/>
      <c r="N52" s="2389"/>
      <c r="O52" s="2390"/>
      <c r="P52" s="2389"/>
      <c r="Q52" s="2389"/>
      <c r="R52" s="2391"/>
    </row>
    <row r="53" spans="2:18" s="2364" customFormat="1">
      <c r="B53" s="2389"/>
      <c r="C53" s="2389"/>
      <c r="D53" s="2389"/>
      <c r="E53" s="2389"/>
      <c r="F53" s="2389"/>
      <c r="G53" s="2390"/>
      <c r="H53" s="2389"/>
      <c r="I53" s="2390"/>
      <c r="J53" s="2389"/>
      <c r="K53" s="2389"/>
      <c r="L53" s="2390"/>
      <c r="M53" s="2389"/>
      <c r="N53" s="2389"/>
      <c r="O53" s="2390"/>
      <c r="P53" s="2389"/>
      <c r="Q53" s="2389"/>
      <c r="R53" s="2391"/>
    </row>
    <row r="54" spans="2:18" s="2364" customFormat="1">
      <c r="B54" s="2389"/>
      <c r="C54" s="2389"/>
      <c r="D54" s="2389"/>
      <c r="E54" s="2389"/>
      <c r="F54" s="2389"/>
      <c r="G54" s="2390"/>
      <c r="H54" s="2389"/>
      <c r="I54" s="2390"/>
      <c r="J54" s="2389"/>
      <c r="K54" s="2389"/>
      <c r="L54" s="2390"/>
      <c r="M54" s="2389"/>
      <c r="N54" s="2389"/>
      <c r="O54" s="2390"/>
      <c r="P54" s="2389"/>
      <c r="Q54" s="2389"/>
      <c r="R54" s="2391"/>
    </row>
    <row r="55" spans="2:18" s="2364" customFormat="1">
      <c r="B55" s="2389"/>
      <c r="C55" s="2389"/>
      <c r="D55" s="2389"/>
      <c r="E55" s="2389"/>
      <c r="F55" s="2389"/>
      <c r="G55" s="2390"/>
      <c r="H55" s="2389"/>
      <c r="I55" s="2390"/>
      <c r="J55" s="2389"/>
      <c r="K55" s="2389"/>
      <c r="L55" s="2390"/>
      <c r="M55" s="2389"/>
      <c r="N55" s="2389"/>
      <c r="O55" s="2390"/>
      <c r="P55" s="2389"/>
      <c r="Q55" s="2389"/>
      <c r="R55" s="2391"/>
    </row>
    <row r="56" spans="2:18" s="2364" customFormat="1">
      <c r="B56" s="2389"/>
      <c r="C56" s="2389"/>
      <c r="D56" s="2389"/>
      <c r="E56" s="2389"/>
      <c r="F56" s="2389"/>
      <c r="G56" s="2390"/>
      <c r="H56" s="2389"/>
      <c r="I56" s="2390"/>
      <c r="J56" s="2389"/>
      <c r="K56" s="2389"/>
      <c r="L56" s="2390"/>
      <c r="M56" s="2389"/>
      <c r="N56" s="2389"/>
      <c r="O56" s="2390"/>
      <c r="P56" s="2389"/>
      <c r="Q56" s="2389"/>
      <c r="R56" s="2391"/>
    </row>
    <row r="57" spans="2:18" s="2364" customFormat="1">
      <c r="B57" s="2389"/>
      <c r="C57" s="2389"/>
      <c r="D57" s="2389"/>
      <c r="E57" s="2389"/>
      <c r="F57" s="2389"/>
      <c r="G57" s="2390"/>
      <c r="H57" s="2389"/>
      <c r="I57" s="2390"/>
      <c r="J57" s="2389"/>
      <c r="K57" s="2389"/>
      <c r="L57" s="2390"/>
      <c r="M57" s="2389"/>
      <c r="N57" s="2389"/>
      <c r="O57" s="2390"/>
      <c r="P57" s="2389"/>
      <c r="Q57" s="2389"/>
      <c r="R57" s="2391"/>
    </row>
    <row r="58" spans="2:18" s="2364" customFormat="1">
      <c r="B58" s="2389"/>
      <c r="C58" s="2389"/>
      <c r="D58" s="2389"/>
      <c r="E58" s="2389"/>
      <c r="F58" s="2389"/>
      <c r="G58" s="2390"/>
      <c r="H58" s="2389"/>
      <c r="I58" s="2390"/>
      <c r="J58" s="2389"/>
      <c r="K58" s="2389"/>
      <c r="L58" s="2390"/>
      <c r="M58" s="2389"/>
      <c r="N58" s="2389"/>
      <c r="O58" s="2390"/>
      <c r="P58" s="2389"/>
      <c r="Q58" s="2389"/>
      <c r="R58" s="2391"/>
    </row>
    <row r="59" spans="2:18" s="2364" customFormat="1">
      <c r="B59" s="2389"/>
      <c r="C59" s="2389"/>
      <c r="D59" s="2389"/>
      <c r="E59" s="2389"/>
      <c r="F59" s="2389"/>
      <c r="G59" s="2390"/>
      <c r="H59" s="2389"/>
      <c r="I59" s="2390"/>
      <c r="J59" s="2389"/>
      <c r="K59" s="2389"/>
      <c r="L59" s="2390"/>
      <c r="M59" s="2389"/>
      <c r="N59" s="2389"/>
      <c r="O59" s="2390"/>
      <c r="P59" s="2389"/>
      <c r="Q59" s="2389"/>
      <c r="R59" s="2391"/>
    </row>
    <row r="60" spans="2:18" s="2364" customFormat="1">
      <c r="B60" s="2389"/>
      <c r="C60" s="2389"/>
      <c r="D60" s="2389"/>
      <c r="E60" s="2389"/>
      <c r="F60" s="2389"/>
      <c r="G60" s="2390"/>
      <c r="H60" s="2389"/>
      <c r="I60" s="2390"/>
      <c r="J60" s="2389"/>
      <c r="K60" s="2389"/>
      <c r="L60" s="2390"/>
      <c r="M60" s="2389"/>
      <c r="N60" s="2389"/>
      <c r="O60" s="2390"/>
      <c r="P60" s="2389"/>
      <c r="Q60" s="2389"/>
      <c r="R60" s="2391"/>
    </row>
    <row r="61" spans="2:18" s="2364" customFormat="1">
      <c r="B61" s="2389"/>
      <c r="C61" s="2389"/>
      <c r="D61" s="2389"/>
      <c r="E61" s="2389"/>
      <c r="F61" s="2389"/>
      <c r="G61" s="2390"/>
      <c r="H61" s="2389"/>
      <c r="I61" s="2390"/>
      <c r="J61" s="2389"/>
      <c r="K61" s="2389"/>
      <c r="L61" s="2390"/>
      <c r="M61" s="2389"/>
      <c r="N61" s="2389"/>
      <c r="O61" s="2390"/>
      <c r="P61" s="2389"/>
      <c r="Q61" s="2389"/>
      <c r="R61" s="2391"/>
    </row>
    <row r="62" spans="2:18" s="2364" customFormat="1">
      <c r="B62" s="2389"/>
      <c r="C62" s="2389"/>
      <c r="D62" s="2389"/>
      <c r="E62" s="2389"/>
      <c r="F62" s="2389"/>
      <c r="G62" s="2390"/>
      <c r="H62" s="2389"/>
      <c r="I62" s="2390"/>
      <c r="J62" s="2389"/>
      <c r="K62" s="2389"/>
      <c r="L62" s="2390"/>
      <c r="M62" s="2389"/>
      <c r="N62" s="2389"/>
      <c r="O62" s="2390"/>
      <c r="P62" s="2389"/>
      <c r="Q62" s="2389"/>
      <c r="R62" s="2391"/>
    </row>
    <row r="63" spans="2:18" s="2364" customFormat="1">
      <c r="B63" s="2389"/>
      <c r="C63" s="2389"/>
      <c r="D63" s="2389"/>
      <c r="E63" s="2389"/>
      <c r="F63" s="2389"/>
      <c r="G63" s="2390"/>
      <c r="H63" s="2389"/>
      <c r="I63" s="2390"/>
      <c r="J63" s="2389"/>
      <c r="K63" s="2389"/>
      <c r="L63" s="2390"/>
      <c r="M63" s="2389"/>
      <c r="N63" s="2389"/>
      <c r="O63" s="2390"/>
      <c r="P63" s="2389"/>
      <c r="Q63" s="2389"/>
      <c r="R63" s="2391"/>
    </row>
    <row r="64" spans="2:18" s="2364" customFormat="1">
      <c r="B64" s="2389"/>
      <c r="C64" s="2389"/>
      <c r="D64" s="2389"/>
      <c r="E64" s="2389"/>
      <c r="F64" s="2389"/>
      <c r="G64" s="2390"/>
      <c r="H64" s="2389"/>
      <c r="I64" s="2390"/>
      <c r="J64" s="2389"/>
      <c r="K64" s="2389"/>
      <c r="L64" s="2390"/>
      <c r="M64" s="2389"/>
      <c r="N64" s="2389"/>
      <c r="O64" s="2390"/>
      <c r="P64" s="2389"/>
      <c r="Q64" s="2389"/>
      <c r="R64" s="2391"/>
    </row>
    <row r="65" spans="2:18" s="2364" customFormat="1">
      <c r="B65" s="2389"/>
      <c r="C65" s="2389"/>
      <c r="D65" s="2389"/>
      <c r="E65" s="2389"/>
      <c r="F65" s="2389"/>
      <c r="G65" s="2390"/>
      <c r="H65" s="2389"/>
      <c r="I65" s="2390"/>
      <c r="J65" s="2389"/>
      <c r="K65" s="2389"/>
      <c r="L65" s="2390"/>
      <c r="M65" s="2389"/>
      <c r="N65" s="2389"/>
      <c r="O65" s="2390"/>
      <c r="P65" s="2389"/>
      <c r="Q65" s="2389"/>
      <c r="R65" s="2391"/>
    </row>
    <row r="66" spans="2:18" s="2364" customFormat="1">
      <c r="B66" s="2389"/>
      <c r="C66" s="2389"/>
      <c r="D66" s="2389"/>
      <c r="E66" s="2389"/>
      <c r="F66" s="2389"/>
      <c r="G66" s="2390"/>
      <c r="H66" s="2389"/>
      <c r="I66" s="2390"/>
      <c r="J66" s="2389"/>
      <c r="K66" s="2389"/>
      <c r="L66" s="2390"/>
      <c r="M66" s="2389"/>
      <c r="N66" s="2389"/>
      <c r="O66" s="2390"/>
      <c r="P66" s="2389"/>
      <c r="Q66" s="2389"/>
      <c r="R66" s="2391"/>
    </row>
    <row r="67" spans="2:18" s="2364" customFormat="1">
      <c r="B67" s="2389"/>
      <c r="C67" s="2389"/>
      <c r="D67" s="2389"/>
      <c r="E67" s="2389"/>
      <c r="F67" s="2389"/>
      <c r="G67" s="2390"/>
      <c r="H67" s="2389"/>
      <c r="I67" s="2390"/>
      <c r="J67" s="2389"/>
      <c r="K67" s="2389"/>
      <c r="L67" s="2390"/>
      <c r="M67" s="2389"/>
      <c r="N67" s="2389"/>
      <c r="O67" s="2390"/>
      <c r="P67" s="2389"/>
      <c r="Q67" s="2389"/>
      <c r="R67" s="2391"/>
    </row>
    <row r="68" spans="2:18" s="2364" customFormat="1">
      <c r="B68" s="2389"/>
      <c r="C68" s="2389"/>
      <c r="D68" s="2389"/>
      <c r="E68" s="2389"/>
      <c r="F68" s="2389"/>
      <c r="G68" s="2390"/>
      <c r="H68" s="2389"/>
      <c r="I68" s="2390"/>
      <c r="J68" s="2389"/>
      <c r="K68" s="2389"/>
      <c r="L68" s="2390"/>
      <c r="M68" s="2389"/>
      <c r="N68" s="2389"/>
      <c r="O68" s="2390"/>
      <c r="P68" s="2389"/>
      <c r="Q68" s="2389"/>
      <c r="R68" s="2391"/>
    </row>
    <row r="69" spans="2:18" s="2364" customFormat="1">
      <c r="B69" s="2389"/>
      <c r="C69" s="2389"/>
      <c r="D69" s="2389"/>
      <c r="E69" s="2389"/>
      <c r="F69" s="2389"/>
      <c r="G69" s="2390"/>
      <c r="H69" s="2389"/>
      <c r="I69" s="2390"/>
      <c r="J69" s="2389"/>
      <c r="K69" s="2389"/>
      <c r="L69" s="2390"/>
      <c r="M69" s="2389"/>
      <c r="N69" s="2389"/>
      <c r="O69" s="2390"/>
      <c r="P69" s="2389"/>
      <c r="Q69" s="2389"/>
      <c r="R69" s="2391"/>
    </row>
    <row r="70" spans="2:18" s="2364" customFormat="1">
      <c r="B70" s="2389"/>
      <c r="C70" s="2389"/>
      <c r="D70" s="2389"/>
      <c r="E70" s="2389"/>
      <c r="F70" s="2389"/>
      <c r="G70" s="2390"/>
      <c r="H70" s="2389"/>
      <c r="I70" s="2390"/>
      <c r="J70" s="2389"/>
      <c r="K70" s="2389"/>
      <c r="L70" s="2390"/>
      <c r="M70" s="2389"/>
      <c r="N70" s="2389"/>
      <c r="O70" s="2390"/>
      <c r="P70" s="2389"/>
      <c r="Q70" s="2389"/>
      <c r="R70" s="2391"/>
    </row>
    <row r="71" spans="2:18" s="2364" customFormat="1">
      <c r="B71" s="2389"/>
      <c r="C71" s="2389"/>
      <c r="D71" s="2389"/>
      <c r="E71" s="2389"/>
      <c r="F71" s="2389"/>
      <c r="G71" s="2390"/>
      <c r="H71" s="2389"/>
      <c r="I71" s="2390"/>
      <c r="J71" s="2389"/>
      <c r="K71" s="2389"/>
      <c r="L71" s="2390"/>
      <c r="M71" s="2389"/>
      <c r="N71" s="2389"/>
      <c r="O71" s="2390"/>
      <c r="P71" s="2389"/>
      <c r="Q71" s="2389"/>
      <c r="R71" s="2391"/>
    </row>
    <row r="72" spans="2:18" s="2364" customFormat="1">
      <c r="B72" s="2389"/>
      <c r="C72" s="2389"/>
      <c r="D72" s="2389"/>
      <c r="E72" s="2389"/>
      <c r="F72" s="2389"/>
      <c r="G72" s="2390"/>
      <c r="H72" s="2389"/>
      <c r="I72" s="2390"/>
      <c r="J72" s="2389"/>
      <c r="K72" s="2389"/>
      <c r="L72" s="2390"/>
      <c r="M72" s="2389"/>
      <c r="N72" s="2389"/>
      <c r="O72" s="2390"/>
      <c r="P72" s="2389"/>
      <c r="Q72" s="2389"/>
      <c r="R72" s="2391"/>
    </row>
    <row r="73" spans="2:18" s="2364" customFormat="1">
      <c r="B73" s="2389"/>
      <c r="C73" s="2389"/>
      <c r="D73" s="2389"/>
      <c r="E73" s="2389"/>
      <c r="F73" s="2389"/>
      <c r="G73" s="2390"/>
      <c r="H73" s="2389"/>
      <c r="I73" s="2390"/>
      <c r="J73" s="2389"/>
      <c r="K73" s="2389"/>
      <c r="L73" s="2390"/>
      <c r="M73" s="2389"/>
      <c r="N73" s="2389"/>
      <c r="O73" s="2390"/>
      <c r="P73" s="2389"/>
      <c r="Q73" s="2389"/>
      <c r="R73" s="2391"/>
    </row>
    <row r="74" spans="2:18" s="2364" customFormat="1">
      <c r="B74" s="2389"/>
      <c r="C74" s="2389"/>
      <c r="D74" s="2389"/>
      <c r="E74" s="2389"/>
      <c r="F74" s="2389"/>
      <c r="G74" s="2390"/>
      <c r="H74" s="2389"/>
      <c r="I74" s="2390"/>
      <c r="J74" s="2389"/>
      <c r="K74" s="2389"/>
      <c r="L74" s="2390"/>
      <c r="M74" s="2389"/>
      <c r="N74" s="2389"/>
      <c r="O74" s="2390"/>
      <c r="P74" s="2389"/>
      <c r="Q74" s="2389"/>
      <c r="R74" s="2391"/>
    </row>
    <row r="75" spans="2:18" s="2364" customFormat="1">
      <c r="B75" s="2389"/>
      <c r="C75" s="2389"/>
      <c r="D75" s="2389"/>
      <c r="E75" s="2389"/>
      <c r="F75" s="2389"/>
      <c r="G75" s="2390"/>
      <c r="H75" s="2389"/>
      <c r="I75" s="2390"/>
      <c r="J75" s="2389"/>
      <c r="K75" s="2389"/>
      <c r="L75" s="2390"/>
      <c r="M75" s="2389"/>
      <c r="N75" s="2389"/>
      <c r="O75" s="2390"/>
      <c r="P75" s="2389"/>
      <c r="Q75" s="2389"/>
      <c r="R75" s="2391"/>
    </row>
    <row r="76" spans="2:18" s="2364" customFormat="1">
      <c r="B76" s="2389"/>
      <c r="C76" s="2389"/>
      <c r="D76" s="2389"/>
      <c r="E76" s="2389"/>
      <c r="F76" s="2389"/>
      <c r="G76" s="2390"/>
      <c r="H76" s="2389"/>
      <c r="I76" s="2390"/>
      <c r="J76" s="2389"/>
      <c r="K76" s="2389"/>
      <c r="L76" s="2390"/>
      <c r="M76" s="2389"/>
      <c r="N76" s="2389"/>
      <c r="O76" s="2390"/>
      <c r="P76" s="2389"/>
      <c r="Q76" s="2389"/>
      <c r="R76" s="2391"/>
    </row>
    <row r="77" spans="2:18" s="2364" customFormat="1">
      <c r="B77" s="2389"/>
      <c r="C77" s="2389"/>
      <c r="D77" s="2389"/>
      <c r="E77" s="2389"/>
      <c r="F77" s="2389"/>
      <c r="G77" s="2390"/>
      <c r="H77" s="2389"/>
      <c r="I77" s="2390"/>
      <c r="J77" s="2389"/>
      <c r="K77" s="2389"/>
      <c r="L77" s="2390"/>
      <c r="M77" s="2389"/>
      <c r="N77" s="2389"/>
      <c r="O77" s="2390"/>
      <c r="P77" s="2389"/>
      <c r="Q77" s="2389"/>
      <c r="R77" s="2391"/>
    </row>
    <row r="78" spans="2:18" s="2364" customFormat="1">
      <c r="B78" s="2389"/>
      <c r="C78" s="2389"/>
      <c r="D78" s="2389"/>
      <c r="E78" s="2389"/>
      <c r="F78" s="2389"/>
      <c r="G78" s="2390"/>
      <c r="H78" s="2389"/>
      <c r="I78" s="2390"/>
      <c r="J78" s="2389"/>
      <c r="K78" s="2389"/>
      <c r="L78" s="2390"/>
      <c r="M78" s="2389"/>
      <c r="N78" s="2389"/>
      <c r="O78" s="2390"/>
      <c r="P78" s="2389"/>
      <c r="Q78" s="2389"/>
      <c r="R78" s="2391"/>
    </row>
    <row r="79" spans="2:18" s="2364" customFormat="1">
      <c r="B79" s="2389"/>
      <c r="C79" s="2389"/>
      <c r="D79" s="2389"/>
      <c r="E79" s="2389"/>
      <c r="F79" s="2389"/>
      <c r="G79" s="2390"/>
      <c r="H79" s="2389"/>
      <c r="I79" s="2390"/>
      <c r="J79" s="2389"/>
      <c r="K79" s="2389"/>
      <c r="L79" s="2390"/>
      <c r="M79" s="2389"/>
      <c r="N79" s="2389"/>
      <c r="O79" s="2390"/>
      <c r="P79" s="2389"/>
      <c r="Q79" s="2389"/>
      <c r="R79" s="2391"/>
    </row>
    <row r="80" spans="2:18" s="2364" customFormat="1">
      <c r="B80" s="2389"/>
      <c r="C80" s="2389"/>
      <c r="D80" s="2389"/>
      <c r="E80" s="2389"/>
      <c r="F80" s="2389"/>
      <c r="G80" s="2390"/>
      <c r="H80" s="2389"/>
      <c r="I80" s="2390"/>
      <c r="J80" s="2389"/>
      <c r="K80" s="2389"/>
      <c r="L80" s="2390"/>
      <c r="M80" s="2389"/>
      <c r="N80" s="2389"/>
      <c r="O80" s="2390"/>
      <c r="P80" s="2389"/>
      <c r="Q80" s="2389"/>
      <c r="R80" s="2391"/>
    </row>
    <row r="81" spans="2:18" s="2364" customFormat="1">
      <c r="B81" s="2389"/>
      <c r="C81" s="2389"/>
      <c r="D81" s="2389"/>
      <c r="E81" s="2389"/>
      <c r="F81" s="2389"/>
      <c r="G81" s="2390"/>
      <c r="H81" s="2389"/>
      <c r="I81" s="2390"/>
      <c r="J81" s="2389"/>
      <c r="K81" s="2389"/>
      <c r="L81" s="2390"/>
      <c r="M81" s="2389"/>
      <c r="N81" s="2389"/>
      <c r="O81" s="2390"/>
      <c r="P81" s="2389"/>
      <c r="Q81" s="2389"/>
      <c r="R81" s="2391"/>
    </row>
    <row r="82" spans="2:18" s="2364" customFormat="1">
      <c r="B82" s="2389"/>
      <c r="C82" s="2389"/>
      <c r="D82" s="2389"/>
      <c r="E82" s="2389"/>
      <c r="F82" s="2389"/>
      <c r="G82" s="2390"/>
      <c r="H82" s="2389"/>
      <c r="I82" s="2390"/>
      <c r="J82" s="2389"/>
      <c r="K82" s="2389"/>
      <c r="L82" s="2390"/>
      <c r="M82" s="2389"/>
      <c r="N82" s="2389"/>
      <c r="O82" s="2390"/>
      <c r="P82" s="2389"/>
      <c r="Q82" s="2389"/>
      <c r="R82" s="2391"/>
    </row>
    <row r="83" spans="2:18" s="2364" customFormat="1">
      <c r="B83" s="2389"/>
      <c r="C83" s="2389"/>
      <c r="D83" s="2389"/>
      <c r="E83" s="2389"/>
      <c r="F83" s="2389"/>
      <c r="G83" s="2390"/>
      <c r="H83" s="2389"/>
      <c r="I83" s="2390"/>
      <c r="J83" s="2389"/>
      <c r="K83" s="2389"/>
      <c r="L83" s="2390"/>
      <c r="M83" s="2389"/>
      <c r="N83" s="2389"/>
      <c r="O83" s="2390"/>
      <c r="P83" s="2389"/>
      <c r="Q83" s="2389"/>
      <c r="R83" s="2391"/>
    </row>
    <row r="84" spans="2:18" s="2364" customFormat="1">
      <c r="B84" s="2389"/>
      <c r="C84" s="2389"/>
      <c r="D84" s="2389"/>
      <c r="E84" s="2389"/>
      <c r="F84" s="2389"/>
      <c r="G84" s="2390"/>
      <c r="H84" s="2389"/>
      <c r="I84" s="2390"/>
      <c r="J84" s="2389"/>
      <c r="K84" s="2389"/>
      <c r="L84" s="2390"/>
      <c r="M84" s="2389"/>
      <c r="N84" s="2389"/>
      <c r="O84" s="2390"/>
      <c r="P84" s="2389"/>
      <c r="Q84" s="2389"/>
      <c r="R84" s="2391"/>
    </row>
    <row r="85" spans="2:18" s="2364" customFormat="1">
      <c r="B85" s="2389"/>
      <c r="C85" s="2389"/>
      <c r="D85" s="2389"/>
      <c r="E85" s="2389"/>
      <c r="F85" s="2389"/>
      <c r="G85" s="2390"/>
      <c r="H85" s="2389"/>
      <c r="I85" s="2390"/>
      <c r="J85" s="2389"/>
      <c r="K85" s="2389"/>
      <c r="L85" s="2390"/>
      <c r="M85" s="2389"/>
      <c r="N85" s="2389"/>
      <c r="O85" s="2390"/>
      <c r="P85" s="2389"/>
      <c r="Q85" s="2389"/>
      <c r="R85" s="2391"/>
    </row>
    <row r="86" spans="2:18" s="2364" customFormat="1">
      <c r="B86" s="2389"/>
      <c r="C86" s="2389"/>
      <c r="D86" s="2389"/>
      <c r="E86" s="2389"/>
      <c r="F86" s="2389"/>
      <c r="G86" s="2390"/>
      <c r="H86" s="2389"/>
      <c r="I86" s="2390"/>
      <c r="J86" s="2389"/>
      <c r="K86" s="2389"/>
      <c r="L86" s="2390"/>
      <c r="M86" s="2389"/>
      <c r="N86" s="2389"/>
      <c r="O86" s="2390"/>
      <c r="P86" s="2389"/>
      <c r="Q86" s="2389"/>
      <c r="R86" s="2391"/>
    </row>
    <row r="87" spans="2:18" s="2364" customFormat="1">
      <c r="B87" s="2389"/>
      <c r="C87" s="2389"/>
      <c r="D87" s="2389"/>
      <c r="E87" s="2389"/>
      <c r="F87" s="2389"/>
      <c r="G87" s="2390"/>
      <c r="H87" s="2389"/>
      <c r="I87" s="2390"/>
      <c r="J87" s="2389"/>
      <c r="K87" s="2389"/>
      <c r="L87" s="2390"/>
      <c r="M87" s="2389"/>
      <c r="N87" s="2389"/>
      <c r="O87" s="2390"/>
      <c r="P87" s="2389"/>
      <c r="Q87" s="2389"/>
      <c r="R87" s="2391"/>
    </row>
    <row r="88" spans="2:18" s="2364" customFormat="1">
      <c r="B88" s="2389"/>
      <c r="C88" s="2389"/>
      <c r="D88" s="2389"/>
      <c r="E88" s="2389"/>
      <c r="F88" s="2389"/>
      <c r="G88" s="2390"/>
      <c r="H88" s="2389"/>
      <c r="I88" s="2390"/>
      <c r="J88" s="2389"/>
      <c r="K88" s="2389"/>
      <c r="L88" s="2390"/>
      <c r="M88" s="2389"/>
      <c r="N88" s="2389"/>
      <c r="O88" s="2390"/>
      <c r="P88" s="2389"/>
      <c r="Q88" s="2389"/>
      <c r="R88" s="2391"/>
    </row>
    <row r="89" spans="2:18" s="2364" customFormat="1">
      <c r="B89" s="2389"/>
      <c r="C89" s="2389"/>
      <c r="D89" s="2389"/>
      <c r="E89" s="2389"/>
      <c r="F89" s="2389"/>
      <c r="G89" s="2390"/>
      <c r="H89" s="2389"/>
      <c r="I89" s="2390"/>
      <c r="J89" s="2389"/>
      <c r="K89" s="2389"/>
      <c r="L89" s="2390"/>
      <c r="M89" s="2389"/>
      <c r="N89" s="2389"/>
      <c r="O89" s="2390"/>
      <c r="P89" s="2389"/>
      <c r="Q89" s="2389"/>
      <c r="R89" s="2391"/>
    </row>
    <row r="90" spans="2:18" s="2364" customFormat="1">
      <c r="B90" s="2389"/>
      <c r="C90" s="2389"/>
      <c r="D90" s="2389"/>
      <c r="E90" s="2389"/>
      <c r="F90" s="2389"/>
      <c r="G90" s="2390"/>
      <c r="H90" s="2389"/>
      <c r="I90" s="2390"/>
      <c r="J90" s="2389"/>
      <c r="K90" s="2389"/>
      <c r="L90" s="2390"/>
      <c r="M90" s="2389"/>
      <c r="N90" s="2389"/>
      <c r="O90" s="2390"/>
      <c r="P90" s="2389"/>
      <c r="Q90" s="2389"/>
      <c r="R90" s="2391"/>
    </row>
    <row r="91" spans="2:18" s="2364" customFormat="1">
      <c r="B91" s="2389"/>
      <c r="C91" s="2389"/>
      <c r="D91" s="2389"/>
      <c r="E91" s="2389"/>
      <c r="F91" s="2389"/>
      <c r="G91" s="2390"/>
      <c r="H91" s="2389"/>
      <c r="I91" s="2390"/>
      <c r="J91" s="2389"/>
      <c r="K91" s="2389"/>
      <c r="L91" s="2390"/>
      <c r="M91" s="2389"/>
      <c r="N91" s="2389"/>
      <c r="O91" s="2390"/>
      <c r="P91" s="2389"/>
      <c r="Q91" s="2389"/>
      <c r="R91" s="2391"/>
    </row>
    <row r="92" spans="2:18" s="2364" customFormat="1">
      <c r="B92" s="2389"/>
      <c r="C92" s="2389"/>
      <c r="D92" s="2389"/>
      <c r="E92" s="2389"/>
      <c r="F92" s="2389"/>
      <c r="G92" s="2390"/>
      <c r="H92" s="2389"/>
      <c r="I92" s="2390"/>
      <c r="J92" s="2389"/>
      <c r="K92" s="2389"/>
      <c r="L92" s="2390"/>
      <c r="M92" s="2389"/>
      <c r="N92" s="2389"/>
      <c r="O92" s="2390"/>
      <c r="P92" s="2389"/>
      <c r="Q92" s="2389"/>
      <c r="R92" s="2391"/>
    </row>
    <row r="93" spans="2:18" s="2364" customFormat="1">
      <c r="B93" s="2389"/>
      <c r="C93" s="2389"/>
      <c r="D93" s="2389"/>
      <c r="E93" s="2389"/>
      <c r="F93" s="2389"/>
      <c r="G93" s="2390"/>
      <c r="H93" s="2389"/>
      <c r="I93" s="2390"/>
      <c r="J93" s="2389"/>
      <c r="K93" s="2389"/>
      <c r="L93" s="2390"/>
      <c r="M93" s="2389"/>
      <c r="N93" s="2389"/>
      <c r="O93" s="2390"/>
      <c r="P93" s="2389"/>
      <c r="Q93" s="2389"/>
      <c r="R93" s="2391"/>
    </row>
    <row r="94" spans="2:18" s="2364" customFormat="1">
      <c r="B94" s="2389"/>
      <c r="C94" s="2389"/>
      <c r="D94" s="2389"/>
      <c r="E94" s="2389"/>
      <c r="F94" s="2389"/>
      <c r="G94" s="2390"/>
      <c r="H94" s="2389"/>
      <c r="I94" s="2390"/>
      <c r="J94" s="2389"/>
      <c r="K94" s="2389"/>
      <c r="L94" s="2390"/>
      <c r="M94" s="2389"/>
      <c r="N94" s="2389"/>
      <c r="O94" s="2390"/>
      <c r="P94" s="2389"/>
      <c r="Q94" s="2389"/>
      <c r="R94" s="2391"/>
    </row>
    <row r="95" spans="2:18" s="2364" customFormat="1">
      <c r="B95" s="2389"/>
      <c r="C95" s="2389"/>
      <c r="D95" s="2389"/>
      <c r="E95" s="2389"/>
      <c r="F95" s="2389"/>
      <c r="G95" s="2390"/>
      <c r="H95" s="2389"/>
      <c r="I95" s="2390"/>
      <c r="J95" s="2389"/>
      <c r="K95" s="2389"/>
      <c r="L95" s="2390"/>
      <c r="M95" s="2389"/>
      <c r="N95" s="2389"/>
      <c r="O95" s="2390"/>
      <c r="P95" s="2389"/>
      <c r="Q95" s="2389"/>
      <c r="R95" s="2391"/>
    </row>
    <row r="96" spans="2:18" s="2364" customFormat="1">
      <c r="B96" s="2389"/>
      <c r="C96" s="2389"/>
      <c r="D96" s="2389"/>
      <c r="E96" s="2389"/>
      <c r="F96" s="2389"/>
      <c r="G96" s="2390"/>
      <c r="H96" s="2389"/>
      <c r="I96" s="2390"/>
      <c r="J96" s="2389"/>
      <c r="K96" s="2389"/>
      <c r="L96" s="2390"/>
      <c r="M96" s="2389"/>
      <c r="N96" s="2389"/>
      <c r="O96" s="2390"/>
      <c r="P96" s="2389"/>
      <c r="Q96" s="2389"/>
      <c r="R96" s="2391"/>
    </row>
    <row r="97" spans="2:18" s="2364" customFormat="1">
      <c r="B97" s="2389"/>
      <c r="C97" s="2389"/>
      <c r="D97" s="2389"/>
      <c r="E97" s="2389"/>
      <c r="F97" s="2389"/>
      <c r="G97" s="2390"/>
      <c r="H97" s="2389"/>
      <c r="I97" s="2390"/>
      <c r="J97" s="2389"/>
      <c r="K97" s="2389"/>
      <c r="L97" s="2390"/>
      <c r="M97" s="2389"/>
      <c r="N97" s="2389"/>
      <c r="O97" s="2390"/>
      <c r="P97" s="2389"/>
      <c r="Q97" s="2389"/>
      <c r="R97" s="2391"/>
    </row>
    <row r="98" spans="2:18" s="2364" customFormat="1">
      <c r="B98" s="2389"/>
      <c r="C98" s="2389"/>
      <c r="D98" s="2389"/>
      <c r="E98" s="2389"/>
      <c r="F98" s="2389"/>
      <c r="G98" s="2390"/>
      <c r="H98" s="2389"/>
      <c r="I98" s="2390"/>
      <c r="J98" s="2389"/>
      <c r="K98" s="2389"/>
      <c r="L98" s="2390"/>
      <c r="M98" s="2389"/>
      <c r="N98" s="2389"/>
      <c r="O98" s="2390"/>
      <c r="P98" s="2389"/>
      <c r="Q98" s="2389"/>
      <c r="R98" s="2391"/>
    </row>
    <row r="99" spans="2:18" s="2364" customFormat="1">
      <c r="B99" s="2389"/>
      <c r="C99" s="2389"/>
      <c r="D99" s="2389"/>
      <c r="E99" s="2389"/>
      <c r="F99" s="2389"/>
      <c r="G99" s="2390"/>
      <c r="H99" s="2389"/>
      <c r="I99" s="2390"/>
      <c r="J99" s="2389"/>
      <c r="K99" s="2389"/>
      <c r="L99" s="2390"/>
      <c r="M99" s="2389"/>
      <c r="N99" s="2389"/>
      <c r="O99" s="2390"/>
      <c r="P99" s="2389"/>
      <c r="Q99" s="2389"/>
      <c r="R99" s="2391"/>
    </row>
    <row r="100" spans="2:18" s="2364" customFormat="1">
      <c r="B100" s="2389"/>
      <c r="C100" s="2389"/>
      <c r="D100" s="2389"/>
      <c r="E100" s="2389"/>
      <c r="F100" s="2389"/>
      <c r="G100" s="2390"/>
      <c r="H100" s="2389"/>
      <c r="I100" s="2390"/>
      <c r="J100" s="2389"/>
      <c r="K100" s="2389"/>
      <c r="L100" s="2390"/>
      <c r="M100" s="2389"/>
      <c r="N100" s="2389"/>
      <c r="O100" s="2390"/>
      <c r="P100" s="2389"/>
      <c r="Q100" s="2389"/>
      <c r="R100" s="2391"/>
    </row>
    <row r="101" spans="2:18" s="2364" customFormat="1">
      <c r="B101" s="2389"/>
      <c r="C101" s="2389"/>
      <c r="D101" s="2389"/>
      <c r="E101" s="2389"/>
      <c r="F101" s="2389"/>
      <c r="G101" s="2390"/>
      <c r="H101" s="2389"/>
      <c r="I101" s="2390"/>
      <c r="J101" s="2389"/>
      <c r="K101" s="2389"/>
      <c r="L101" s="2390"/>
      <c r="M101" s="2389"/>
      <c r="N101" s="2389"/>
      <c r="O101" s="2390"/>
      <c r="P101" s="2389"/>
      <c r="Q101" s="2389"/>
      <c r="R101" s="2391"/>
    </row>
    <row r="102" spans="2:18" s="2364" customFormat="1">
      <c r="B102" s="2389"/>
      <c r="C102" s="2389"/>
      <c r="D102" s="2389"/>
      <c r="E102" s="2389"/>
      <c r="F102" s="2389"/>
      <c r="G102" s="2390"/>
      <c r="H102" s="2389"/>
      <c r="I102" s="2390"/>
      <c r="J102" s="2389"/>
      <c r="K102" s="2389"/>
      <c r="L102" s="2390"/>
      <c r="M102" s="2389"/>
      <c r="N102" s="2389"/>
      <c r="O102" s="2390"/>
      <c r="P102" s="2389"/>
      <c r="Q102" s="2389"/>
      <c r="R102" s="2391"/>
    </row>
    <row r="103" spans="2:18" s="2364" customFormat="1">
      <c r="B103" s="2389"/>
      <c r="C103" s="2389"/>
      <c r="D103" s="2389"/>
      <c r="E103" s="2389"/>
      <c r="F103" s="2389"/>
      <c r="G103" s="2390"/>
      <c r="H103" s="2389"/>
      <c r="I103" s="2390"/>
      <c r="J103" s="2389"/>
      <c r="K103" s="2389"/>
      <c r="L103" s="2390"/>
      <c r="M103" s="2389"/>
      <c r="N103" s="2389"/>
      <c r="O103" s="2390"/>
      <c r="P103" s="2389"/>
      <c r="Q103" s="2389"/>
      <c r="R103" s="2391"/>
    </row>
    <row r="104" spans="2:18" s="2364" customFormat="1">
      <c r="B104" s="2389"/>
      <c r="C104" s="2389"/>
      <c r="D104" s="2389"/>
      <c r="E104" s="2389"/>
      <c r="F104" s="2389"/>
      <c r="G104" s="2390"/>
      <c r="H104" s="2389"/>
      <c r="I104" s="2390"/>
      <c r="J104" s="2389"/>
      <c r="K104" s="2389"/>
      <c r="L104" s="2390"/>
      <c r="M104" s="2389"/>
      <c r="N104" s="2389"/>
      <c r="O104" s="2390"/>
      <c r="P104" s="2389"/>
      <c r="Q104" s="2389"/>
      <c r="R104" s="2391"/>
    </row>
    <row r="105" spans="2:18" s="2364" customFormat="1">
      <c r="B105" s="2389"/>
      <c r="C105" s="2389"/>
      <c r="D105" s="2389"/>
      <c r="E105" s="2389"/>
      <c r="F105" s="2389"/>
      <c r="G105" s="2390"/>
      <c r="H105" s="2389"/>
      <c r="I105" s="2390"/>
      <c r="J105" s="2389"/>
      <c r="K105" s="2389"/>
      <c r="L105" s="2390"/>
      <c r="M105" s="2389"/>
      <c r="N105" s="2389"/>
      <c r="O105" s="2390"/>
      <c r="P105" s="2389"/>
      <c r="Q105" s="2389"/>
      <c r="R105" s="2391"/>
    </row>
    <row r="106" spans="2:18" s="2364" customFormat="1">
      <c r="B106" s="2389"/>
      <c r="C106" s="2389"/>
      <c r="D106" s="2389"/>
      <c r="E106" s="2389"/>
      <c r="F106" s="2389"/>
      <c r="G106" s="2390"/>
      <c r="H106" s="2389"/>
      <c r="I106" s="2390"/>
      <c r="J106" s="2389"/>
      <c r="K106" s="2389"/>
      <c r="L106" s="2390"/>
      <c r="M106" s="2389"/>
      <c r="N106" s="2389"/>
      <c r="O106" s="2390"/>
      <c r="P106" s="2389"/>
      <c r="Q106" s="2389"/>
      <c r="R106" s="2391"/>
    </row>
    <row r="107" spans="2:18" s="2364" customFormat="1">
      <c r="B107" s="2389"/>
      <c r="C107" s="2389"/>
      <c r="D107" s="2389"/>
      <c r="E107" s="2389"/>
      <c r="F107" s="2389"/>
      <c r="G107" s="2390"/>
      <c r="H107" s="2389"/>
      <c r="I107" s="2390"/>
      <c r="J107" s="2389"/>
      <c r="K107" s="2389"/>
      <c r="L107" s="2390"/>
      <c r="M107" s="2389"/>
      <c r="N107" s="2389"/>
      <c r="O107" s="2390"/>
      <c r="P107" s="2389"/>
      <c r="Q107" s="2389"/>
      <c r="R107" s="2391"/>
    </row>
    <row r="108" spans="2:18" s="2364" customFormat="1">
      <c r="B108" s="2389"/>
      <c r="C108" s="2389"/>
      <c r="D108" s="2389"/>
      <c r="E108" s="2389"/>
      <c r="F108" s="2389"/>
      <c r="G108" s="2390"/>
      <c r="H108" s="2389"/>
      <c r="I108" s="2390"/>
      <c r="J108" s="2389"/>
      <c r="K108" s="2389"/>
      <c r="L108" s="2390"/>
      <c r="M108" s="2389"/>
      <c r="N108" s="2389"/>
      <c r="O108" s="2390"/>
      <c r="P108" s="2389"/>
      <c r="Q108" s="2389"/>
      <c r="R108" s="2391"/>
    </row>
    <row r="109" spans="2:18" s="2364" customFormat="1">
      <c r="B109" s="2389"/>
      <c r="C109" s="2389"/>
      <c r="D109" s="2389"/>
      <c r="E109" s="2389"/>
      <c r="F109" s="2389"/>
      <c r="G109" s="2390"/>
      <c r="H109" s="2389"/>
      <c r="I109" s="2390"/>
      <c r="J109" s="2389"/>
      <c r="K109" s="2389"/>
      <c r="L109" s="2390"/>
      <c r="M109" s="2389"/>
      <c r="N109" s="2389"/>
      <c r="O109" s="2390"/>
      <c r="P109" s="2389"/>
      <c r="Q109" s="2389"/>
      <c r="R109" s="2391"/>
    </row>
    <row r="110" spans="2:18" s="2364" customFormat="1">
      <c r="B110" s="2389"/>
      <c r="C110" s="2389"/>
      <c r="D110" s="2389"/>
      <c r="E110" s="2389"/>
      <c r="F110" s="2389"/>
      <c r="G110" s="2390"/>
      <c r="H110" s="2389"/>
      <c r="I110" s="2390"/>
      <c r="J110" s="2389"/>
      <c r="K110" s="2389"/>
      <c r="L110" s="2390"/>
      <c r="M110" s="2389"/>
      <c r="N110" s="2389"/>
      <c r="O110" s="2390"/>
      <c r="P110" s="2389"/>
      <c r="Q110" s="2389"/>
      <c r="R110" s="2391"/>
    </row>
    <row r="111" spans="2:18" s="2364" customFormat="1">
      <c r="B111" s="2389"/>
      <c r="C111" s="2389"/>
      <c r="D111" s="2389"/>
      <c r="E111" s="2389"/>
      <c r="F111" s="2389"/>
      <c r="G111" s="2390"/>
      <c r="H111" s="2389"/>
      <c r="I111" s="2390"/>
      <c r="J111" s="2389"/>
      <c r="K111" s="2389"/>
      <c r="L111" s="2390"/>
      <c r="M111" s="2389"/>
      <c r="N111" s="2389"/>
      <c r="O111" s="2390"/>
      <c r="P111" s="2389"/>
      <c r="Q111" s="2389"/>
      <c r="R111" s="2391"/>
    </row>
    <row r="112" spans="2:18" s="2364" customFormat="1">
      <c r="B112" s="2389"/>
      <c r="C112" s="2389"/>
      <c r="D112" s="2389"/>
      <c r="E112" s="2389"/>
      <c r="F112" s="2389"/>
      <c r="G112" s="2390"/>
      <c r="H112" s="2389"/>
      <c r="I112" s="2390"/>
      <c r="J112" s="2389"/>
      <c r="K112" s="2389"/>
      <c r="L112" s="2390"/>
      <c r="M112" s="2389"/>
      <c r="N112" s="2389"/>
      <c r="O112" s="2390"/>
      <c r="P112" s="2389"/>
      <c r="Q112" s="2389"/>
      <c r="R112" s="2391"/>
    </row>
    <row r="113" spans="2:18" s="2364" customFormat="1">
      <c r="B113" s="2389"/>
      <c r="C113" s="2389"/>
      <c r="D113" s="2389"/>
      <c r="E113" s="2389"/>
      <c r="F113" s="2389"/>
      <c r="G113" s="2390"/>
      <c r="H113" s="2389"/>
      <c r="I113" s="2390"/>
      <c r="J113" s="2389"/>
      <c r="K113" s="2389"/>
      <c r="L113" s="2390"/>
      <c r="M113" s="2389"/>
      <c r="N113" s="2389"/>
      <c r="O113" s="2390"/>
      <c r="P113" s="2389"/>
      <c r="Q113" s="2389"/>
      <c r="R113" s="2391"/>
    </row>
    <row r="114" spans="2:18" s="2364" customFormat="1">
      <c r="B114" s="2389"/>
      <c r="C114" s="2389"/>
      <c r="D114" s="2389"/>
      <c r="E114" s="2389"/>
      <c r="F114" s="2389"/>
      <c r="G114" s="2390"/>
      <c r="H114" s="2389"/>
      <c r="I114" s="2390"/>
      <c r="J114" s="2389"/>
      <c r="K114" s="2389"/>
      <c r="L114" s="2390"/>
      <c r="M114" s="2389"/>
      <c r="N114" s="2389"/>
      <c r="O114" s="2390"/>
      <c r="P114" s="2389"/>
      <c r="Q114" s="2389"/>
      <c r="R114" s="2391"/>
    </row>
    <row r="115" spans="2:18" s="2364" customFormat="1">
      <c r="B115" s="2389"/>
      <c r="C115" s="2389"/>
      <c r="D115" s="2389"/>
      <c r="E115" s="2389"/>
      <c r="F115" s="2389"/>
      <c r="G115" s="2390"/>
      <c r="H115" s="2389"/>
      <c r="I115" s="2390"/>
      <c r="J115" s="2389"/>
      <c r="K115" s="2389"/>
      <c r="L115" s="2390"/>
      <c r="M115" s="2389"/>
      <c r="N115" s="2389"/>
      <c r="O115" s="2390"/>
      <c r="P115" s="2389"/>
      <c r="Q115" s="2389"/>
      <c r="R115" s="2391"/>
    </row>
    <row r="116" spans="2:18" s="2364" customFormat="1">
      <c r="B116" s="2389"/>
      <c r="C116" s="2389"/>
      <c r="D116" s="2389"/>
      <c r="E116" s="2389"/>
      <c r="F116" s="2389"/>
      <c r="G116" s="2390"/>
      <c r="H116" s="2389"/>
      <c r="I116" s="2390"/>
      <c r="J116" s="2389"/>
      <c r="K116" s="2389"/>
      <c r="L116" s="2390"/>
      <c r="M116" s="2389"/>
      <c r="N116" s="2389"/>
      <c r="O116" s="2390"/>
      <c r="P116" s="2389"/>
      <c r="Q116" s="2389"/>
      <c r="R116" s="2391"/>
    </row>
    <row r="117" spans="2:18" s="2364" customFormat="1">
      <c r="B117" s="2389"/>
      <c r="C117" s="2389"/>
      <c r="D117" s="2389"/>
      <c r="E117" s="2389"/>
      <c r="F117" s="2389"/>
      <c r="G117" s="2390"/>
      <c r="H117" s="2389"/>
      <c r="I117" s="2390"/>
      <c r="J117" s="2389"/>
      <c r="K117" s="2389"/>
      <c r="L117" s="2390"/>
      <c r="M117" s="2389"/>
      <c r="N117" s="2389"/>
      <c r="O117" s="2390"/>
      <c r="P117" s="2389"/>
      <c r="Q117" s="2389"/>
      <c r="R117" s="2391"/>
    </row>
    <row r="118" spans="2:18" s="2364" customFormat="1">
      <c r="B118" s="2389"/>
      <c r="C118" s="2389"/>
      <c r="D118" s="2389"/>
      <c r="E118" s="2389"/>
      <c r="F118" s="2389"/>
      <c r="G118" s="2390"/>
      <c r="H118" s="2389"/>
      <c r="I118" s="2390"/>
      <c r="J118" s="2389"/>
      <c r="K118" s="2389"/>
      <c r="L118" s="2390"/>
      <c r="M118" s="2389"/>
      <c r="N118" s="2389"/>
      <c r="O118" s="2390"/>
      <c r="P118" s="2389"/>
      <c r="Q118" s="2389"/>
      <c r="R118" s="2391"/>
    </row>
    <row r="119" spans="2:18" s="2364" customFormat="1">
      <c r="B119" s="2389"/>
      <c r="C119" s="2389"/>
      <c r="D119" s="2389"/>
      <c r="E119" s="2389"/>
      <c r="F119" s="2389"/>
      <c r="G119" s="2390"/>
      <c r="H119" s="2389"/>
      <c r="I119" s="2390"/>
      <c r="J119" s="2389"/>
      <c r="K119" s="2389"/>
      <c r="L119" s="2390"/>
      <c r="M119" s="2389"/>
      <c r="N119" s="2389"/>
      <c r="O119" s="2390"/>
      <c r="P119" s="2389"/>
      <c r="Q119" s="2389"/>
      <c r="R119" s="2391"/>
    </row>
    <row r="120" spans="2:18" s="2364" customFormat="1">
      <c r="B120" s="2389"/>
      <c r="C120" s="2389"/>
      <c r="D120" s="2389"/>
      <c r="E120" s="2389"/>
      <c r="F120" s="2389"/>
      <c r="G120" s="2390"/>
      <c r="H120" s="2389"/>
      <c r="I120" s="2390"/>
      <c r="J120" s="2389"/>
      <c r="K120" s="2389"/>
      <c r="L120" s="2390"/>
      <c r="M120" s="2389"/>
      <c r="N120" s="2389"/>
      <c r="O120" s="2390"/>
      <c r="P120" s="2389"/>
      <c r="Q120" s="2389"/>
      <c r="R120" s="2391"/>
    </row>
    <row r="121" spans="2:18" s="2364" customFormat="1">
      <c r="B121" s="2389"/>
      <c r="C121" s="2389"/>
      <c r="D121" s="2389"/>
      <c r="E121" s="2389"/>
      <c r="F121" s="2389"/>
      <c r="G121" s="2390"/>
      <c r="H121" s="2389"/>
      <c r="I121" s="2390"/>
      <c r="J121" s="2389"/>
      <c r="K121" s="2389"/>
      <c r="L121" s="2390"/>
      <c r="M121" s="2389"/>
      <c r="N121" s="2389"/>
      <c r="O121" s="2390"/>
      <c r="P121" s="2389"/>
      <c r="Q121" s="2389"/>
      <c r="R121" s="2391"/>
    </row>
    <row r="122" spans="2:18" s="2364" customFormat="1">
      <c r="B122" s="2389"/>
      <c r="C122" s="2389"/>
      <c r="D122" s="2389"/>
      <c r="E122" s="2389"/>
      <c r="F122" s="2389"/>
      <c r="G122" s="2390"/>
      <c r="H122" s="2389"/>
      <c r="I122" s="2390"/>
      <c r="J122" s="2389"/>
      <c r="K122" s="2389"/>
      <c r="L122" s="2390"/>
      <c r="M122" s="2389"/>
      <c r="N122" s="2389"/>
      <c r="O122" s="2390"/>
      <c r="P122" s="2389"/>
      <c r="Q122" s="2389"/>
      <c r="R122" s="2391"/>
    </row>
    <row r="123" spans="2:18" s="2364" customFormat="1">
      <c r="B123" s="2389"/>
      <c r="C123" s="2389"/>
      <c r="D123" s="2389"/>
      <c r="E123" s="2389"/>
      <c r="F123" s="2389"/>
      <c r="G123" s="2390"/>
      <c r="H123" s="2389"/>
      <c r="I123" s="2390"/>
      <c r="J123" s="2389"/>
      <c r="K123" s="2389"/>
      <c r="L123" s="2390"/>
      <c r="M123" s="2389"/>
      <c r="N123" s="2389"/>
      <c r="O123" s="2390"/>
      <c r="P123" s="2389"/>
      <c r="Q123" s="2389"/>
      <c r="R123" s="2391"/>
    </row>
    <row r="124" spans="2:18" s="2364" customFormat="1">
      <c r="B124" s="2389"/>
      <c r="C124" s="2389"/>
      <c r="D124" s="2389"/>
      <c r="E124" s="2389"/>
      <c r="F124" s="2389"/>
      <c r="G124" s="2390"/>
      <c r="H124" s="2389"/>
      <c r="I124" s="2390"/>
      <c r="J124" s="2389"/>
      <c r="K124" s="2389"/>
      <c r="L124" s="2390"/>
      <c r="M124" s="2389"/>
      <c r="N124" s="2389"/>
      <c r="O124" s="2390"/>
      <c r="P124" s="2389"/>
      <c r="Q124" s="2389"/>
      <c r="R124" s="2391"/>
    </row>
    <row r="125" spans="2:18" s="2364" customFormat="1">
      <c r="B125" s="2389"/>
      <c r="C125" s="2389"/>
      <c r="D125" s="2389"/>
      <c r="E125" s="2389"/>
      <c r="F125" s="2389"/>
      <c r="G125" s="2390"/>
      <c r="H125" s="2389"/>
      <c r="I125" s="2390"/>
      <c r="J125" s="2389"/>
      <c r="K125" s="2389"/>
      <c r="L125" s="2390"/>
      <c r="M125" s="2389"/>
      <c r="N125" s="2389"/>
      <c r="O125" s="2390"/>
      <c r="P125" s="2389"/>
      <c r="Q125" s="2389"/>
      <c r="R125" s="2391"/>
    </row>
    <row r="126" spans="2:18" s="2364" customFormat="1">
      <c r="B126" s="2389"/>
      <c r="C126" s="2389"/>
      <c r="D126" s="2389"/>
      <c r="E126" s="2389"/>
      <c r="F126" s="2389"/>
      <c r="G126" s="2390"/>
      <c r="H126" s="2389"/>
      <c r="I126" s="2390"/>
      <c r="J126" s="2389"/>
      <c r="K126" s="2389"/>
      <c r="L126" s="2390"/>
      <c r="M126" s="2389"/>
      <c r="N126" s="2389"/>
      <c r="O126" s="2390"/>
      <c r="P126" s="2389"/>
      <c r="Q126" s="2389"/>
      <c r="R126" s="2391"/>
    </row>
    <row r="127" spans="2:18" s="2364" customFormat="1">
      <c r="B127" s="2389"/>
      <c r="C127" s="2389"/>
      <c r="D127" s="2389"/>
      <c r="E127" s="2389"/>
      <c r="F127" s="2389"/>
      <c r="G127" s="2390"/>
      <c r="H127" s="2389"/>
      <c r="I127" s="2390"/>
      <c r="J127" s="2389"/>
      <c r="K127" s="2389"/>
      <c r="L127" s="2390"/>
      <c r="M127" s="2389"/>
      <c r="N127" s="2389"/>
      <c r="O127" s="2390"/>
      <c r="P127" s="2389"/>
      <c r="Q127" s="2389"/>
      <c r="R127" s="2391"/>
    </row>
    <row r="128" spans="2:18" s="2364" customFormat="1">
      <c r="B128" s="2389"/>
      <c r="C128" s="2389"/>
      <c r="D128" s="2389"/>
      <c r="E128" s="2389"/>
      <c r="F128" s="2389"/>
      <c r="G128" s="2390"/>
      <c r="H128" s="2389"/>
      <c r="I128" s="2390"/>
      <c r="J128" s="2389"/>
      <c r="K128" s="2389"/>
      <c r="L128" s="2390"/>
      <c r="M128" s="2389"/>
      <c r="N128" s="2389"/>
      <c r="O128" s="2390"/>
      <c r="P128" s="2389"/>
      <c r="Q128" s="2389"/>
      <c r="R128" s="2391"/>
    </row>
    <row r="129" spans="2:18" s="2364" customFormat="1">
      <c r="B129" s="2389"/>
      <c r="C129" s="2389"/>
      <c r="D129" s="2389"/>
      <c r="E129" s="2389"/>
      <c r="F129" s="2389"/>
      <c r="G129" s="2390"/>
      <c r="H129" s="2389"/>
      <c r="I129" s="2390"/>
      <c r="J129" s="2389"/>
      <c r="K129" s="2389"/>
      <c r="L129" s="2390"/>
      <c r="M129" s="2389"/>
      <c r="N129" s="2389"/>
      <c r="O129" s="2390"/>
      <c r="P129" s="2389"/>
      <c r="Q129" s="2389"/>
      <c r="R129" s="2391"/>
    </row>
    <row r="130" spans="2:18" s="2364" customFormat="1">
      <c r="B130" s="2389"/>
      <c r="C130" s="2389"/>
      <c r="D130" s="2389"/>
      <c r="E130" s="2389"/>
      <c r="F130" s="2389"/>
      <c r="G130" s="2390"/>
      <c r="H130" s="2389"/>
      <c r="I130" s="2390"/>
      <c r="J130" s="2389"/>
      <c r="K130" s="2389"/>
      <c r="L130" s="2390"/>
      <c r="M130" s="2389"/>
      <c r="N130" s="2389"/>
      <c r="O130" s="2390"/>
      <c r="P130" s="2389"/>
      <c r="Q130" s="2389"/>
      <c r="R130" s="2391"/>
    </row>
    <row r="131" spans="2:18" s="2364" customFormat="1">
      <c r="B131" s="2389"/>
      <c r="C131" s="2389"/>
      <c r="D131" s="2389"/>
      <c r="E131" s="2389"/>
      <c r="F131" s="2389"/>
      <c r="G131" s="2390"/>
      <c r="H131" s="2389"/>
      <c r="I131" s="2390"/>
      <c r="J131" s="2389"/>
      <c r="K131" s="2389"/>
      <c r="L131" s="2390"/>
      <c r="M131" s="2389"/>
      <c r="N131" s="2389"/>
      <c r="O131" s="2390"/>
      <c r="P131" s="2389"/>
      <c r="Q131" s="2389"/>
      <c r="R131" s="2391"/>
    </row>
    <row r="132" spans="2:18" s="2364" customFormat="1">
      <c r="B132" s="2389"/>
      <c r="C132" s="2389"/>
      <c r="D132" s="2389"/>
      <c r="E132" s="2389"/>
      <c r="F132" s="2389"/>
      <c r="G132" s="2390"/>
      <c r="H132" s="2389"/>
      <c r="I132" s="2390"/>
      <c r="J132" s="2389"/>
      <c r="K132" s="2389"/>
      <c r="L132" s="2390"/>
      <c r="M132" s="2389"/>
      <c r="N132" s="2389"/>
      <c r="O132" s="2390"/>
      <c r="P132" s="2389"/>
      <c r="Q132" s="2389"/>
      <c r="R132" s="2391"/>
    </row>
    <row r="133" spans="2:18" s="2364" customFormat="1">
      <c r="B133" s="2389"/>
      <c r="C133" s="2389"/>
      <c r="D133" s="2389"/>
      <c r="E133" s="2389"/>
      <c r="F133" s="2389"/>
      <c r="G133" s="2390"/>
      <c r="H133" s="2389"/>
      <c r="I133" s="2390"/>
      <c r="J133" s="2389"/>
      <c r="K133" s="2389"/>
      <c r="L133" s="2390"/>
      <c r="M133" s="2389"/>
      <c r="N133" s="2389"/>
      <c r="O133" s="2390"/>
      <c r="P133" s="2389"/>
      <c r="Q133" s="2389"/>
      <c r="R133" s="2391"/>
    </row>
    <row r="134" spans="2:18" s="2364" customFormat="1">
      <c r="B134" s="2389"/>
      <c r="C134" s="2389"/>
      <c r="D134" s="2389"/>
      <c r="E134" s="2389"/>
      <c r="F134" s="2389"/>
      <c r="G134" s="2390"/>
      <c r="H134" s="2389"/>
      <c r="I134" s="2390"/>
      <c r="J134" s="2389"/>
      <c r="K134" s="2389"/>
      <c r="L134" s="2390"/>
      <c r="M134" s="2389"/>
      <c r="N134" s="2389"/>
      <c r="O134" s="2390"/>
      <c r="P134" s="2389"/>
      <c r="Q134" s="2389"/>
      <c r="R134" s="2391"/>
    </row>
    <row r="135" spans="2:18" s="2364" customFormat="1">
      <c r="B135" s="2389"/>
      <c r="C135" s="2389"/>
      <c r="D135" s="2389"/>
      <c r="E135" s="2389"/>
      <c r="F135" s="2389"/>
      <c r="G135" s="2390"/>
      <c r="H135" s="2389"/>
      <c r="I135" s="2390"/>
      <c r="J135" s="2389"/>
      <c r="K135" s="2389"/>
      <c r="L135" s="2390"/>
      <c r="M135" s="2389"/>
      <c r="N135" s="2389"/>
      <c r="O135" s="2390"/>
      <c r="P135" s="2389"/>
      <c r="Q135" s="2389"/>
      <c r="R135" s="2391"/>
    </row>
    <row r="136" spans="2:18" s="2364" customFormat="1">
      <c r="B136" s="2389"/>
      <c r="C136" s="2389"/>
      <c r="D136" s="2389"/>
      <c r="E136" s="2389"/>
      <c r="F136" s="2389"/>
      <c r="G136" s="2390"/>
      <c r="H136" s="2389"/>
      <c r="I136" s="2390"/>
      <c r="J136" s="2389"/>
      <c r="K136" s="2389"/>
      <c r="L136" s="2390"/>
      <c r="M136" s="2389"/>
      <c r="N136" s="2389"/>
      <c r="O136" s="2390"/>
      <c r="P136" s="2389"/>
      <c r="Q136" s="2389"/>
      <c r="R136" s="2391"/>
    </row>
    <row r="137" spans="2:18" s="2364" customFormat="1">
      <c r="B137" s="2389"/>
      <c r="C137" s="2389"/>
      <c r="D137" s="2389"/>
      <c r="E137" s="2389"/>
      <c r="F137" s="2389"/>
      <c r="G137" s="2390"/>
      <c r="H137" s="2389"/>
      <c r="I137" s="2390"/>
      <c r="J137" s="2389"/>
      <c r="K137" s="2389"/>
      <c r="L137" s="2390"/>
      <c r="M137" s="2389"/>
      <c r="N137" s="2389"/>
      <c r="O137" s="2390"/>
      <c r="P137" s="2389"/>
      <c r="Q137" s="2389"/>
      <c r="R137" s="2391"/>
    </row>
    <row r="138" spans="2:18" s="2364" customFormat="1">
      <c r="B138" s="2389"/>
      <c r="C138" s="2389"/>
      <c r="D138" s="2389"/>
      <c r="E138" s="2389"/>
      <c r="F138" s="2389"/>
      <c r="G138" s="2390"/>
      <c r="H138" s="2389"/>
      <c r="I138" s="2390"/>
      <c r="J138" s="2389"/>
      <c r="K138" s="2389"/>
      <c r="L138" s="2390"/>
      <c r="M138" s="2389"/>
      <c r="N138" s="2389"/>
      <c r="O138" s="2390"/>
      <c r="P138" s="2389"/>
      <c r="Q138" s="2389"/>
      <c r="R138" s="2391"/>
    </row>
    <row r="139" spans="2:18" s="2364" customFormat="1">
      <c r="B139" s="2389"/>
      <c r="C139" s="2389"/>
      <c r="D139" s="2389"/>
      <c r="E139" s="2389"/>
      <c r="F139" s="2389"/>
      <c r="G139" s="2390"/>
      <c r="H139" s="2389"/>
      <c r="I139" s="2390"/>
      <c r="J139" s="2389"/>
      <c r="K139" s="2389"/>
      <c r="L139" s="2390"/>
      <c r="M139" s="2389"/>
      <c r="N139" s="2389"/>
      <c r="O139" s="2390"/>
      <c r="P139" s="2389"/>
      <c r="Q139" s="2389"/>
      <c r="R139" s="2391"/>
    </row>
    <row r="140" spans="2:18" s="2364" customFormat="1">
      <c r="B140" s="2389"/>
      <c r="C140" s="2389"/>
      <c r="D140" s="2389"/>
      <c r="E140" s="2389"/>
      <c r="F140" s="2389"/>
      <c r="G140" s="2390"/>
      <c r="H140" s="2389"/>
      <c r="I140" s="2390"/>
      <c r="J140" s="2389"/>
      <c r="K140" s="2389"/>
      <c r="L140" s="2390"/>
      <c r="M140" s="2389"/>
      <c r="N140" s="2389"/>
      <c r="O140" s="2390"/>
      <c r="P140" s="2389"/>
      <c r="Q140" s="2389"/>
      <c r="R140" s="2391"/>
    </row>
    <row r="141" spans="2:18" s="2364" customFormat="1">
      <c r="B141" s="2389"/>
      <c r="C141" s="2389"/>
      <c r="D141" s="2389"/>
      <c r="E141" s="2389"/>
      <c r="F141" s="2389"/>
      <c r="G141" s="2390"/>
      <c r="H141" s="2389"/>
      <c r="I141" s="2390"/>
      <c r="J141" s="2389"/>
      <c r="K141" s="2389"/>
      <c r="L141" s="2390"/>
      <c r="M141" s="2389"/>
      <c r="N141" s="2389"/>
      <c r="O141" s="2390"/>
      <c r="P141" s="2389"/>
      <c r="Q141" s="2389"/>
      <c r="R141" s="2391"/>
    </row>
    <row r="142" spans="2:18" s="2364" customFormat="1">
      <c r="B142" s="2389"/>
      <c r="C142" s="2389"/>
      <c r="D142" s="2389"/>
      <c r="E142" s="2389"/>
      <c r="F142" s="2389"/>
      <c r="G142" s="2390"/>
      <c r="H142" s="2389"/>
      <c r="I142" s="2390"/>
      <c r="J142" s="2389"/>
      <c r="K142" s="2389"/>
      <c r="L142" s="2390"/>
      <c r="M142" s="2389"/>
      <c r="N142" s="2389"/>
      <c r="O142" s="2390"/>
      <c r="P142" s="2389"/>
      <c r="Q142" s="2389"/>
      <c r="R142" s="2391"/>
    </row>
    <row r="143" spans="2:18" s="2364" customFormat="1">
      <c r="B143" s="2389"/>
      <c r="C143" s="2389"/>
      <c r="D143" s="2389"/>
      <c r="E143" s="2389"/>
      <c r="F143" s="2389"/>
      <c r="G143" s="2390"/>
      <c r="H143" s="2389"/>
      <c r="I143" s="2390"/>
      <c r="J143" s="2389"/>
      <c r="K143" s="2389"/>
      <c r="L143" s="2390"/>
      <c r="M143" s="2389"/>
      <c r="N143" s="2389"/>
      <c r="O143" s="2390"/>
      <c r="P143" s="2389"/>
      <c r="Q143" s="2389"/>
      <c r="R143" s="2391"/>
    </row>
    <row r="144" spans="2:18" s="2364" customFormat="1">
      <c r="B144" s="2389"/>
      <c r="C144" s="2389"/>
      <c r="D144" s="2389"/>
      <c r="E144" s="2389"/>
      <c r="F144" s="2389"/>
      <c r="G144" s="2390"/>
      <c r="H144" s="2389"/>
      <c r="I144" s="2390"/>
      <c r="J144" s="2389"/>
      <c r="K144" s="2389"/>
      <c r="L144" s="2390"/>
      <c r="M144" s="2389"/>
      <c r="N144" s="2389"/>
      <c r="O144" s="2390"/>
      <c r="P144" s="2389"/>
      <c r="Q144" s="2389"/>
      <c r="R144" s="2391"/>
    </row>
    <row r="145" spans="2:18" s="2364" customFormat="1">
      <c r="B145" s="2389"/>
      <c r="C145" s="2389"/>
      <c r="D145" s="2389"/>
      <c r="E145" s="2389"/>
      <c r="F145" s="2389"/>
      <c r="G145" s="2390"/>
      <c r="H145" s="2389"/>
      <c r="I145" s="2390"/>
      <c r="J145" s="2389"/>
      <c r="K145" s="2389"/>
      <c r="L145" s="2390"/>
      <c r="M145" s="2389"/>
      <c r="N145" s="2389"/>
      <c r="O145" s="2390"/>
      <c r="P145" s="2389"/>
      <c r="Q145" s="2389"/>
      <c r="R145" s="2391"/>
    </row>
    <row r="146" spans="2:18" s="2364" customFormat="1">
      <c r="B146" s="2389"/>
      <c r="C146" s="2389"/>
      <c r="D146" s="2389"/>
      <c r="E146" s="2389"/>
      <c r="F146" s="2389"/>
      <c r="G146" s="2390"/>
      <c r="H146" s="2389"/>
      <c r="I146" s="2390"/>
      <c r="J146" s="2389"/>
      <c r="K146" s="2389"/>
      <c r="L146" s="2390"/>
      <c r="M146" s="2389"/>
      <c r="N146" s="2389"/>
      <c r="O146" s="2390"/>
      <c r="P146" s="2389"/>
      <c r="Q146" s="2389"/>
      <c r="R146" s="2391"/>
    </row>
    <row r="147" spans="2:18" s="2364" customFormat="1">
      <c r="B147" s="2389"/>
      <c r="C147" s="2389"/>
      <c r="D147" s="2389"/>
      <c r="E147" s="2389"/>
      <c r="F147" s="2389"/>
      <c r="G147" s="2390"/>
      <c r="H147" s="2389"/>
      <c r="I147" s="2390"/>
      <c r="J147" s="2389"/>
      <c r="K147" s="2389"/>
      <c r="L147" s="2390"/>
      <c r="M147" s="2389"/>
      <c r="N147" s="2389"/>
      <c r="O147" s="2390"/>
      <c r="P147" s="2389"/>
      <c r="Q147" s="2389"/>
      <c r="R147" s="2391"/>
    </row>
    <row r="148" spans="2:18" s="2364" customFormat="1">
      <c r="B148" s="2389"/>
      <c r="C148" s="2389"/>
      <c r="D148" s="2389"/>
      <c r="E148" s="2389"/>
      <c r="F148" s="2389"/>
      <c r="G148" s="2390"/>
      <c r="H148" s="2389"/>
      <c r="I148" s="2390"/>
      <c r="J148" s="2389"/>
      <c r="K148" s="2389"/>
      <c r="L148" s="2390"/>
      <c r="M148" s="2389"/>
      <c r="N148" s="2389"/>
      <c r="O148" s="2390"/>
      <c r="P148" s="2389"/>
      <c r="Q148" s="2389"/>
      <c r="R148" s="2391"/>
    </row>
    <row r="149" spans="2:18" s="2364" customFormat="1">
      <c r="B149" s="2389"/>
      <c r="C149" s="2389"/>
      <c r="D149" s="2389"/>
      <c r="E149" s="2389"/>
      <c r="F149" s="2389"/>
      <c r="G149" s="2390"/>
      <c r="H149" s="2389"/>
      <c r="I149" s="2390"/>
      <c r="J149" s="2389"/>
      <c r="K149" s="2389"/>
      <c r="L149" s="2390"/>
      <c r="M149" s="2389"/>
      <c r="N149" s="2389"/>
      <c r="O149" s="2390"/>
      <c r="P149" s="2389"/>
      <c r="Q149" s="2389"/>
      <c r="R149" s="2391"/>
    </row>
    <row r="150" spans="2:18" s="2364" customFormat="1">
      <c r="B150" s="2389"/>
      <c r="C150" s="2389"/>
      <c r="D150" s="2389"/>
      <c r="E150" s="2389"/>
      <c r="F150" s="2389"/>
      <c r="G150" s="2390"/>
      <c r="H150" s="2389"/>
      <c r="I150" s="2390"/>
      <c r="J150" s="2389"/>
      <c r="K150" s="2389"/>
      <c r="L150" s="2390"/>
      <c r="M150" s="2389"/>
      <c r="N150" s="2389"/>
      <c r="O150" s="2390"/>
      <c r="P150" s="2389"/>
      <c r="Q150" s="2389"/>
      <c r="R150" s="2391"/>
    </row>
    <row r="151" spans="2:18" s="2364" customFormat="1">
      <c r="B151" s="2389"/>
      <c r="C151" s="2389"/>
      <c r="D151" s="2389"/>
      <c r="E151" s="2389"/>
      <c r="F151" s="2389"/>
      <c r="G151" s="2390"/>
      <c r="H151" s="2389"/>
      <c r="I151" s="2390"/>
      <c r="J151" s="2389"/>
      <c r="K151" s="2389"/>
      <c r="L151" s="2390"/>
      <c r="M151" s="2389"/>
      <c r="N151" s="2389"/>
      <c r="O151" s="2390"/>
      <c r="P151" s="2389"/>
      <c r="Q151" s="2389"/>
      <c r="R151" s="2391"/>
    </row>
    <row r="152" spans="2:18" s="2364" customFormat="1">
      <c r="B152" s="2389"/>
      <c r="C152" s="2389"/>
      <c r="D152" s="2389"/>
      <c r="E152" s="2389"/>
      <c r="F152" s="2389"/>
      <c r="G152" s="2390"/>
      <c r="H152" s="2389"/>
      <c r="I152" s="2390"/>
      <c r="J152" s="2389"/>
      <c r="K152" s="2389"/>
      <c r="L152" s="2390"/>
      <c r="M152" s="2389"/>
      <c r="N152" s="2389"/>
      <c r="O152" s="2390"/>
      <c r="P152" s="2389"/>
      <c r="Q152" s="2389"/>
      <c r="R152" s="2391"/>
    </row>
    <row r="153" spans="2:18" s="2364" customFormat="1">
      <c r="B153" s="2389"/>
      <c r="C153" s="2389"/>
      <c r="D153" s="2389"/>
      <c r="E153" s="2389"/>
      <c r="F153" s="2389"/>
      <c r="G153" s="2390"/>
      <c r="H153" s="2389"/>
      <c r="I153" s="2390"/>
      <c r="J153" s="2389"/>
      <c r="K153" s="2389"/>
      <c r="L153" s="2390"/>
      <c r="M153" s="2389"/>
      <c r="N153" s="2389"/>
      <c r="O153" s="2390"/>
      <c r="P153" s="2389"/>
      <c r="Q153" s="2389"/>
      <c r="R153" s="2391"/>
    </row>
    <row r="154" spans="2:18" s="2364" customFormat="1">
      <c r="B154" s="2389"/>
      <c r="C154" s="2389"/>
      <c r="D154" s="2389"/>
      <c r="E154" s="2389"/>
      <c r="F154" s="2389"/>
      <c r="G154" s="2390"/>
      <c r="H154" s="2389"/>
      <c r="I154" s="2390"/>
      <c r="J154" s="2389"/>
      <c r="K154" s="2389"/>
      <c r="L154" s="2390"/>
      <c r="M154" s="2389"/>
      <c r="N154" s="2389"/>
      <c r="O154" s="2390"/>
      <c r="P154" s="2389"/>
      <c r="Q154" s="2389"/>
      <c r="R154" s="2391"/>
    </row>
    <row r="155" spans="2:18" s="2364" customFormat="1">
      <c r="B155" s="2389"/>
      <c r="C155" s="2389"/>
      <c r="D155" s="2389"/>
      <c r="E155" s="2389"/>
      <c r="F155" s="2389"/>
      <c r="G155" s="2390"/>
      <c r="H155" s="2389"/>
      <c r="I155" s="2390"/>
      <c r="J155" s="2389"/>
      <c r="K155" s="2389"/>
      <c r="L155" s="2390"/>
      <c r="M155" s="2389"/>
      <c r="N155" s="2389"/>
      <c r="O155" s="2390"/>
      <c r="P155" s="2389"/>
      <c r="Q155" s="2389"/>
      <c r="R155" s="2391"/>
    </row>
    <row r="156" spans="2:18" s="2364" customFormat="1">
      <c r="B156" s="2389"/>
      <c r="C156" s="2389"/>
      <c r="D156" s="2389"/>
      <c r="E156" s="2389"/>
      <c r="F156" s="2389"/>
      <c r="G156" s="2390"/>
      <c r="H156" s="2389"/>
      <c r="I156" s="2390"/>
      <c r="J156" s="2389"/>
      <c r="K156" s="2389"/>
      <c r="L156" s="2390"/>
      <c r="M156" s="2389"/>
      <c r="N156" s="2389"/>
      <c r="O156" s="2390"/>
      <c r="P156" s="2389"/>
      <c r="Q156" s="2389"/>
      <c r="R156" s="2391"/>
    </row>
    <row r="157" spans="2:18" s="2364" customFormat="1">
      <c r="B157" s="2389"/>
      <c r="C157" s="2389"/>
      <c r="D157" s="2389"/>
      <c r="E157" s="2389"/>
      <c r="F157" s="2389"/>
      <c r="G157" s="2390"/>
      <c r="H157" s="2389"/>
      <c r="I157" s="2390"/>
      <c r="J157" s="2389"/>
      <c r="K157" s="2389"/>
      <c r="L157" s="2390"/>
      <c r="M157" s="2389"/>
      <c r="N157" s="2389"/>
      <c r="O157" s="2390"/>
      <c r="P157" s="2389"/>
      <c r="Q157" s="2389"/>
      <c r="R157" s="2391"/>
    </row>
    <row r="158" spans="2:18" s="2364" customFormat="1">
      <c r="B158" s="2389"/>
      <c r="C158" s="2389"/>
      <c r="D158" s="2389"/>
      <c r="E158" s="2389"/>
      <c r="F158" s="2389"/>
      <c r="G158" s="2390"/>
      <c r="H158" s="2389"/>
      <c r="I158" s="2390"/>
      <c r="J158" s="2389"/>
      <c r="K158" s="2389"/>
      <c r="L158" s="2390"/>
      <c r="M158" s="2389"/>
      <c r="N158" s="2389"/>
      <c r="O158" s="2390"/>
      <c r="P158" s="2389"/>
      <c r="Q158" s="2389"/>
      <c r="R158" s="2391"/>
    </row>
    <row r="159" spans="2:18" s="2364" customFormat="1">
      <c r="B159" s="2389"/>
      <c r="C159" s="2389"/>
      <c r="D159" s="2389"/>
      <c r="E159" s="2389"/>
      <c r="F159" s="2389"/>
      <c r="G159" s="2390"/>
      <c r="H159" s="2389"/>
      <c r="I159" s="2390"/>
      <c r="J159" s="2389"/>
      <c r="K159" s="2389"/>
      <c r="L159" s="2390"/>
      <c r="M159" s="2389"/>
      <c r="N159" s="2389"/>
      <c r="O159" s="2390"/>
      <c r="P159" s="2389"/>
      <c r="Q159" s="2389"/>
      <c r="R159" s="2391"/>
    </row>
    <row r="160" spans="2:18" s="2364" customFormat="1">
      <c r="B160" s="2389"/>
      <c r="C160" s="2389"/>
      <c r="D160" s="2389"/>
      <c r="E160" s="2389"/>
      <c r="F160" s="2389"/>
      <c r="G160" s="2390"/>
      <c r="H160" s="2389"/>
      <c r="I160" s="2390"/>
      <c r="J160" s="2389"/>
      <c r="K160" s="2389"/>
      <c r="L160" s="2390"/>
      <c r="M160" s="2389"/>
      <c r="N160" s="2389"/>
      <c r="O160" s="2390"/>
      <c r="P160" s="2389"/>
      <c r="Q160" s="2389"/>
      <c r="R160" s="2391"/>
    </row>
    <row r="161" spans="2:18" s="2364" customFormat="1">
      <c r="B161" s="2389"/>
      <c r="C161" s="2389"/>
      <c r="D161" s="2389"/>
      <c r="E161" s="2389"/>
      <c r="F161" s="2389"/>
      <c r="G161" s="2390"/>
      <c r="H161" s="2389"/>
      <c r="I161" s="2390"/>
      <c r="J161" s="2389"/>
      <c r="K161" s="2389"/>
      <c r="L161" s="2390"/>
      <c r="M161" s="2389"/>
      <c r="N161" s="2389"/>
      <c r="O161" s="2390"/>
      <c r="P161" s="2389"/>
      <c r="Q161" s="2389"/>
      <c r="R161" s="2391"/>
    </row>
    <row r="162" spans="2:18" s="2364" customFormat="1">
      <c r="B162" s="2389"/>
      <c r="C162" s="2389"/>
      <c r="D162" s="2389"/>
      <c r="E162" s="2389"/>
      <c r="F162" s="2389"/>
      <c r="G162" s="2390"/>
      <c r="H162" s="2389"/>
      <c r="I162" s="2390"/>
      <c r="J162" s="2389"/>
      <c r="K162" s="2389"/>
      <c r="L162" s="2390"/>
      <c r="M162" s="2389"/>
      <c r="N162" s="2389"/>
      <c r="O162" s="2390"/>
      <c r="P162" s="2389"/>
      <c r="Q162" s="2389"/>
      <c r="R162" s="2391"/>
    </row>
    <row r="163" spans="2:18" s="2364" customFormat="1">
      <c r="B163" s="2389"/>
      <c r="C163" s="2389"/>
      <c r="D163" s="2389"/>
      <c r="E163" s="2389"/>
      <c r="F163" s="2389"/>
      <c r="G163" s="2390"/>
      <c r="H163" s="2389"/>
      <c r="I163" s="2390"/>
      <c r="J163" s="2389"/>
      <c r="K163" s="2389"/>
      <c r="L163" s="2390"/>
      <c r="M163" s="2389"/>
      <c r="N163" s="2389"/>
      <c r="O163" s="2390"/>
      <c r="P163" s="2389"/>
      <c r="Q163" s="2389"/>
      <c r="R163" s="2391"/>
    </row>
    <row r="164" spans="2:18" s="2364" customFormat="1">
      <c r="B164" s="2389"/>
      <c r="C164" s="2389"/>
      <c r="D164" s="2389"/>
      <c r="E164" s="2389"/>
      <c r="F164" s="2389"/>
      <c r="G164" s="2390"/>
      <c r="H164" s="2389"/>
      <c r="I164" s="2390"/>
      <c r="J164" s="2389"/>
      <c r="K164" s="2389"/>
      <c r="L164" s="2390"/>
      <c r="M164" s="2389"/>
      <c r="N164" s="2389"/>
      <c r="O164" s="2390"/>
      <c r="P164" s="2389"/>
      <c r="Q164" s="2389"/>
      <c r="R164" s="2391"/>
    </row>
    <row r="165" spans="2:18" s="2364" customFormat="1">
      <c r="B165" s="2389"/>
      <c r="C165" s="2389"/>
      <c r="D165" s="2389"/>
      <c r="E165" s="2389"/>
      <c r="F165" s="2389"/>
      <c r="G165" s="2390"/>
      <c r="H165" s="2389"/>
      <c r="I165" s="2390"/>
      <c r="J165" s="2389"/>
      <c r="K165" s="2389"/>
      <c r="L165" s="2390"/>
      <c r="M165" s="2389"/>
      <c r="N165" s="2389"/>
      <c r="O165" s="2390"/>
      <c r="P165" s="2389"/>
      <c r="Q165" s="2389"/>
      <c r="R165" s="2391"/>
    </row>
    <row r="166" spans="2:18" s="2364" customFormat="1">
      <c r="B166" s="2389"/>
      <c r="C166" s="2389"/>
      <c r="D166" s="2389"/>
      <c r="E166" s="2389"/>
      <c r="F166" s="2389"/>
      <c r="G166" s="2390"/>
      <c r="H166" s="2389"/>
      <c r="I166" s="2390"/>
      <c r="J166" s="2389"/>
      <c r="K166" s="2389"/>
      <c r="L166" s="2390"/>
      <c r="M166" s="2389"/>
      <c r="N166" s="2389"/>
      <c r="O166" s="2390"/>
      <c r="P166" s="2389"/>
      <c r="Q166" s="2389"/>
      <c r="R166" s="2391"/>
    </row>
    <row r="167" spans="2:18" s="2364" customFormat="1">
      <c r="B167" s="2389"/>
      <c r="C167" s="2389"/>
      <c r="D167" s="2389"/>
      <c r="E167" s="2389"/>
      <c r="F167" s="2389"/>
      <c r="G167" s="2390"/>
      <c r="H167" s="2389"/>
      <c r="I167" s="2390"/>
      <c r="J167" s="2389"/>
      <c r="K167" s="2389"/>
      <c r="L167" s="2390"/>
      <c r="M167" s="2389"/>
      <c r="N167" s="2389"/>
      <c r="O167" s="2390"/>
      <c r="P167" s="2389"/>
      <c r="Q167" s="2389"/>
      <c r="R167" s="2391"/>
    </row>
    <row r="168" spans="2:18" s="2364" customFormat="1">
      <c r="B168" s="2389"/>
      <c r="C168" s="2389"/>
      <c r="D168" s="2389"/>
      <c r="E168" s="2389"/>
      <c r="F168" s="2389"/>
      <c r="G168" s="2390"/>
      <c r="H168" s="2389"/>
      <c r="I168" s="2390"/>
      <c r="J168" s="2389"/>
      <c r="K168" s="2389"/>
      <c r="L168" s="2390"/>
      <c r="M168" s="2389"/>
      <c r="N168" s="2389"/>
      <c r="O168" s="2390"/>
      <c r="P168" s="2389"/>
      <c r="Q168" s="2389"/>
      <c r="R168" s="2391"/>
    </row>
    <row r="169" spans="2:18" s="2364" customFormat="1">
      <c r="B169" s="2389"/>
      <c r="C169" s="2389"/>
      <c r="D169" s="2389"/>
      <c r="E169" s="2389"/>
      <c r="F169" s="2389"/>
      <c r="G169" s="2390"/>
      <c r="H169" s="2389"/>
      <c r="I169" s="2390"/>
      <c r="J169" s="2389"/>
      <c r="K169" s="2389"/>
      <c r="L169" s="2390"/>
      <c r="M169" s="2389"/>
      <c r="N169" s="2389"/>
      <c r="O169" s="2390"/>
      <c r="P169" s="2389"/>
      <c r="Q169" s="2389"/>
      <c r="R169" s="2391"/>
    </row>
    <row r="170" spans="2:18" s="2364" customFormat="1">
      <c r="B170" s="2389"/>
      <c r="C170" s="2389"/>
      <c r="D170" s="2389"/>
      <c r="E170" s="2389"/>
      <c r="F170" s="2389"/>
      <c r="G170" s="2390"/>
      <c r="H170" s="2389"/>
      <c r="I170" s="2390"/>
      <c r="J170" s="2389"/>
      <c r="K170" s="2389"/>
      <c r="L170" s="2390"/>
      <c r="M170" s="2389"/>
      <c r="N170" s="2389"/>
      <c r="O170" s="2390"/>
      <c r="P170" s="2389"/>
      <c r="Q170" s="2389"/>
      <c r="R170" s="2391"/>
    </row>
    <row r="171" spans="2:18" s="2364" customFormat="1">
      <c r="B171" s="2389"/>
      <c r="C171" s="2389"/>
      <c r="D171" s="2389"/>
      <c r="E171" s="2389"/>
      <c r="F171" s="2389"/>
      <c r="G171" s="2390"/>
      <c r="H171" s="2389"/>
      <c r="I171" s="2390"/>
      <c r="J171" s="2389"/>
      <c r="K171" s="2389"/>
      <c r="L171" s="2390"/>
      <c r="M171" s="2389"/>
      <c r="N171" s="2389"/>
      <c r="O171" s="2390"/>
      <c r="P171" s="2389"/>
      <c r="Q171" s="2389"/>
      <c r="R171" s="2391"/>
    </row>
    <row r="172" spans="2:18" s="2364" customFormat="1">
      <c r="B172" s="2389"/>
      <c r="C172" s="2389"/>
      <c r="D172" s="2389"/>
      <c r="E172" s="2389"/>
      <c r="F172" s="2389"/>
      <c r="G172" s="2390"/>
      <c r="H172" s="2389"/>
      <c r="I172" s="2390"/>
      <c r="J172" s="2389"/>
      <c r="K172" s="2389"/>
      <c r="L172" s="2390"/>
      <c r="M172" s="2389"/>
      <c r="N172" s="2389"/>
      <c r="O172" s="2390"/>
      <c r="P172" s="2389"/>
      <c r="Q172" s="2389"/>
      <c r="R172" s="2391"/>
    </row>
    <row r="173" spans="2:18" s="2364" customFormat="1">
      <c r="B173" s="2389"/>
      <c r="C173" s="2389"/>
      <c r="D173" s="2389"/>
      <c r="E173" s="2389"/>
      <c r="F173" s="2389"/>
      <c r="G173" s="2390"/>
      <c r="H173" s="2389"/>
      <c r="I173" s="2390"/>
      <c r="J173" s="2389"/>
      <c r="K173" s="2389"/>
      <c r="L173" s="2390"/>
      <c r="M173" s="2389"/>
      <c r="N173" s="2389"/>
      <c r="O173" s="2390"/>
      <c r="P173" s="2389"/>
      <c r="Q173" s="2389"/>
      <c r="R173" s="2391"/>
    </row>
    <row r="174" spans="2:18" s="2364" customFormat="1">
      <c r="B174" s="2389"/>
      <c r="C174" s="2389"/>
      <c r="D174" s="2389"/>
      <c r="E174" s="2389"/>
      <c r="F174" s="2389"/>
      <c r="G174" s="2390"/>
      <c r="H174" s="2389"/>
      <c r="I174" s="2390"/>
      <c r="J174" s="2389"/>
      <c r="K174" s="2389"/>
      <c r="L174" s="2390"/>
      <c r="M174" s="2389"/>
      <c r="N174" s="2389"/>
      <c r="O174" s="2390"/>
      <c r="P174" s="2389"/>
      <c r="Q174" s="2389"/>
      <c r="R174" s="2391"/>
    </row>
    <row r="175" spans="2:18" s="2364" customFormat="1">
      <c r="B175" s="2389"/>
      <c r="C175" s="2389"/>
      <c r="D175" s="2389"/>
      <c r="E175" s="2389"/>
      <c r="F175" s="2389"/>
      <c r="G175" s="2390"/>
      <c r="H175" s="2389"/>
      <c r="I175" s="2390"/>
      <c r="J175" s="2389"/>
      <c r="K175" s="2389"/>
      <c r="L175" s="2390"/>
      <c r="M175" s="2389"/>
      <c r="N175" s="2389"/>
      <c r="O175" s="2390"/>
      <c r="P175" s="2389"/>
      <c r="Q175" s="2389"/>
      <c r="R175" s="2391"/>
    </row>
    <row r="176" spans="2:18" s="2364" customFormat="1">
      <c r="B176" s="2389"/>
      <c r="C176" s="2389"/>
      <c r="D176" s="2389"/>
      <c r="E176" s="2389"/>
      <c r="F176" s="2389"/>
      <c r="G176" s="2390"/>
      <c r="H176" s="2389"/>
      <c r="I176" s="2390"/>
      <c r="J176" s="2389"/>
      <c r="K176" s="2389"/>
      <c r="L176" s="2390"/>
      <c r="M176" s="2389"/>
      <c r="N176" s="2389"/>
      <c r="O176" s="2390"/>
      <c r="P176" s="2389"/>
      <c r="Q176" s="2389"/>
      <c r="R176" s="2391"/>
    </row>
    <row r="177" spans="1:18" s="2364" customFormat="1">
      <c r="B177" s="2389"/>
      <c r="C177" s="2389"/>
      <c r="D177" s="2389"/>
      <c r="E177" s="2389"/>
      <c r="F177" s="2389"/>
      <c r="G177" s="2390"/>
      <c r="H177" s="2389"/>
      <c r="I177" s="2390"/>
      <c r="J177" s="2389"/>
      <c r="K177" s="2389"/>
      <c r="L177" s="2390"/>
      <c r="M177" s="2389"/>
      <c r="N177" s="2389"/>
      <c r="O177" s="2390"/>
      <c r="P177" s="2389"/>
      <c r="Q177" s="2389"/>
      <c r="R177" s="2391"/>
    </row>
    <row r="178" spans="1:18" s="2364" customFormat="1">
      <c r="B178" s="2389"/>
      <c r="C178" s="2389"/>
      <c r="D178" s="2389"/>
      <c r="E178" s="2389"/>
      <c r="F178" s="2389"/>
      <c r="G178" s="2390"/>
      <c r="H178" s="2389"/>
      <c r="I178" s="2390"/>
      <c r="J178" s="2389"/>
      <c r="K178" s="2389"/>
      <c r="L178" s="2390"/>
      <c r="M178" s="2389"/>
      <c r="N178" s="2389"/>
      <c r="O178" s="2390"/>
      <c r="P178" s="2389"/>
      <c r="Q178" s="2389"/>
      <c r="R178" s="2391"/>
    </row>
    <row r="179" spans="1:18" s="2364" customFormat="1">
      <c r="B179" s="2389"/>
      <c r="C179" s="2389"/>
      <c r="D179" s="2389"/>
      <c r="E179" s="2389"/>
      <c r="F179" s="2389"/>
      <c r="G179" s="2390"/>
      <c r="H179" s="2389"/>
      <c r="I179" s="2390"/>
      <c r="J179" s="2389"/>
      <c r="K179" s="2389"/>
      <c r="L179" s="2390"/>
      <c r="M179" s="2389"/>
      <c r="N179" s="2389"/>
      <c r="O179" s="2390"/>
      <c r="P179" s="2389"/>
      <c r="Q179" s="2389"/>
      <c r="R179" s="2391"/>
    </row>
    <row r="180" spans="1:18" s="2364" customFormat="1">
      <c r="B180" s="2389"/>
      <c r="C180" s="2389"/>
      <c r="D180" s="2389"/>
      <c r="E180" s="2389"/>
      <c r="F180" s="2389"/>
      <c r="G180" s="2390"/>
      <c r="H180" s="2389"/>
      <c r="I180" s="2390"/>
      <c r="J180" s="2389"/>
      <c r="K180" s="2389"/>
      <c r="L180" s="2390"/>
      <c r="M180" s="2389"/>
      <c r="N180" s="2389"/>
      <c r="O180" s="2390"/>
      <c r="P180" s="2389"/>
      <c r="Q180" s="2389"/>
      <c r="R180" s="2391"/>
    </row>
    <row r="181" spans="1:18" s="2364" customFormat="1">
      <c r="B181" s="2389"/>
      <c r="C181" s="2389"/>
      <c r="D181" s="2389"/>
      <c r="E181" s="2389"/>
      <c r="F181" s="2389"/>
      <c r="G181" s="2390"/>
      <c r="H181" s="2389"/>
      <c r="I181" s="2390"/>
      <c r="J181" s="2389"/>
      <c r="K181" s="2389"/>
      <c r="L181" s="2390"/>
      <c r="M181" s="2389"/>
      <c r="N181" s="2389"/>
      <c r="O181" s="2390"/>
      <c r="P181" s="2389"/>
      <c r="Q181" s="2389"/>
      <c r="R181" s="2391"/>
    </row>
    <row r="182" spans="1:18" s="2364" customFormat="1">
      <c r="B182" s="2389"/>
      <c r="C182" s="2389"/>
      <c r="D182" s="2389"/>
      <c r="E182" s="2389"/>
      <c r="F182" s="2389"/>
      <c r="G182" s="2390"/>
      <c r="H182" s="2389"/>
      <c r="I182" s="2390"/>
      <c r="J182" s="2389"/>
      <c r="K182" s="2389"/>
      <c r="L182" s="2390"/>
      <c r="M182" s="2389"/>
      <c r="N182" s="2389"/>
      <c r="O182" s="2390"/>
      <c r="P182" s="2389"/>
      <c r="Q182" s="2389"/>
      <c r="R182" s="2391"/>
    </row>
    <row r="183" spans="1:18" s="2364" customFormat="1">
      <c r="B183" s="2389"/>
      <c r="C183" s="2389"/>
      <c r="D183" s="2389"/>
      <c r="E183" s="2389"/>
      <c r="F183" s="2389"/>
      <c r="G183" s="2390"/>
      <c r="H183" s="2389"/>
      <c r="I183" s="2390"/>
      <c r="J183" s="2389"/>
      <c r="K183" s="2389"/>
      <c r="L183" s="2390"/>
      <c r="M183" s="2389"/>
      <c r="N183" s="2389"/>
      <c r="O183" s="2390"/>
      <c r="P183" s="2389"/>
      <c r="Q183" s="2389"/>
      <c r="R183" s="2391"/>
    </row>
    <row r="184" spans="1:18" s="2364" customFormat="1">
      <c r="B184" s="2389"/>
      <c r="C184" s="2389"/>
      <c r="D184" s="2389"/>
      <c r="E184" s="2389"/>
      <c r="F184" s="2389"/>
      <c r="G184" s="2390"/>
      <c r="H184" s="2389"/>
      <c r="I184" s="2390"/>
      <c r="J184" s="2389"/>
      <c r="K184" s="2389"/>
      <c r="L184" s="2390"/>
      <c r="M184" s="2389"/>
      <c r="N184" s="2389"/>
      <c r="O184" s="2390"/>
      <c r="P184" s="2389"/>
      <c r="Q184" s="2389"/>
      <c r="R184" s="2391"/>
    </row>
    <row r="185" spans="1:18" s="2364"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4"/>
      <c r="B186" s="2389"/>
      <c r="C186" s="2389"/>
      <c r="E186" s="2389"/>
      <c r="F186" s="2389"/>
      <c r="G186" s="2390"/>
    </row>
    <row r="187" spans="1:18">
      <c r="A187" s="2364"/>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25398.790000000015</v>
      </c>
      <c r="C1" s="1742"/>
      <c r="D1" s="1742"/>
      <c r="E1" s="1742"/>
      <c r="F1" s="1742"/>
      <c r="G1" s="1740"/>
    </row>
    <row r="2" spans="1:10" ht="16.5">
      <c r="A2" s="1743" t="s">
        <v>1353</v>
      </c>
      <c r="B2" s="1743">
        <f>SUM(C14:C23)</f>
        <v>0</v>
      </c>
      <c r="C2" s="1742"/>
      <c r="D2" s="1742"/>
      <c r="E2" s="1742"/>
      <c r="F2" s="1742"/>
      <c r="G2" s="1740"/>
    </row>
    <row r="3" spans="1:10" ht="16.5">
      <c r="A3" s="1743" t="s">
        <v>1362</v>
      </c>
      <c r="B3" s="1744">
        <f>项目基本情况!D3</f>
        <v>43335</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70784</v>
      </c>
      <c r="C5" s="1743">
        <f ca="1">ROUND(B5*10000/$B$1,0)</f>
        <v>27869</v>
      </c>
      <c r="D5" s="1743" t="e">
        <f ca="1">ROUND(B5*10000/$B$2,0)</f>
        <v>#DIV/0!</v>
      </c>
      <c r="E5" s="1742"/>
      <c r="F5" s="1740"/>
      <c r="G5" s="1740"/>
    </row>
    <row r="6" spans="1:10" ht="16.5">
      <c r="A6" s="1743" t="s">
        <v>1356</v>
      </c>
      <c r="B6" s="1743">
        <f ca="1">SUM(G14:G23)</f>
        <v>70784</v>
      </c>
      <c r="C6" s="1743">
        <f ca="1">ROUND(B6*10000/$B$1,0)</f>
        <v>27869</v>
      </c>
      <c r="D6" s="1743" t="e">
        <f ca="1">ROUND(B6*10000/$B$2,0)</f>
        <v>#DIV/0!</v>
      </c>
      <c r="E6" s="1742"/>
      <c r="F6" s="1740"/>
      <c r="G6" s="1740"/>
    </row>
    <row r="7" spans="1:10" ht="16.5">
      <c r="A7" s="1743" t="s">
        <v>1364</v>
      </c>
      <c r="B7" s="1743">
        <f>SUM(H14:H23)</f>
        <v>0</v>
      </c>
      <c r="C7" s="1743">
        <f>ROUND(B7*10000/$B$1,0)</f>
        <v>0</v>
      </c>
      <c r="D7" s="1743" t="e">
        <f>ROUND(B7*10000/$B$2,0)</f>
        <v>#DIV/0!</v>
      </c>
      <c r="E7" s="1742"/>
      <c r="F7" s="1740"/>
      <c r="G7" s="1740"/>
    </row>
    <row r="8" spans="1:10" ht="16.5">
      <c r="A8" s="1743" t="s">
        <v>1285</v>
      </c>
      <c r="B8" s="1743">
        <f>SUM(I14:I23)</f>
        <v>0</v>
      </c>
      <c r="C8" s="1743">
        <f>ROUND(B8*10000/$B$1,0)</f>
        <v>0</v>
      </c>
      <c r="D8" s="1743" t="e">
        <f>ROUND(B8*10000/$B$2,0)</f>
        <v>#DIV/0!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25398.790000000015</v>
      </c>
      <c r="C14" s="1741">
        <f>结果表!C118</f>
        <v>0</v>
      </c>
      <c r="D14" s="1741">
        <f ca="1">结果表!H118</f>
        <v>70784</v>
      </c>
      <c r="E14" s="1741">
        <f ca="1">ROUND(D14*10000/B14,0)</f>
        <v>27869</v>
      </c>
      <c r="F14" s="1741" t="e">
        <f ca="1">ROUND(D14*10000/C14,0)</f>
        <v>#DIV/0!</v>
      </c>
      <c r="G14" s="1741">
        <f ca="1">结果表!D122</f>
        <v>70784</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D122" sqref="D122:I122"/>
    </sheetView>
  </sheetViews>
  <sheetFormatPr defaultColWidth="12.625" defaultRowHeight="21.75" customHeight="1"/>
  <cols>
    <col min="1" max="2" width="12.625" style="2418"/>
    <col min="3" max="4" width="12.6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22" t="s">
        <v>2114</v>
      </c>
      <c r="B1" s="2412"/>
      <c r="C1" s="2413"/>
      <c r="D1" s="2412"/>
      <c r="E1" s="2412"/>
      <c r="F1" s="2414" t="s">
        <v>2115</v>
      </c>
      <c r="G1" s="2067" t="s">
        <v>3047</v>
      </c>
      <c r="H1" s="2415" t="str">
        <f>IF(G1="现房","——","估价对象范围")</f>
        <v>——</v>
      </c>
      <c r="I1" s="2416"/>
    </row>
    <row r="2" spans="1:12" ht="21.75" customHeight="1" thickBot="1">
      <c r="A2" s="3137" t="str">
        <f>项目基本情况!S2</f>
        <v>北京市兴贸三街18号院四季悦城项目商业、办公用房房地产</v>
      </c>
      <c r="B2" s="3138"/>
      <c r="C2" s="3138"/>
      <c r="D2" s="3138"/>
      <c r="E2" s="3138"/>
      <c r="F2" s="3138"/>
      <c r="G2" s="3138"/>
      <c r="H2" s="3138"/>
      <c r="I2" s="3139"/>
    </row>
    <row r="3" spans="1:12" ht="12.75">
      <c r="A3" s="3140" t="s">
        <v>2116</v>
      </c>
      <c r="B3" s="3141"/>
      <c r="C3" s="3141"/>
      <c r="D3" s="3141"/>
      <c r="E3" s="3141"/>
      <c r="F3" s="3141"/>
      <c r="G3" s="3141"/>
      <c r="H3" s="3141"/>
      <c r="I3" s="3141"/>
    </row>
    <row r="4" spans="1:12" ht="14.25">
      <c r="A4" s="2419" t="s">
        <v>2117</v>
      </c>
      <c r="B4" s="2420" t="s">
        <v>2118</v>
      </c>
      <c r="C4" s="2421" t="s">
        <v>3476</v>
      </c>
      <c r="D4" s="2421" t="s">
        <v>3477</v>
      </c>
      <c r="E4" s="3121" t="s">
        <v>2119</v>
      </c>
      <c r="F4" s="3134"/>
      <c r="G4" s="3134"/>
      <c r="H4" s="3134"/>
      <c r="I4" s="3122"/>
      <c r="K4" s="2422" t="str">
        <f>IF(ISNUMBER(FIND("比较法",结果表!C4)),"比较法",IF(ISNUMBER(FIND("成本法",结果表!C4)),"成本法",IF(ISNUMBER(FIND("假设开发法",结果表!C4)),"假设开发法",IF(ISNUMBER(FIND("收益法",结果表!C4)),"收益法","基准地价系数修正法"))))</f>
        <v>收益法</v>
      </c>
      <c r="L4" s="242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12" t="s">
        <v>2120</v>
      </c>
      <c r="B5" s="3038">
        <v>25</v>
      </c>
      <c r="C5" s="3142"/>
      <c r="D5" s="3130"/>
      <c r="E5" s="140" t="s">
        <v>2121</v>
      </c>
      <c r="F5" s="2423"/>
      <c r="G5" s="2423"/>
      <c r="H5" s="2423"/>
      <c r="I5" s="1830"/>
    </row>
    <row r="6" spans="1:12" ht="12.75">
      <c r="A6" s="3112"/>
      <c r="B6" s="3038"/>
      <c r="C6" s="3144"/>
      <c r="D6" s="3130"/>
      <c r="E6" s="140" t="s">
        <v>2122</v>
      </c>
      <c r="F6" s="2423"/>
      <c r="G6" s="2423"/>
      <c r="H6" s="2423"/>
      <c r="I6" s="1830"/>
    </row>
    <row r="7" spans="1:12" ht="12.75">
      <c r="A7" s="3112"/>
      <c r="B7" s="3038"/>
      <c r="C7" s="3143"/>
      <c r="D7" s="3130"/>
      <c r="E7" s="140" t="s">
        <v>2123</v>
      </c>
      <c r="F7" s="2423"/>
      <c r="G7" s="2423"/>
      <c r="H7" s="2423"/>
      <c r="I7" s="1830"/>
    </row>
    <row r="8" spans="1:12" ht="12.75">
      <c r="A8" s="3112" t="s">
        <v>2124</v>
      </c>
      <c r="B8" s="3038">
        <v>15</v>
      </c>
      <c r="C8" s="3142"/>
      <c r="D8" s="3130"/>
      <c r="E8" s="140" t="s">
        <v>2125</v>
      </c>
      <c r="F8" s="2423"/>
      <c r="G8" s="2423"/>
      <c r="H8" s="2423"/>
      <c r="I8" s="1830"/>
    </row>
    <row r="9" spans="1:12" ht="12.75">
      <c r="A9" s="3112"/>
      <c r="B9" s="3038"/>
      <c r="C9" s="3143"/>
      <c r="D9" s="3130"/>
      <c r="E9" s="140" t="s">
        <v>2126</v>
      </c>
      <c r="F9" s="2423"/>
      <c r="G9" s="2423"/>
      <c r="H9" s="2423"/>
      <c r="I9" s="1830"/>
    </row>
    <row r="10" spans="1:12" ht="12.75">
      <c r="A10" s="3112" t="s">
        <v>2127</v>
      </c>
      <c r="B10" s="3038">
        <v>15</v>
      </c>
      <c r="C10" s="3142"/>
      <c r="D10" s="3130"/>
      <c r="E10" s="140" t="s">
        <v>2128</v>
      </c>
      <c r="F10" s="2423"/>
      <c r="G10" s="2423"/>
      <c r="H10" s="2423"/>
      <c r="I10" s="1830"/>
    </row>
    <row r="11" spans="1:12" ht="12.75">
      <c r="A11" s="3112"/>
      <c r="B11" s="3038"/>
      <c r="C11" s="3143"/>
      <c r="D11" s="3130"/>
      <c r="E11" s="140" t="s">
        <v>2129</v>
      </c>
      <c r="F11" s="2423"/>
      <c r="G11" s="2423"/>
      <c r="H11" s="2423"/>
      <c r="I11" s="1830"/>
    </row>
    <row r="12" spans="1:12" ht="12.75">
      <c r="A12" s="3112" t="s">
        <v>2130</v>
      </c>
      <c r="B12" s="3038">
        <v>15</v>
      </c>
      <c r="C12" s="3142"/>
      <c r="D12" s="3130"/>
      <c r="E12" s="140" t="s">
        <v>2131</v>
      </c>
      <c r="F12" s="2423"/>
      <c r="G12" s="2423"/>
      <c r="H12" s="2423"/>
      <c r="I12" s="1830"/>
    </row>
    <row r="13" spans="1:12" ht="12.75">
      <c r="A13" s="3112"/>
      <c r="B13" s="3038"/>
      <c r="C13" s="3143"/>
      <c r="D13" s="3130"/>
      <c r="E13" s="140" t="s">
        <v>2132</v>
      </c>
      <c r="F13" s="2423"/>
      <c r="G13" s="2423"/>
      <c r="H13" s="2423"/>
      <c r="I13" s="1830"/>
    </row>
    <row r="14" spans="1:12" ht="12.75">
      <c r="A14" s="3112" t="s">
        <v>2133</v>
      </c>
      <c r="B14" s="3038">
        <v>30</v>
      </c>
      <c r="C14" s="3142">
        <v>3</v>
      </c>
      <c r="D14" s="3130">
        <v>7</v>
      </c>
      <c r="E14" s="140" t="s">
        <v>2134</v>
      </c>
      <c r="F14" s="2423"/>
      <c r="G14" s="2423"/>
      <c r="H14" s="2423"/>
      <c r="I14" s="1830"/>
    </row>
    <row r="15" spans="1:12" ht="12.75">
      <c r="A15" s="3112"/>
      <c r="B15" s="3038"/>
      <c r="C15" s="3144"/>
      <c r="D15" s="3130"/>
      <c r="E15" s="140" t="s">
        <v>2135</v>
      </c>
      <c r="F15" s="2423"/>
      <c r="G15" s="2423"/>
      <c r="H15" s="2423"/>
      <c r="I15" s="1830"/>
    </row>
    <row r="16" spans="1:12" ht="12.75">
      <c r="A16" s="3112"/>
      <c r="B16" s="3038"/>
      <c r="C16" s="3143"/>
      <c r="D16" s="3130"/>
      <c r="E16" s="140" t="s">
        <v>2136</v>
      </c>
      <c r="F16" s="2423"/>
      <c r="G16" s="2423"/>
      <c r="H16" s="2423"/>
      <c r="I16" s="1830"/>
    </row>
    <row r="17" spans="1:35" ht="15">
      <c r="A17" s="2424" t="s">
        <v>2137</v>
      </c>
      <c r="B17" s="64"/>
      <c r="C17" s="141">
        <f>SUM(C5:C16)</f>
        <v>3</v>
      </c>
      <c r="D17" s="141">
        <f>SUM(D5:D16)</f>
        <v>7</v>
      </c>
      <c r="E17" s="138"/>
      <c r="F17" s="138"/>
      <c r="G17" s="138"/>
      <c r="H17" s="138"/>
      <c r="I17" s="138"/>
      <c r="K17" s="2422"/>
      <c r="L17" s="2425" t="s">
        <v>2138</v>
      </c>
      <c r="M17" s="2425" t="s">
        <v>2139</v>
      </c>
    </row>
    <row r="18" spans="1:35" ht="15.75" thickBot="1">
      <c r="A18" s="2426" t="s">
        <v>2140</v>
      </c>
      <c r="B18" s="2427"/>
      <c r="C18" s="142">
        <f>ROUND(C17/SUM(C17:D17),2)</f>
        <v>0.3</v>
      </c>
      <c r="D18" s="142">
        <f>1-C18</f>
        <v>0.7</v>
      </c>
      <c r="E18" s="138"/>
      <c r="F18" s="138"/>
      <c r="G18" s="138"/>
      <c r="H18" s="138"/>
      <c r="I18" s="138"/>
      <c r="K18" s="2422" t="s">
        <v>2141</v>
      </c>
      <c r="L18" s="2422">
        <f>IF(C1="",'数据-汇总表'!E3,SUMIF(项目类型,C1,'数据-汇总表'!E17:E26)+SUMIF(项目类型,C1,'数据-汇总表'!I17:I26))</f>
        <v>25398.790000000015</v>
      </c>
      <c r="M18" s="2422">
        <f>IF(C1="",'数据-汇总表'!E3,SUMIF(项目类型,C1,'数据-汇总表'!E17:E26))</f>
        <v>25398.790000000015</v>
      </c>
    </row>
    <row r="19" spans="1:35" ht="15">
      <c r="A19" s="2428" t="s">
        <v>2142</v>
      </c>
      <c r="B19" s="2429" t="s">
        <v>2143</v>
      </c>
      <c r="C19" s="143">
        <f ca="1">SUMIF(INDIRECT("'"&amp;C4&amp;"'"&amp;"!A:A"),结果表!B19,INDIRECT("'"&amp;C4&amp;"'"&amp;"!B:B"))</f>
        <v>25906</v>
      </c>
      <c r="D19" s="144">
        <f ca="1">SUMIF(INDIRECT("'"&amp;D4&amp;"'"&amp;"!A:A"),结果表!B19,INDIRECT("'"&amp;D4&amp;"'"&amp;"!B:B"))</f>
        <v>90017</v>
      </c>
      <c r="E19" s="2428" t="s">
        <v>2144</v>
      </c>
      <c r="F19" s="2429" t="s">
        <v>2143</v>
      </c>
      <c r="G19" s="145">
        <f ca="1">ROUND(C19*$C$18+D19*$D$18,0)</f>
        <v>70784</v>
      </c>
      <c r="H19" s="2430" t="s">
        <v>2145</v>
      </c>
      <c r="I19" s="138"/>
      <c r="K19" s="2422" t="s">
        <v>2146</v>
      </c>
      <c r="L19" s="2422">
        <f>IF(C1="",'数据-汇总表'!D3,SUMIF(项目类型,C1,'数据-汇总表'!D17:D26)+SUMIF(项目类型,C1,'数据-汇总表'!H17:H27))</f>
        <v>0</v>
      </c>
      <c r="M19" s="2422">
        <f>IF(C1="",'数据-汇总表'!D3,SUMIF(项目类型,C1,'数据-汇总表'!D17:D26))</f>
        <v>0</v>
      </c>
    </row>
    <row r="20" spans="1:35" ht="15">
      <c r="A20" s="2431"/>
      <c r="B20" s="1247" t="s">
        <v>2147</v>
      </c>
      <c r="C20" s="146">
        <f ca="1">SUMIF(INDIRECT("'"&amp;C4&amp;"'"&amp;"!A:A"),结果表!B20,INDIRECT("'"&amp;C4&amp;"'"&amp;"!B:B"))</f>
        <v>10200</v>
      </c>
      <c r="D20" s="147">
        <f ca="1">SUMIF(INDIRECT("'"&amp;D4&amp;"'"&amp;"!A:A"),结果表!B20,INDIRECT("'"&amp;D4&amp;"'"&amp;"!B:B"))</f>
        <v>35441</v>
      </c>
      <c r="E20" s="2431"/>
      <c r="F20" s="1247" t="s">
        <v>2147</v>
      </c>
      <c r="G20" s="148">
        <f ca="1">ROUND(C20*$C$18+D20*$D$18,0)</f>
        <v>27869</v>
      </c>
      <c r="H20" s="980" t="s">
        <v>2148</v>
      </c>
      <c r="I20" s="138"/>
    </row>
    <row r="21" spans="1:35" ht="15" customHeight="1" thickBot="1">
      <c r="A21" s="1000"/>
      <c r="B21" s="2432" t="s">
        <v>2149</v>
      </c>
      <c r="C21" s="786" t="e">
        <f ca="1">ROUND(C19*10000/L19,0)</f>
        <v>#DIV/0!</v>
      </c>
      <c r="D21" s="787" t="e">
        <f ca="1">ROUND(D19*10000/L19,0)</f>
        <v>#DIV/0!</v>
      </c>
      <c r="E21" s="1000"/>
      <c r="F21" s="2432" t="s">
        <v>2149</v>
      </c>
      <c r="G21" s="149" t="e">
        <f ca="1">ROUND(G19*10000/L19,0)</f>
        <v>#DIV/0!</v>
      </c>
      <c r="H21" s="2433" t="s">
        <v>2148</v>
      </c>
      <c r="I21" s="138"/>
    </row>
    <row r="22" spans="1:35" ht="15" thickBot="1">
      <c r="A22" s="2277" t="s">
        <v>2150</v>
      </c>
      <c r="B22" s="2434"/>
      <c r="C22" s="2435"/>
      <c r="D22" s="788">
        <f ca="1">IF(C19&lt;D19,D19/C19-1,C19/D19-1)</f>
        <v>2.4747548830386781</v>
      </c>
      <c r="E22" s="138"/>
      <c r="F22" s="138"/>
      <c r="G22" s="138"/>
      <c r="H22" s="138"/>
      <c r="I22" s="138"/>
    </row>
    <row r="23" spans="1:35" ht="13.5" thickBot="1">
      <c r="A23" s="2412"/>
      <c r="B23" s="2412"/>
      <c r="C23" s="2412"/>
      <c r="D23" s="2412"/>
      <c r="E23" s="138"/>
      <c r="F23" s="138"/>
      <c r="G23" s="138"/>
      <c r="H23" s="138"/>
      <c r="I23" s="138"/>
    </row>
    <row r="24" spans="1:35" ht="14.25">
      <c r="A24" s="3151" t="s">
        <v>2151</v>
      </c>
      <c r="B24" s="2429" t="s">
        <v>2143</v>
      </c>
      <c r="C24" s="145">
        <f>IF(B30=0,0,D30)</f>
        <v>0</v>
      </c>
      <c r="D24" s="2436"/>
      <c r="E24" s="138"/>
      <c r="F24" s="138"/>
      <c r="G24" s="138"/>
      <c r="H24" s="138"/>
      <c r="I24" s="138"/>
    </row>
    <row r="25" spans="1:35" ht="14.25">
      <c r="A25" s="3152"/>
      <c r="B25" s="1247" t="s">
        <v>2147</v>
      </c>
      <c r="C25" s="150">
        <f>IF(B30=0,0,C30)</f>
        <v>0</v>
      </c>
      <c r="D25" s="2437"/>
      <c r="E25" s="138"/>
      <c r="F25" s="138"/>
      <c r="G25" s="138"/>
      <c r="H25" s="138"/>
      <c r="I25" s="138"/>
    </row>
    <row r="26" spans="1:35" ht="13.5" customHeight="1">
      <c r="A26" s="2438" t="s">
        <v>2152</v>
      </c>
      <c r="B26" s="151" t="s">
        <v>2153</v>
      </c>
      <c r="C26" s="151" t="s">
        <v>2154</v>
      </c>
      <c r="D26" s="152" t="s">
        <v>2155</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2156</v>
      </c>
      <c r="B30" s="151"/>
      <c r="C30" s="151"/>
      <c r="D30" s="151"/>
      <c r="E30" s="2920" t="s">
        <v>3024</v>
      </c>
      <c r="F30" s="138"/>
      <c r="G30" s="138"/>
      <c r="H30" s="138"/>
      <c r="I30" s="138"/>
    </row>
    <row r="31" spans="1:35" s="2440" customFormat="1" ht="15" thickBot="1">
      <c r="A31" s="2439"/>
      <c r="B31" s="2439"/>
      <c r="C31" s="2439"/>
      <c r="D31" s="2439"/>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1" t="s">
        <v>2157</v>
      </c>
      <c r="B32" s="2442"/>
      <c r="C32" s="153">
        <f ca="1">IF(D32="总价",G19-C24,G20-C25)</f>
        <v>70784</v>
      </c>
      <c r="D32" s="2443" t="s">
        <v>2158</v>
      </c>
      <c r="E32" s="138"/>
      <c r="F32" s="138"/>
      <c r="G32" s="138"/>
      <c r="H32" s="138"/>
      <c r="I32" s="138"/>
    </row>
    <row r="33" spans="1:15" ht="15">
      <c r="A33" s="957" t="s">
        <v>2159</v>
      </c>
      <c r="B33" s="2444"/>
      <c r="C33" s="2445" t="s">
        <v>3362</v>
      </c>
      <c r="D33" s="2446" t="s">
        <v>3363</v>
      </c>
      <c r="E33" s="2447" t="s">
        <v>2160</v>
      </c>
      <c r="F33" s="2448" t="str">
        <f>IF(D32="楼面单价","取值（单价）","取值（总价）")</f>
        <v>取值（总价）</v>
      </c>
      <c r="G33" s="138"/>
      <c r="H33" s="138"/>
      <c r="I33" s="138"/>
    </row>
    <row r="34" spans="1:15" ht="15">
      <c r="A34" s="2449"/>
      <c r="B34" s="2450" t="s">
        <v>2161</v>
      </c>
      <c r="C34" s="157">
        <f ca="1">IF(C33="自定义",F34,C32-C35)</f>
        <v>6087</v>
      </c>
      <c r="D34" s="1055">
        <f ca="1">IF(C33="自定义",ROUND(C34/C32,3),IF(C33="收益比率",SUMIF(INDIRECT("'"&amp;D33&amp;"'"&amp;"!b:b"),"土地收益比率",INDIRECT("'"&amp;D33&amp;"'"&amp;"!c:c")),SUMIF(INDIRECT("'"&amp;D33&amp;"'"&amp;"!b:b"),"土地成本比率",INDIRECT("'"&amp;D33&amp;"'"&amp;"!c:c"))))</f>
        <v>8.5999999999999965E-2</v>
      </c>
      <c r="E34" s="2451" t="s">
        <v>2162</v>
      </c>
      <c r="F34" s="1736"/>
      <c r="G34" s="138"/>
      <c r="H34" s="138"/>
      <c r="I34" s="138"/>
    </row>
    <row r="35" spans="1:15" ht="15.75" thickBot="1">
      <c r="A35" s="2452"/>
      <c r="B35" s="2453" t="s">
        <v>2163</v>
      </c>
      <c r="C35" s="1441">
        <f ca="1">IF(C33="自定义",F35,ROUND(C32*D35,0))</f>
        <v>64697</v>
      </c>
      <c r="D35" s="1442">
        <f ca="1">IF(C33="自定义",ROUND(C35/C32,3),IF(C33="收益比率",SUMIF(INDIRECT("'"&amp;D33&amp;"'"&amp;"!b:b"),"建筑物收益比率",INDIRECT("'"&amp;D33&amp;"'"&amp;"!c:c")),SUMIF(INDIRECT("'"&amp;D33&amp;"'"&amp;"!b:b"),"建筑物成本比率",INDIRECT("'"&amp;D33&amp;"'"&amp;"!c:c"))))</f>
        <v>0.91400000000000003</v>
      </c>
      <c r="E35" s="2454" t="s">
        <v>2164</v>
      </c>
      <c r="F35" s="163"/>
      <c r="G35" s="138"/>
      <c r="H35" s="138"/>
      <c r="I35" s="138"/>
    </row>
    <row r="36" spans="1:15" ht="15.75" thickBot="1">
      <c r="A36" s="3131" t="s">
        <v>2165</v>
      </c>
      <c r="B36" s="2455" t="s">
        <v>2166</v>
      </c>
      <c r="C36" s="154"/>
      <c r="D36" s="2456"/>
      <c r="E36" s="2457"/>
      <c r="F36" s="2458"/>
      <c r="G36" s="138"/>
      <c r="H36" s="138"/>
      <c r="I36" s="138"/>
    </row>
    <row r="37" spans="1:15" ht="15.75" thickBot="1">
      <c r="A37" s="3132"/>
      <c r="B37" s="2263" t="s">
        <v>2167</v>
      </c>
      <c r="C37" s="156"/>
      <c r="D37" s="1392"/>
      <c r="E37" s="1392"/>
      <c r="F37" s="2458"/>
      <c r="G37" s="138"/>
      <c r="H37" s="138"/>
      <c r="I37" s="138"/>
    </row>
    <row r="38" spans="1:15" ht="15.75" thickBot="1">
      <c r="A38" s="3133"/>
      <c r="B38" s="2459" t="s">
        <v>2168</v>
      </c>
      <c r="C38" s="724"/>
      <c r="D38" s="2460" t="s">
        <v>2169</v>
      </c>
      <c r="E38" s="1392"/>
      <c r="F38" s="2458"/>
      <c r="G38" s="138"/>
      <c r="H38" s="138"/>
      <c r="I38" s="138"/>
    </row>
    <row r="39" spans="1:15" ht="15">
      <c r="A39" s="2431" t="s">
        <v>2170</v>
      </c>
      <c r="B39" s="2461" t="s">
        <v>2171</v>
      </c>
      <c r="C39" s="2462" t="s">
        <v>2172</v>
      </c>
      <c r="D39" s="2462" t="s">
        <v>2173</v>
      </c>
      <c r="E39" s="2463" t="s">
        <v>2174</v>
      </c>
      <c r="F39" s="2458"/>
      <c r="G39" s="138"/>
      <c r="H39" s="138"/>
      <c r="I39" s="138"/>
    </row>
    <row r="40" spans="1:15" ht="14.25">
      <c r="A40" s="2464" t="s">
        <v>2175</v>
      </c>
      <c r="B40" s="158"/>
      <c r="C40" s="159"/>
      <c r="D40" s="159"/>
      <c r="E40" s="160"/>
      <c r="F40" s="2458"/>
      <c r="G40" s="138"/>
      <c r="H40" s="138"/>
      <c r="I40" s="138"/>
    </row>
    <row r="41" spans="1:15" ht="14.25">
      <c r="A41" s="2464" t="s">
        <v>2176</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2"/>
      <c r="B43" s="2162"/>
      <c r="C43" s="2162"/>
      <c r="D43" s="2162"/>
      <c r="E43" s="2162"/>
      <c r="F43" s="2466"/>
      <c r="G43" s="2466"/>
      <c r="H43" s="2466"/>
      <c r="I43" s="2467"/>
    </row>
    <row r="44" spans="1:15" ht="18.75">
      <c r="A44" s="2468" t="s">
        <v>2177</v>
      </c>
      <c r="B44" s="2469"/>
      <c r="C44" s="2469"/>
      <c r="D44" s="2470"/>
      <c r="E44" s="2470"/>
      <c r="F44" s="2471"/>
      <c r="G44" s="2471"/>
      <c r="H44" s="2471"/>
      <c r="I44" s="2471"/>
      <c r="J44" s="2472" t="s">
        <v>2178</v>
      </c>
      <c r="K44" s="2473"/>
      <c r="L44" s="2473"/>
      <c r="M44" s="2473"/>
      <c r="N44" s="2473"/>
      <c r="O44" s="2473"/>
    </row>
    <row r="45" spans="1:15" ht="14.25" customHeight="1" thickBot="1">
      <c r="A45" s="3148" t="s">
        <v>2179</v>
      </c>
      <c r="B45" s="3149"/>
      <c r="C45" s="3150"/>
      <c r="D45" s="164">
        <f ca="1">ROUND(H101*F45,0)</f>
        <v>70784</v>
      </c>
      <c r="E45" s="165" t="s">
        <v>2180</v>
      </c>
      <c r="F45" s="166">
        <v>1</v>
      </c>
      <c r="G45" s="167" t="s">
        <v>2181</v>
      </c>
      <c r="H45" s="138"/>
      <c r="I45" s="138"/>
      <c r="J45" s="3067" t="s">
        <v>2182</v>
      </c>
      <c r="K45" s="3067"/>
      <c r="L45" s="3067"/>
      <c r="M45" s="3067"/>
      <c r="N45" s="3067"/>
      <c r="O45" s="3067"/>
    </row>
    <row r="46" spans="1:15" ht="14.25" customHeight="1">
      <c r="A46" s="3145" t="s">
        <v>2183</v>
      </c>
      <c r="B46" s="3146"/>
      <c r="C46" s="3146"/>
      <c r="D46" s="3146"/>
      <c r="E46" s="3146"/>
      <c r="F46" s="3146"/>
      <c r="G46" s="3147"/>
      <c r="H46" s="2474"/>
      <c r="I46" s="168"/>
      <c r="J46" s="1808">
        <v>1</v>
      </c>
      <c r="K46" s="3067" t="s">
        <v>2184</v>
      </c>
      <c r="L46" s="3067"/>
      <c r="M46" s="3068"/>
      <c r="N46" s="3068"/>
      <c r="O46" s="3068"/>
    </row>
    <row r="47" spans="1:15" ht="12" customHeight="1">
      <c r="A47" s="169" t="s">
        <v>2185</v>
      </c>
      <c r="B47" s="170"/>
      <c r="C47" s="171"/>
      <c r="D47" s="172" t="s">
        <v>2186</v>
      </c>
      <c r="E47" s="24" t="s">
        <v>2187</v>
      </c>
      <c r="F47" s="173" t="s">
        <v>2188</v>
      </c>
      <c r="G47" s="174" t="s">
        <v>2189</v>
      </c>
      <c r="H47" s="2474"/>
      <c r="I47" s="168"/>
      <c r="J47" s="1808">
        <v>2</v>
      </c>
      <c r="K47" s="3067" t="s">
        <v>2190</v>
      </c>
      <c r="L47" s="3067"/>
      <c r="M47" s="3069">
        <f>'数据-取费表'!B2</f>
        <v>43335</v>
      </c>
      <c r="N47" s="3069"/>
      <c r="O47" s="3069"/>
    </row>
    <row r="48" spans="1:15" ht="25.5">
      <c r="A48" s="3135" t="s">
        <v>2191</v>
      </c>
      <c r="B48" s="3136"/>
      <c r="C48" s="3136"/>
      <c r="D48" s="140">
        <f>IF(H48="情况1",0,IF(H48="情况2",D52,IF(H48="情况3",D53,IF(H48="情况4",D54))))</f>
        <v>0</v>
      </c>
      <c r="E48" s="1797" t="str">
        <f>IF(H48="情况4","(销售额-原购置价)×税（费）率","销售额×税（费）率")</f>
        <v>销售额×税（费）率</v>
      </c>
      <c r="F48" s="175" t="str">
        <f>IF(H48="情况1","免征",'数据-取费表'!B41)</f>
        <v>免征</v>
      </c>
      <c r="G48" s="2475" t="s">
        <v>2192</v>
      </c>
      <c r="H48" s="2476" t="s">
        <v>2193</v>
      </c>
      <c r="I48" s="2474"/>
      <c r="J48" s="1808">
        <v>3</v>
      </c>
      <c r="K48" s="3067" t="s">
        <v>2194</v>
      </c>
      <c r="L48" s="3067"/>
      <c r="M48" s="3070">
        <f ca="1">H101</f>
        <v>70784</v>
      </c>
      <c r="N48" s="3070"/>
      <c r="O48" s="3070"/>
    </row>
    <row r="49" spans="1:35" ht="25.5" customHeight="1">
      <c r="A49" s="176" t="s">
        <v>2195</v>
      </c>
      <c r="B49" s="3115" t="s">
        <v>2196</v>
      </c>
      <c r="C49" s="3115"/>
      <c r="D49" s="177">
        <v>0</v>
      </c>
      <c r="E49" s="23" t="s">
        <v>2197</v>
      </c>
      <c r="F49" s="28" t="s">
        <v>34</v>
      </c>
      <c r="G49" s="3096"/>
      <c r="H49" s="138"/>
      <c r="I49" s="2477"/>
      <c r="J49" s="1808">
        <v>4</v>
      </c>
      <c r="K49" s="3067" t="str">
        <f>IF(项目基本情况!E8="房地产抵押价值","房地产抵押价值","抵押担保权已注销时的房地产抵押价值")</f>
        <v>房地产抵押价值</v>
      </c>
      <c r="L49" s="3067"/>
      <c r="M49" s="3070">
        <f ca="1">IF(项目基本情况!E8="房地产抵押价值",H107,H109)</f>
        <v>70784</v>
      </c>
      <c r="N49" s="3070"/>
      <c r="O49" s="3070"/>
    </row>
    <row r="50" spans="1:35" ht="25.5" customHeight="1">
      <c r="A50" s="178"/>
      <c r="B50" s="3115" t="s">
        <v>2198</v>
      </c>
      <c r="C50" s="3115"/>
      <c r="D50" s="179"/>
      <c r="E50" s="31"/>
      <c r="F50" s="180"/>
      <c r="G50" s="3097"/>
      <c r="H50" s="138"/>
      <c r="I50" s="2477"/>
      <c r="J50" s="3067" t="s">
        <v>2199</v>
      </c>
      <c r="K50" s="3067"/>
      <c r="L50" s="3067"/>
      <c r="M50" s="3067"/>
      <c r="N50" s="3067"/>
      <c r="O50" s="3067"/>
    </row>
    <row r="51" spans="1:35" ht="12" customHeight="1">
      <c r="A51" s="181"/>
      <c r="B51" s="3115" t="s">
        <v>2200</v>
      </c>
      <c r="C51" s="3115"/>
      <c r="D51" s="182"/>
      <c r="E51" s="30"/>
      <c r="F51" s="180"/>
      <c r="G51" s="3098"/>
      <c r="H51" s="138"/>
      <c r="I51" s="2477"/>
      <c r="J51" s="2478" t="s">
        <v>2201</v>
      </c>
      <c r="K51" s="3067" t="s">
        <v>2202</v>
      </c>
      <c r="L51" s="3067"/>
      <c r="M51" s="2478" t="s">
        <v>2203</v>
      </c>
      <c r="N51" s="2478" t="s">
        <v>2204</v>
      </c>
      <c r="O51" s="2478" t="s">
        <v>2205</v>
      </c>
    </row>
    <row r="52" spans="1:35" ht="24" customHeight="1">
      <c r="A52" s="183" t="s">
        <v>2206</v>
      </c>
      <c r="B52" s="3115" t="s">
        <v>2207</v>
      </c>
      <c r="C52" s="3115"/>
      <c r="D52" s="182">
        <f ca="1">ROUND(D45*'数据-取费表'!B41/(1+'数据-取费表'!C42),0)</f>
        <v>3708</v>
      </c>
      <c r="E52" s="11" t="s">
        <v>2208</v>
      </c>
      <c r="F52" s="184">
        <f>'数据-取费表'!B41</f>
        <v>5.5000000000000007E-2</v>
      </c>
      <c r="G52" s="2479"/>
      <c r="H52" s="138"/>
      <c r="I52" s="2477"/>
      <c r="J52" s="1808">
        <v>1</v>
      </c>
      <c r="K52" s="3090" t="s">
        <v>2209</v>
      </c>
      <c r="L52" s="3090"/>
      <c r="M52" s="1751">
        <f>D48</f>
        <v>0</v>
      </c>
      <c r="N52" s="1808" t="str">
        <f>E48</f>
        <v>销售额×税（费）率</v>
      </c>
      <c r="O52" s="1752" t="str">
        <f>F48</f>
        <v>免征</v>
      </c>
    </row>
    <row r="53" spans="1:35" ht="12" customHeight="1">
      <c r="A53" s="183" t="s">
        <v>2210</v>
      </c>
      <c r="B53" s="3116" t="s">
        <v>2211</v>
      </c>
      <c r="C53" s="3117"/>
      <c r="D53" s="182">
        <f ca="1">ROUND(D45*'数据-取费表'!B41/(1+'数据-取费表'!C42),0)</f>
        <v>3708</v>
      </c>
      <c r="E53" s="11" t="s">
        <v>2208</v>
      </c>
      <c r="F53" s="184">
        <f>'数据-取费表'!B41</f>
        <v>5.5000000000000007E-2</v>
      </c>
      <c r="G53" s="2479"/>
      <c r="H53" s="138"/>
      <c r="I53" s="2477"/>
      <c r="J53" s="1808">
        <v>2</v>
      </c>
      <c r="K53" s="3090" t="s">
        <v>2212</v>
      </c>
      <c r="L53" s="3090"/>
      <c r="M53" s="1751">
        <f t="shared" ref="M53:O54" ca="1" si="0">D55</f>
        <v>35</v>
      </c>
      <c r="N53" s="1808" t="str">
        <f t="shared" si="0"/>
        <v>销售额×税（费）率</v>
      </c>
      <c r="O53" s="1752">
        <f t="shared" si="0"/>
        <v>5.0000000000000001E-4</v>
      </c>
    </row>
    <row r="54" spans="1:35" ht="12" customHeight="1">
      <c r="A54" s="183" t="s">
        <v>2213</v>
      </c>
      <c r="B54" s="3116" t="s">
        <v>2214</v>
      </c>
      <c r="C54" s="3117"/>
      <c r="D54" s="182">
        <f ca="1">C68</f>
        <v>3708</v>
      </c>
      <c r="E54" s="30" t="s">
        <v>2215</v>
      </c>
      <c r="F54" s="184">
        <f>'数据-取费表'!B41</f>
        <v>5.5000000000000007E-2</v>
      </c>
      <c r="G54" s="2479"/>
      <c r="H54" s="2480"/>
      <c r="I54" s="2477"/>
      <c r="J54" s="1808">
        <v>3</v>
      </c>
      <c r="K54" s="3090" t="s">
        <v>2216</v>
      </c>
      <c r="L54" s="3090"/>
      <c r="M54" s="1751">
        <f t="shared" ca="1" si="0"/>
        <v>40128</v>
      </c>
      <c r="N54" s="1808" t="str">
        <f t="shared" si="0"/>
        <v>增值额×税（费）率</v>
      </c>
      <c r="O54" s="1753" t="str">
        <f t="shared" si="0"/>
        <v>——</v>
      </c>
    </row>
    <row r="55" spans="1:35" ht="24" customHeight="1">
      <c r="A55" s="3154" t="s">
        <v>2217</v>
      </c>
      <c r="B55" s="3136"/>
      <c r="C55" s="3136"/>
      <c r="D55" s="185">
        <f ca="1">IF(H55="个人住宅",0,ROUND(D45*I55,0))</f>
        <v>35</v>
      </c>
      <c r="E55" s="11" t="s">
        <v>2218</v>
      </c>
      <c r="F55" s="184">
        <f>IF(H55="正常",I55,"免征")</f>
        <v>5.0000000000000001E-4</v>
      </c>
      <c r="G55" s="2479"/>
      <c r="H55" s="2476" t="s">
        <v>2219</v>
      </c>
      <c r="I55" s="186">
        <f>'数据-取费表'!B49</f>
        <v>5.0000000000000001E-4</v>
      </c>
      <c r="J55" s="1808" t="str">
        <f>IF(H59="非个人房产","",4)</f>
        <v/>
      </c>
      <c r="K55" s="3090" t="str">
        <f>IF(H59="非个人房产","——","个人所得税")</f>
        <v>——</v>
      </c>
      <c r="L55" s="3090"/>
      <c r="M55" s="1754" t="str">
        <f>D59</f>
        <v>——</v>
      </c>
      <c r="N55" s="1806" t="str">
        <f>E59</f>
        <v>——</v>
      </c>
      <c r="O55" s="1755" t="str">
        <f>F59</f>
        <v>——</v>
      </c>
    </row>
    <row r="56" spans="1:35" ht="24.75">
      <c r="A56" s="3154" t="s">
        <v>2220</v>
      </c>
      <c r="B56" s="3136"/>
      <c r="C56" s="3136"/>
      <c r="D56" s="185">
        <f ca="1">IF(H56="个人住宅",D57,D58)</f>
        <v>40128</v>
      </c>
      <c r="E56" s="11" t="s">
        <v>2221</v>
      </c>
      <c r="F56" s="184" t="str">
        <f>IF(H56="正常",F58,"免征")</f>
        <v>——</v>
      </c>
      <c r="G56" s="2481" t="s">
        <v>2222</v>
      </c>
      <c r="H56" s="2482" t="s">
        <v>2219</v>
      </c>
      <c r="I56" s="2483"/>
      <c r="J56" s="1808" t="str">
        <f>IF(项目基本情况!K6="上海银行",IF(J55="",4,J55+1),"")</f>
        <v/>
      </c>
      <c r="K56" s="3073" t="str">
        <f>IF(项目基本情况!K6="上海银行","其他处置费用","")</f>
        <v/>
      </c>
      <c r="L56" s="3074"/>
      <c r="M56" s="1751" t="str">
        <f>IF(项目基本情况!K6="上海银行",M69,"")</f>
        <v/>
      </c>
      <c r="N56" s="3076" t="str">
        <f>IF(项目基本情况!K6="上海银行","包含处置中涉及的律师、诉讼、拍卖、评估等费用","")</f>
        <v/>
      </c>
      <c r="O56" s="3077"/>
    </row>
    <row r="57" spans="1:35" ht="12.75">
      <c r="A57" s="183" t="s">
        <v>2195</v>
      </c>
      <c r="B57" s="3121" t="s">
        <v>2223</v>
      </c>
      <c r="C57" s="3122"/>
      <c r="D57" s="187">
        <v>0</v>
      </c>
      <c r="E57" s="23" t="s">
        <v>2197</v>
      </c>
      <c r="F57" s="155"/>
      <c r="G57" s="2479"/>
      <c r="H57" s="2483"/>
      <c r="I57" s="2483"/>
      <c r="J57" s="3090">
        <f>IF(AND(J55="",J56=""),4,IF(项目基本情况!K6="上海银行",结果表!J56+1,结果表!J55+1))</f>
        <v>4</v>
      </c>
      <c r="K57" s="3090" t="s">
        <v>2224</v>
      </c>
      <c r="L57" s="2484" t="s">
        <v>2225</v>
      </c>
      <c r="M57" s="1756"/>
      <c r="N57" s="1757">
        <f ca="1">SUMIF(M52:M56,"&lt;9e307")</f>
        <v>40163</v>
      </c>
      <c r="O57" s="2485"/>
      <c r="P57" s="1750">
        <f ca="1">N57/M49</f>
        <v>0.56740223779385168</v>
      </c>
    </row>
    <row r="58" spans="1:35" ht="24.75">
      <c r="A58" s="183" t="s">
        <v>2206</v>
      </c>
      <c r="B58" s="3121" t="s">
        <v>2226</v>
      </c>
      <c r="C58" s="3134"/>
      <c r="D58" s="185">
        <f ca="1">IF(H58="转让取得",C81,C97)</f>
        <v>40128</v>
      </c>
      <c r="E58" s="11" t="s">
        <v>2221</v>
      </c>
      <c r="F58" s="24" t="s">
        <v>34</v>
      </c>
      <c r="G58" s="2479"/>
      <c r="H58" s="2482" t="s">
        <v>2227</v>
      </c>
      <c r="I58" s="2483"/>
      <c r="J58" s="3090"/>
      <c r="K58" s="3090"/>
      <c r="L58" s="2484" t="s">
        <v>2228</v>
      </c>
      <c r="M58" s="1758"/>
      <c r="N58" s="2486" t="str">
        <f ca="1">NUMBERSTRING(INT(N57*10000),2)&amp;"元整"</f>
        <v>肆亿零壹佰陆拾叁万元整</v>
      </c>
      <c r="O58" s="2487"/>
    </row>
    <row r="59" spans="1:35" ht="24.75" thickBot="1">
      <c r="A59" s="3094" t="s">
        <v>2229</v>
      </c>
      <c r="B59" s="3095"/>
      <c r="C59" s="3095"/>
      <c r="D59" s="188" t="str">
        <f>IF(H59="非个人房产","——",IF(H59="个人住宅",0,ROUND(D45*I59,0)))</f>
        <v>——</v>
      </c>
      <c r="E59" s="189" t="str">
        <f>IF(H59="非个人房产","——","销售额×税（费）率")</f>
        <v>——</v>
      </c>
      <c r="F59" s="190" t="str">
        <f>IF(H59="非个人房产","——",IF(H59="个人住宅","免征",I59))</f>
        <v>——</v>
      </c>
      <c r="G59" s="2488" t="s">
        <v>2222</v>
      </c>
      <c r="H59" s="2482" t="s">
        <v>2230</v>
      </c>
      <c r="I59" s="191">
        <v>0.01</v>
      </c>
      <c r="J59" s="3092">
        <f>J57+1</f>
        <v>5</v>
      </c>
      <c r="K59" s="3090" t="s">
        <v>2231</v>
      </c>
      <c r="L59" s="1808" t="s">
        <v>2225</v>
      </c>
      <c r="M59" s="1759"/>
      <c r="N59" s="1760">
        <f ca="1">M49-N57</f>
        <v>30621</v>
      </c>
      <c r="O59" s="2489"/>
    </row>
    <row r="60" spans="1:35" ht="12" customHeight="1">
      <c r="A60" s="2490"/>
      <c r="B60" s="2412"/>
      <c r="C60" s="2412"/>
      <c r="D60" s="2412"/>
      <c r="E60" s="2163"/>
      <c r="F60" s="2483"/>
      <c r="G60" s="2483"/>
      <c r="H60" s="2491"/>
      <c r="I60" s="138"/>
      <c r="J60" s="3093"/>
      <c r="K60" s="3090"/>
      <c r="L60" s="2484" t="s">
        <v>2228</v>
      </c>
      <c r="M60" s="1758"/>
      <c r="N60" s="2486" t="str">
        <f ca="1">NUMBERSTRING(INT(N59*10000),2)&amp;"元整"</f>
        <v>叁亿零陆佰贰拾壹万元整</v>
      </c>
      <c r="O60" s="2487"/>
    </row>
    <row r="61" spans="1:35" ht="13.5" thickBot="1">
      <c r="A61" s="3153" t="s">
        <v>2232</v>
      </c>
      <c r="B61" s="3153"/>
      <c r="C61" s="3153"/>
      <c r="D61" s="3153"/>
      <c r="E61" s="3153"/>
      <c r="F61" s="2483"/>
      <c r="G61" s="2483"/>
      <c r="H61" s="2491"/>
      <c r="I61" s="138"/>
      <c r="J61" s="1808">
        <f>J59+1</f>
        <v>6</v>
      </c>
      <c r="K61" s="3090" t="s">
        <v>2233</v>
      </c>
      <c r="L61" s="3090"/>
      <c r="M61" s="1761"/>
      <c r="N61" s="1762">
        <f ca="1">ROUND(N59*10000/'数据-汇总表'!E3,0)</f>
        <v>12056</v>
      </c>
      <c r="O61" s="2492"/>
    </row>
    <row r="62" spans="1:35" ht="12.75">
      <c r="A62" s="3110" t="s">
        <v>2234</v>
      </c>
      <c r="B62" s="3111"/>
      <c r="C62" s="1800"/>
      <c r="D62" s="1800" t="s">
        <v>2235</v>
      </c>
      <c r="E62" s="192" t="s">
        <v>2236</v>
      </c>
      <c r="F62" s="2483"/>
      <c r="G62" s="2483"/>
      <c r="H62" s="2491"/>
      <c r="I62" s="138"/>
    </row>
    <row r="63" spans="1:35" ht="12.75">
      <c r="A63" s="203" t="s">
        <v>775</v>
      </c>
      <c r="B63" s="193" t="s">
        <v>2237</v>
      </c>
      <c r="C63" s="194">
        <f ca="1">ROUND((C64+C65)/(1+'数据-取费表'!C42),0)</f>
        <v>67413</v>
      </c>
      <c r="D63" s="195"/>
      <c r="E63" s="196"/>
      <c r="F63" s="2483"/>
      <c r="G63" s="2483"/>
      <c r="H63" s="2491"/>
      <c r="I63" s="138"/>
      <c r="J63" s="3075" t="s">
        <v>2238</v>
      </c>
      <c r="K63" s="2493" t="s">
        <v>2239</v>
      </c>
      <c r="L63" s="1749">
        <f ca="1">IF(M49&gt;10000,M49*0.5%,IF(AND(M49&gt;1000,M49&lt;=10000),M49*1%,IF(AND(M49&gt;100,M49&lt;=1000),M49*3%,IF(AND(M49&gt;10,M49&lt;=100),M49*5%,M49*8%))))</f>
        <v>353.92</v>
      </c>
      <c r="M63" s="24">
        <f ca="1">ROUND(L63,1)</f>
        <v>353.9</v>
      </c>
      <c r="Z63" s="2417"/>
      <c r="AI63" s="2418"/>
    </row>
    <row r="64" spans="1:35" ht="14.25" customHeight="1">
      <c r="A64" s="197" t="s">
        <v>770</v>
      </c>
      <c r="B64" s="198" t="s">
        <v>2240</v>
      </c>
      <c r="C64" s="199">
        <f ca="1">D45</f>
        <v>70784</v>
      </c>
      <c r="D64" s="200" t="s">
        <v>32</v>
      </c>
      <c r="E64" s="201"/>
      <c r="F64" s="2483"/>
      <c r="G64" s="2483"/>
      <c r="H64" s="2491"/>
      <c r="I64" s="138"/>
      <c r="J64" s="3075"/>
      <c r="K64" s="2493" t="s">
        <v>2241</v>
      </c>
      <c r="L64" s="1749">
        <f ca="1">IF(M49&gt;2000,M49*0.5%,IF(AND(M49&gt;1000,M49&lt;=2000),M49*0.6%,IF(AND(M49&gt;500,M49&lt;=1000),M49*0.7%,IF(AND(M49&gt;200,M49&lt;=500),M49*0.8%,IF(AND(M49&gt;100,M49&lt;=200),M49*0.9%,IF(AND(M49&gt;50,M49&lt;=100),M49*1%,IF(AND(M49&gt;20,M49&lt;=50),M49*1.5%,IF(AND(M49&gt;10,M49&lt;=20),M49*2%,IF(AND(M49&gt;1,M49&lt;=10),M49*2.5%)))))))))</f>
        <v>353.92</v>
      </c>
      <c r="M64" s="24">
        <f t="shared" ref="M64:M65" ca="1" si="1">ROUND(L64,1)</f>
        <v>353.9</v>
      </c>
      <c r="N64" s="138" t="s">
        <v>2242</v>
      </c>
      <c r="Z64" s="2417"/>
      <c r="AI64" s="2418"/>
    </row>
    <row r="65" spans="1:35" ht="14.25" customHeight="1">
      <c r="A65" s="197" t="s">
        <v>771</v>
      </c>
      <c r="B65" s="198" t="s">
        <v>2243</v>
      </c>
      <c r="C65" s="202"/>
      <c r="D65" s="200"/>
      <c r="E65" s="201"/>
      <c r="F65" s="2483"/>
      <c r="G65" s="2483"/>
      <c r="H65" s="2491"/>
      <c r="I65" s="138"/>
      <c r="J65" s="3075"/>
      <c r="K65" s="2493" t="s">
        <v>2244</v>
      </c>
      <c r="L65" s="1749">
        <f ca="1">IF(M49&gt;1000,M49*0.1%,IF(AND(M49&gt;500,M49&lt;=1000),M49*0.5%,IF(AND(M49&gt;50,M49&lt;=500),M49*1%,IF(AND(M49&gt;1,M49&lt;=50),M49*1.5%))))</f>
        <v>70.784000000000006</v>
      </c>
      <c r="M65" s="24">
        <f t="shared" ca="1" si="1"/>
        <v>70.8</v>
      </c>
      <c r="N65" s="138" t="s">
        <v>2242</v>
      </c>
      <c r="Z65" s="2417"/>
      <c r="AI65" s="2418"/>
    </row>
    <row r="66" spans="1:35" ht="14.25" customHeight="1">
      <c r="A66" s="203" t="s">
        <v>772</v>
      </c>
      <c r="B66" s="204" t="s">
        <v>2245</v>
      </c>
      <c r="C66" s="205"/>
      <c r="D66" s="206" t="s">
        <v>32</v>
      </c>
      <c r="E66" s="1772" t="s">
        <v>1371</v>
      </c>
      <c r="F66" s="2483"/>
      <c r="G66" s="2483"/>
      <c r="H66" s="2491"/>
      <c r="I66" s="138"/>
      <c r="J66" s="3075"/>
      <c r="K66" s="2493" t="s">
        <v>2246</v>
      </c>
      <c r="L66" s="1749">
        <f ca="1">M49*0.5%</f>
        <v>353.92</v>
      </c>
      <c r="M66" s="24">
        <f ca="1">IF(L66&gt;0.5,0.5,ROUND(L66,0))</f>
        <v>0.5</v>
      </c>
      <c r="N66" s="138" t="s">
        <v>2247</v>
      </c>
      <c r="Z66" s="2417"/>
      <c r="AI66" s="2418"/>
    </row>
    <row r="67" spans="1:35" ht="14.25" customHeight="1">
      <c r="A67" s="203" t="s">
        <v>773</v>
      </c>
      <c r="B67" s="204" t="s">
        <v>2248</v>
      </c>
      <c r="C67" s="207">
        <f ca="1">C63-C66</f>
        <v>67413</v>
      </c>
      <c r="D67" s="200" t="s">
        <v>32</v>
      </c>
      <c r="E67" s="201"/>
      <c r="F67" s="2483"/>
      <c r="G67" s="2483"/>
      <c r="H67" s="2491"/>
      <c r="I67" s="138"/>
      <c r="J67" s="3075"/>
      <c r="K67" s="2493" t="s">
        <v>2249</v>
      </c>
      <c r="L67" s="1749">
        <f ca="1">IF(M49&gt;=10000,(8.25+(M49-10000)*0.01%),IF(AND(M49&gt;=8000,M49&lt;10000),(7.85+(M49-8000)*0.02%),IF(AND(M49&gt;=5000,M49&lt;8000),(6.65+(M49-5000)*0.04%),IF(AND(M49&gt;=2000,M49&lt;5000),(4.25+(PM49-2000)*0.08%),IF(AND(M49&gt;=1000,M49&lt;2000),(2.75+(M49-1000)*0.15%),IF(AND(M49&gt;=100,M49&lt;1000),(0.5+(M49-100)*0.25%),IF(AND(M49&gt;0,M49&lt;100),M49*0.5%)))))))</f>
        <v>14.3284</v>
      </c>
      <c r="M67" s="24">
        <f ca="1">ROUND(L67*0.9,1)</f>
        <v>12.9</v>
      </c>
      <c r="Z67" s="2417"/>
      <c r="AI67" s="2418"/>
    </row>
    <row r="68" spans="1:35" ht="14.25" customHeight="1" thickBot="1">
      <c r="A68" s="208" t="s">
        <v>774</v>
      </c>
      <c r="B68" s="209" t="s">
        <v>2250</v>
      </c>
      <c r="C68" s="210">
        <f ca="1">IF(C67&lt;=0,0,ROUND(C67*D68,0))</f>
        <v>3708</v>
      </c>
      <c r="D68" s="211">
        <f>'数据-取费表'!B41</f>
        <v>5.5000000000000007E-2</v>
      </c>
      <c r="E68" s="212"/>
      <c r="F68" s="2483"/>
      <c r="G68" s="2483"/>
      <c r="H68" s="2491"/>
      <c r="I68" s="138"/>
      <c r="J68" s="3075"/>
      <c r="K68" s="2493" t="s">
        <v>2251</v>
      </c>
      <c r="L68" s="1749">
        <f ca="1">IF(M49&gt;10000,M49*0.5%,IF(AND(M49&gt;5000,M49&lt;=10000),M49*1%,IF(AND(M49&gt;1000,M49&lt;=5000),M49*2%,IF(AND(M49&gt;200,M49&lt;=1000),M49*3%,M49*5%))))</f>
        <v>353.92</v>
      </c>
      <c r="M68" s="24">
        <f ca="1">ROUND(L68,1)</f>
        <v>353.9</v>
      </c>
      <c r="Z68" s="2417"/>
      <c r="AI68" s="2418"/>
    </row>
    <row r="69" spans="1:35" s="2440" customFormat="1" ht="16.5" customHeight="1">
      <c r="A69" s="2494"/>
      <c r="B69" s="2495"/>
      <c r="C69" s="2496"/>
      <c r="D69" s="2497"/>
      <c r="E69" s="2498"/>
      <c r="F69" s="2163"/>
      <c r="G69" s="2163"/>
      <c r="H69" s="2162"/>
      <c r="I69" s="2412"/>
      <c r="J69" s="3075"/>
      <c r="K69" s="2493" t="s">
        <v>2252</v>
      </c>
      <c r="L69" s="2499"/>
      <c r="M69" s="24">
        <f ca="1">ROUND(SUM(M63:M68),0)</f>
        <v>1146</v>
      </c>
      <c r="N69" s="1750">
        <f ca="1">M69/M49</f>
        <v>1.619009945750452E-2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1" customFormat="1" ht="15" thickBot="1">
      <c r="A70" s="3119" t="s">
        <v>2253</v>
      </c>
      <c r="B70" s="3120"/>
      <c r="C70" s="3120"/>
      <c r="D70" s="3120"/>
      <c r="E70" s="3120"/>
      <c r="F70" s="3120"/>
      <c r="G70" s="3120"/>
      <c r="H70" s="3120"/>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10" t="s">
        <v>2234</v>
      </c>
      <c r="B71" s="3111"/>
      <c r="C71" s="1800"/>
      <c r="D71" s="1800" t="s">
        <v>2235</v>
      </c>
      <c r="E71" s="213" t="s">
        <v>2236</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2254</v>
      </c>
      <c r="C72" s="207">
        <f ca="1">ROUND(D45/(1+'数据-取费表'!C42),0)</f>
        <v>67413</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2255</v>
      </c>
      <c r="C73" s="207">
        <f ca="1">C74+C78</f>
        <v>337</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2256</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2257</v>
      </c>
      <c r="C75" s="218"/>
      <c r="D75" s="200" t="s">
        <v>32</v>
      </c>
      <c r="E75" s="219" t="s">
        <v>2258</v>
      </c>
      <c r="F75" s="2505" t="s">
        <v>2259</v>
      </c>
      <c r="G75" s="219" t="s">
        <v>2260</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2261</v>
      </c>
      <c r="C76" s="200">
        <f>IF(F75="购房发票",ROUND(C75*H75*D76,0),0)</f>
        <v>0</v>
      </c>
      <c r="D76" s="222">
        <v>0.05</v>
      </c>
      <c r="E76" s="3116" t="s">
        <v>2262</v>
      </c>
      <c r="F76" s="3115"/>
      <c r="G76" s="3115"/>
      <c r="H76" s="3118"/>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7" t="s">
        <v>2265</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2266</v>
      </c>
      <c r="C78" s="225">
        <f ca="1">ROUND(D45*D78/(1+'数据-取费表'!C42),0)</f>
        <v>337</v>
      </c>
      <c r="D78" s="226">
        <f>'数据-取费表'!B43</f>
        <v>5.000000000000001E-3</v>
      </c>
      <c r="E78" s="3107" t="s">
        <v>2267</v>
      </c>
      <c r="F78" s="3108"/>
      <c r="G78" s="3108"/>
      <c r="H78" s="3109"/>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2268</v>
      </c>
      <c r="C79" s="207">
        <f ca="1">C72-C73</f>
        <v>67076</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2269</v>
      </c>
      <c r="C80" s="227">
        <f ca="1">IF(C79&lt;=0,0,C79/C73)</f>
        <v>199.03857566765578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2270</v>
      </c>
      <c r="C81" s="228">
        <f ca="1">ROUND(IF(C79&lt;=0,0,IF(C80&gt;=200%,C79*60%-C73*35%,IF(C80&gt;=100%,C79*50%-C73*15%,IF(C80&gt;=50%,C79*40%-C73*5%,IF(C80&lt;50%,C79*30%,0))))),0)</f>
        <v>40128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9" t="s">
        <v>2271</v>
      </c>
      <c r="B83" s="3120"/>
      <c r="C83" s="3120"/>
      <c r="D83" s="3120"/>
      <c r="E83" s="3120"/>
      <c r="F83" s="3120"/>
      <c r="G83" s="3120"/>
      <c r="H83" s="3120"/>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10" t="s">
        <v>2234</v>
      </c>
      <c r="B84" s="3111"/>
      <c r="C84" s="1800"/>
      <c r="D84" s="1800" t="s">
        <v>2235</v>
      </c>
      <c r="E84" s="213" t="s">
        <v>2236</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2254</v>
      </c>
      <c r="C85" s="207">
        <f ca="1">ROUND(D45/(1+'数据-取费表'!C42),0)</f>
        <v>67413</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2255</v>
      </c>
      <c r="C86" s="207">
        <f ca="1">IF(H88="仅含出让金",C87+C90+C91+C92+C93+C94,C87+C91+C92+C93+C94)</f>
        <v>337</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2272</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2273</v>
      </c>
      <c r="C88" s="236"/>
      <c r="D88" s="226"/>
      <c r="E88" s="237" t="s">
        <v>2274</v>
      </c>
      <c r="F88" s="1796"/>
      <c r="G88" s="238" t="s">
        <v>2275</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2263</v>
      </c>
      <c r="C89" s="225">
        <f>ROUND(C88*D89,0)</f>
        <v>0</v>
      </c>
      <c r="D89" s="226">
        <f>'数据-取费表'!B48+'数据-取费表'!B49</f>
        <v>3.0499999999999999E-2</v>
      </c>
      <c r="E89" s="237" t="s">
        <v>2276</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2277</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2278</v>
      </c>
      <c r="B91" s="198" t="s">
        <v>2279</v>
      </c>
      <c r="C91" s="225">
        <f>IF(H91="——",成本法!C33,I91)</f>
        <v>0</v>
      </c>
      <c r="D91" s="226"/>
      <c r="E91" s="3107" t="s">
        <v>2280</v>
      </c>
      <c r="F91" s="3108"/>
      <c r="G91" s="3108"/>
      <c r="H91" s="2512" t="s">
        <v>2281</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2282</v>
      </c>
      <c r="B92" s="198" t="s">
        <v>2283</v>
      </c>
      <c r="C92" s="225">
        <f>ROUND((C87+C90+C91)*D92,0)</f>
        <v>0</v>
      </c>
      <c r="D92" s="226">
        <v>0.1</v>
      </c>
      <c r="E92" s="3107" t="s">
        <v>2284</v>
      </c>
      <c r="F92" s="3108"/>
      <c r="G92" s="3108"/>
      <c r="H92" s="3109"/>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2285</v>
      </c>
      <c r="B93" s="198" t="s">
        <v>2266</v>
      </c>
      <c r="C93" s="225">
        <f ca="1">ROUND(D45*D93/(1+'数据-取费表'!C42),0)</f>
        <v>337</v>
      </c>
      <c r="D93" s="226">
        <f>'数据-取费表'!B43</f>
        <v>5.000000000000001E-3</v>
      </c>
      <c r="E93" s="3107" t="s">
        <v>2267</v>
      </c>
      <c r="F93" s="3108"/>
      <c r="G93" s="3108"/>
      <c r="H93" s="3109"/>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2286</v>
      </c>
      <c r="B94" s="198" t="s">
        <v>2287</v>
      </c>
      <c r="C94" s="236">
        <f>ROUND((C87+C90+C91)*D94,0)</f>
        <v>0</v>
      </c>
      <c r="D94" s="226">
        <v>0.2</v>
      </c>
      <c r="E94" s="3155" t="s">
        <v>2288</v>
      </c>
      <c r="F94" s="3156"/>
      <c r="G94" s="3156"/>
      <c r="H94" s="3157"/>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2268</v>
      </c>
      <c r="C95" s="207">
        <f ca="1">ROUND(C85-C86,0)</f>
        <v>67076</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2269</v>
      </c>
      <c r="C96" s="227">
        <f ca="1">IF(C95&lt;=0,0,C95/C86)</f>
        <v>199.03857566765578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2270</v>
      </c>
      <c r="C97" s="228">
        <f ca="1">ROUND(IF(C95&lt;=0,0,IF(C96&gt;=200%,C95*60%-C86*35%,IF(C96&gt;=100%,C95*50%-C86*15%,IF(C96&gt;=50%,C95*40%-C86*5%,IF(C96&lt;50%,C95*30%,0))))),0)</f>
        <v>40128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3"/>
      <c r="F98" s="2163"/>
      <c r="G98" s="2163"/>
      <c r="H98" s="2162"/>
      <c r="I98" s="138"/>
    </row>
    <row r="99" spans="1:35" ht="21.75" customHeight="1" thickBot="1">
      <c r="A99" s="2468" t="s">
        <v>2289</v>
      </c>
      <c r="B99" s="2412"/>
      <c r="C99" s="2412"/>
      <c r="D99" s="2412"/>
      <c r="E99" s="2163"/>
      <c r="F99" s="2163"/>
      <c r="G99" s="2163"/>
      <c r="H99" s="2162"/>
      <c r="I99" s="138"/>
    </row>
    <row r="100" spans="1:35" ht="18.75" customHeight="1">
      <c r="A100" s="3059" t="s">
        <v>2290</v>
      </c>
      <c r="B100" s="3060"/>
      <c r="C100" s="3060"/>
      <c r="D100" s="3091"/>
      <c r="E100" s="3060" t="s">
        <v>2291</v>
      </c>
      <c r="F100" s="3060"/>
      <c r="G100" s="3060"/>
      <c r="H100" s="3091"/>
      <c r="I100" s="138"/>
    </row>
    <row r="101" spans="1:35" ht="40.5" customHeight="1">
      <c r="A101" s="3099" t="s">
        <v>2292</v>
      </c>
      <c r="B101" s="3100"/>
      <c r="C101" s="733" t="str">
        <f>C4</f>
        <v>收益法（汇总）</v>
      </c>
      <c r="D101" s="734" t="str">
        <f>D4</f>
        <v>典型户型修正（汇总）</v>
      </c>
      <c r="E101" s="3071" t="s">
        <v>2293</v>
      </c>
      <c r="F101" s="3072"/>
      <c r="G101" s="2514" t="s">
        <v>2294</v>
      </c>
      <c r="H101" s="1045">
        <f ca="1">H118</f>
        <v>70784</v>
      </c>
      <c r="I101" s="138"/>
    </row>
    <row r="102" spans="1:35" ht="18.75" customHeight="1">
      <c r="A102" s="3101" t="s">
        <v>2295</v>
      </c>
      <c r="B102" s="2514" t="s">
        <v>2294</v>
      </c>
      <c r="C102" s="733">
        <f ca="1">C19</f>
        <v>25906</v>
      </c>
      <c r="D102" s="734">
        <f ca="1">D19</f>
        <v>90017</v>
      </c>
      <c r="E102" s="3071"/>
      <c r="F102" s="3072"/>
      <c r="G102" s="2514" t="s">
        <v>2296</v>
      </c>
      <c r="H102" s="371">
        <f ca="1">I118</f>
        <v>27869</v>
      </c>
      <c r="I102" s="138"/>
    </row>
    <row r="103" spans="1:35" ht="42.75" customHeight="1">
      <c r="A103" s="3101"/>
      <c r="B103" s="2514" t="s">
        <v>2296</v>
      </c>
      <c r="C103" s="735">
        <f ca="1">C20</f>
        <v>10200</v>
      </c>
      <c r="D103" s="736">
        <f ca="1">D20</f>
        <v>35441</v>
      </c>
      <c r="E103" s="3065" t="s">
        <v>2297</v>
      </c>
      <c r="F103" s="3066"/>
      <c r="G103" s="2515" t="s">
        <v>2298</v>
      </c>
      <c r="H103" s="1045">
        <f>IF(D36="正常操作",H104+H105+H106,H105+H106)</f>
        <v>0</v>
      </c>
      <c r="I103" s="138"/>
    </row>
    <row r="104" spans="1:35" ht="18.75" customHeight="1">
      <c r="A104" s="3101" t="s">
        <v>2299</v>
      </c>
      <c r="B104" s="2516" t="s">
        <v>2294</v>
      </c>
      <c r="C104" s="737">
        <f ca="1">H118</f>
        <v>70784</v>
      </c>
      <c r="D104" s="738"/>
      <c r="E104" s="2263" t="s">
        <v>2300</v>
      </c>
      <c r="F104" s="2255"/>
      <c r="G104" s="2515" t="s">
        <v>2298</v>
      </c>
      <c r="H104" s="1046">
        <f>IF(D36="同一抵押权人同一抵押物续贷",C36&amp;"（未扣减，详见特别提示）",C36)</f>
        <v>0</v>
      </c>
      <c r="I104" s="138"/>
    </row>
    <row r="105" spans="1:35" ht="18.75" customHeight="1" thickBot="1">
      <c r="A105" s="3113"/>
      <c r="B105" s="2517" t="s">
        <v>2296</v>
      </c>
      <c r="C105" s="739">
        <f ca="1">I118</f>
        <v>27869</v>
      </c>
      <c r="D105" s="740"/>
      <c r="E105" s="2263" t="s">
        <v>2301</v>
      </c>
      <c r="F105" s="2255"/>
      <c r="G105" s="2515" t="s">
        <v>2298</v>
      </c>
      <c r="H105" s="1046">
        <f>C37</f>
        <v>0</v>
      </c>
      <c r="I105" s="138"/>
    </row>
    <row r="106" spans="1:35" ht="18.75" customHeight="1">
      <c r="A106" s="2412" t="s">
        <v>2302</v>
      </c>
      <c r="B106" s="2412"/>
      <c r="C106" s="2412"/>
      <c r="D106" s="2412"/>
      <c r="E106" s="2518" t="s">
        <v>2303</v>
      </c>
      <c r="F106" s="2255"/>
      <c r="G106" s="2515" t="s">
        <v>2298</v>
      </c>
      <c r="H106" s="1046">
        <f>C38</f>
        <v>0</v>
      </c>
      <c r="I106" s="138"/>
    </row>
    <row r="107" spans="1:35" ht="18.75" customHeight="1">
      <c r="A107" s="138"/>
      <c r="B107" s="138"/>
      <c r="C107" s="138"/>
      <c r="D107" s="138"/>
      <c r="E107" s="3102" t="str">
        <f>IF(项目基本情况!E8="已注销","——","3.房地产抵押价值")</f>
        <v>3.房地产抵押价值</v>
      </c>
      <c r="F107" s="3072"/>
      <c r="G107" s="2514" t="s">
        <v>2294</v>
      </c>
      <c r="H107" s="1045">
        <f ca="1">IF(E107="——","——",H101-H103)</f>
        <v>70784</v>
      </c>
      <c r="I107" s="138"/>
    </row>
    <row r="108" spans="1:35" ht="18.75" customHeight="1">
      <c r="A108" s="138"/>
      <c r="B108" s="138"/>
      <c r="C108" s="138"/>
      <c r="D108" s="138"/>
      <c r="E108" s="3102"/>
      <c r="F108" s="3072"/>
      <c r="G108" s="2514" t="s">
        <v>2296</v>
      </c>
      <c r="H108" s="371">
        <f ca="1">ROUND(H107*10000/'数据-汇总表'!E3,0)</f>
        <v>27869</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072"/>
      <c r="G109" s="2514" t="s">
        <v>2294</v>
      </c>
      <c r="H109" s="348" t="str">
        <f>IF(E109="——","——",H101-H105-H106)</f>
        <v>——</v>
      </c>
      <c r="I109" s="138"/>
    </row>
    <row r="110" spans="1:35" ht="18.75" customHeight="1">
      <c r="A110" s="138"/>
      <c r="B110" s="138"/>
      <c r="C110" s="138"/>
      <c r="D110" s="138"/>
      <c r="E110" s="3102"/>
      <c r="F110" s="3072"/>
      <c r="G110" s="2514" t="s">
        <v>2296</v>
      </c>
      <c r="H110" s="371" t="str">
        <f>IF(H109="——","——",ROUND(H109*10000/'数据-汇总表'!E3,0))</f>
        <v>——</v>
      </c>
      <c r="I110" s="138"/>
    </row>
    <row r="111" spans="1:35" ht="18.75" customHeight="1">
      <c r="A111" s="138"/>
      <c r="B111" s="138"/>
      <c r="C111" s="138"/>
      <c r="D111" s="138"/>
      <c r="E111" s="3103" t="str">
        <f>IF(项目基本情况!E9="抵押净值",IF(OR(项目基本情况!E8="已注销",项目基本情况!E8="房地产抵押价值"),"4.抵押净值","5.抵押净值"),"——")</f>
        <v>——</v>
      </c>
      <c r="F111" s="3104"/>
      <c r="G111" s="2514" t="s">
        <v>2294</v>
      </c>
      <c r="H111" s="1045" t="str">
        <f>IF(E111="——","——",N59)</f>
        <v>——</v>
      </c>
      <c r="I111" s="138"/>
    </row>
    <row r="112" spans="1:35" ht="18.75" customHeight="1" thickBot="1">
      <c r="A112" s="138"/>
      <c r="B112" s="138"/>
      <c r="C112" s="138"/>
      <c r="D112" s="138"/>
      <c r="E112" s="3105"/>
      <c r="F112" s="3106"/>
      <c r="G112" s="2519" t="s">
        <v>2296</v>
      </c>
      <c r="H112" s="787" t="str">
        <f>IF(E111="——","——",N61)</f>
        <v>——</v>
      </c>
      <c r="I112" s="138"/>
    </row>
    <row r="113" spans="1:11" ht="18.75" customHeight="1">
      <c r="A113" s="138"/>
      <c r="B113" s="138"/>
      <c r="C113" s="138"/>
      <c r="D113" s="138"/>
      <c r="E113" s="3114" t="s">
        <v>2302</v>
      </c>
      <c r="F113" s="3114"/>
      <c r="G113" s="3114"/>
      <c r="H113" s="3114"/>
      <c r="I113" s="138"/>
    </row>
    <row r="114" spans="1:11" ht="3.75" customHeight="1">
      <c r="A114" s="2412"/>
      <c r="B114" s="2412"/>
      <c r="C114" s="2412"/>
      <c r="D114" s="2412"/>
      <c r="E114" s="2490"/>
      <c r="F114" s="2490"/>
      <c r="G114" s="2490"/>
      <c r="H114" s="2490"/>
      <c r="I114" s="2412"/>
    </row>
    <row r="115" spans="1:11" ht="18.75" customHeight="1">
      <c r="A115" s="3127" t="s">
        <v>2304</v>
      </c>
      <c r="B115" s="3128"/>
      <c r="C115" s="3128"/>
      <c r="D115" s="3128"/>
      <c r="E115" s="3128"/>
      <c r="F115" s="3128"/>
      <c r="G115" s="3128"/>
      <c r="H115" s="3128"/>
      <c r="I115" s="3129"/>
    </row>
    <row r="116" spans="1:11" ht="27" customHeight="1">
      <c r="A116" s="3038" t="s">
        <v>2305</v>
      </c>
      <c r="B116" s="3081" t="s">
        <v>2306</v>
      </c>
      <c r="C116" s="3081" t="s">
        <v>3482</v>
      </c>
      <c r="D116" s="3087" t="s">
        <v>2307</v>
      </c>
      <c r="E116" s="3088"/>
      <c r="F116" s="3123" t="s">
        <v>3481</v>
      </c>
      <c r="G116" s="3123"/>
      <c r="H116" s="3038" t="s">
        <v>2308</v>
      </c>
      <c r="I116" s="3038"/>
    </row>
    <row r="117" spans="1:11" ht="18.75" customHeight="1">
      <c r="A117" s="3038"/>
      <c r="B117" s="3082"/>
      <c r="C117" s="3082"/>
      <c r="D117" s="1794" t="s">
        <v>2309</v>
      </c>
      <c r="E117" s="1794" t="s">
        <v>2310</v>
      </c>
      <c r="F117" s="1794" t="s">
        <v>2309</v>
      </c>
      <c r="G117" s="1794" t="s">
        <v>2311</v>
      </c>
      <c r="H117" s="1794" t="s">
        <v>2309</v>
      </c>
      <c r="I117" s="1794" t="s">
        <v>2311</v>
      </c>
    </row>
    <row r="118" spans="1:11" ht="24.75" customHeight="1">
      <c r="A118" s="2520" t="str">
        <f>项目基本情况!S2</f>
        <v>北京市兴贸三街18号院四季悦城项目商业、办公用房房地产</v>
      </c>
      <c r="B118" s="1794">
        <f>M18</f>
        <v>25398.790000000015</v>
      </c>
      <c r="C118" s="1794">
        <f>M19</f>
        <v>0</v>
      </c>
      <c r="D118" s="1794">
        <f ca="1">ROUND(IF(D32="总价",C34,E118*B118/10000),0)</f>
        <v>6087</v>
      </c>
      <c r="E118" s="1794">
        <f ca="1">ROUND(IF(C33="自定义",IF(D32="楼面单价",C34,D118*10000/B118),I118-G118),0)</f>
        <v>2397</v>
      </c>
      <c r="F118" s="1794">
        <f ca="1">ROUND(IF(D32="总价",C35,G118*B118/10000),0)</f>
        <v>64697</v>
      </c>
      <c r="G118" s="1794">
        <f ca="1">ROUND(IF(D32="楼面单价",C35,F118*10000/B118),0)</f>
        <v>25472</v>
      </c>
      <c r="H118" s="1794">
        <f ca="1">ROUND(IF(D32="总价",C32,I118*B118/10000),0)</f>
        <v>70784</v>
      </c>
      <c r="I118" s="1794">
        <f ca="1">ROUND(IF(D32="楼面单价",C32,H118*10000/B118),0)</f>
        <v>27869</v>
      </c>
    </row>
    <row r="119" spans="1:11" ht="18.75" customHeight="1">
      <c r="A119" s="3038" t="s">
        <v>2312</v>
      </c>
      <c r="B119" s="3038"/>
      <c r="C119" s="3038"/>
      <c r="D119" s="3083" t="str">
        <f ca="1">NUMBERSTRING(INT(D118*10000),2)&amp;"元整"</f>
        <v>陆仟零捌拾柒万元整</v>
      </c>
      <c r="E119" s="3084"/>
      <c r="F119" s="3083" t="str">
        <f ca="1">NUMBERSTRING(INT(F118*10000),2)&amp;"元整"</f>
        <v>陆亿肆仟陆佰玖拾柒万元整</v>
      </c>
      <c r="G119" s="3084"/>
      <c r="H119" s="3083" t="str">
        <f ca="1">NUMBERSTRING(INT(H118*10000),2)&amp;"元整"</f>
        <v>柒亿零柒佰捌拾肆万元整</v>
      </c>
      <c r="I119" s="3084"/>
    </row>
    <row r="120" spans="1:11" ht="18.75" customHeight="1">
      <c r="A120" s="3078" t="str">
        <f>IF(项目基本情况!B9="房地产市场价值","",MID(E103,3,LEN(E103)-2))</f>
        <v>估价师知悉的法定优先受偿款</v>
      </c>
      <c r="B120" s="3079"/>
      <c r="C120" s="3080"/>
      <c r="D120" s="3078">
        <f>H103</f>
        <v>0</v>
      </c>
      <c r="E120" s="3079"/>
      <c r="F120" s="3079"/>
      <c r="G120" s="3079"/>
      <c r="H120" s="3079"/>
      <c r="I120" s="3080"/>
      <c r="K120" s="2417" t="str">
        <f>IF(D120=0,"故，本次评估不存在"&amp;A120,"故，本次评估"&amp;A120&amp;"为人民币"&amp;D120&amp;"万元整。")</f>
        <v>故，本次评估不存在估价师知悉的法定优先受偿款</v>
      </c>
    </row>
    <row r="121" spans="1:11" ht="18.75" customHeight="1">
      <c r="A121" s="3124" t="s">
        <v>2312</v>
      </c>
      <c r="B121" s="3125"/>
      <c r="C121" s="3126"/>
      <c r="D121" s="3083" t="str">
        <f>IF(D120=0,"零元整",NUMBERSTRING(INT(D120*10000),2)&amp;"元整")</f>
        <v>零元整</v>
      </c>
      <c r="E121" s="3085"/>
      <c r="F121" s="3085"/>
      <c r="G121" s="3085"/>
      <c r="H121" s="3085"/>
      <c r="I121" s="3084"/>
    </row>
    <row r="122" spans="1:11" ht="18.75" customHeight="1">
      <c r="A122" s="3089" t="str">
        <f>IF(项目基本情况!B9="房地产市场价值","",MID(E107,3,LEN(E107)-2))</f>
        <v>房地产抵押价值</v>
      </c>
      <c r="B122" s="3089"/>
      <c r="C122" s="3089"/>
      <c r="D122" s="3078">
        <f ca="1">H107</f>
        <v>70784</v>
      </c>
      <c r="E122" s="3079"/>
      <c r="F122" s="3079"/>
      <c r="G122" s="3079"/>
      <c r="H122" s="3079"/>
      <c r="I122" s="3080"/>
    </row>
    <row r="123" spans="1:11" ht="18.75" customHeight="1">
      <c r="A123" s="3038" t="s">
        <v>2312</v>
      </c>
      <c r="B123" s="3038"/>
      <c r="C123" s="3038"/>
      <c r="D123" s="3083" t="str">
        <f ca="1">NUMBERSTRING(INT(D122*10000),2)&amp;"元整"</f>
        <v>柒亿零柒佰捌拾肆万元整</v>
      </c>
      <c r="E123" s="3085"/>
      <c r="F123" s="3085"/>
      <c r="G123" s="3085"/>
      <c r="H123" s="3085"/>
      <c r="I123" s="3084"/>
    </row>
    <row r="124" spans="1:11" ht="18.75" customHeight="1">
      <c r="A124" s="3089" t="str">
        <f>IF(项目基本情况!B9="房地产市场价值","",MID(E109,3,LEN(E109)-2))</f>
        <v/>
      </c>
      <c r="B124" s="3089"/>
      <c r="C124" s="3089"/>
      <c r="D124" s="3078" t="str">
        <f>H109</f>
        <v>——</v>
      </c>
      <c r="E124" s="3079"/>
      <c r="F124" s="3079"/>
      <c r="G124" s="3079"/>
      <c r="H124" s="3079"/>
      <c r="I124" s="3080"/>
    </row>
    <row r="125" spans="1:11" ht="18.75" customHeight="1">
      <c r="A125" s="3038" t="s">
        <v>2312</v>
      </c>
      <c r="B125" s="3038"/>
      <c r="C125" s="3038"/>
      <c r="D125" s="3083" t="e">
        <f>NUMBERSTRING(INT(D124*10000),2)&amp;"元整"</f>
        <v>#VALUE!</v>
      </c>
      <c r="E125" s="3085"/>
      <c r="F125" s="3085"/>
      <c r="G125" s="3085"/>
      <c r="H125" s="3085"/>
      <c r="I125" s="3084"/>
    </row>
    <row r="126" spans="1:11" ht="18.75" customHeight="1">
      <c r="A126" s="3089" t="str">
        <f>IF(项目基本情况!B9="房地产市场价值","",MID(E111,3,LEN(E111)-2))</f>
        <v/>
      </c>
      <c r="B126" s="3089"/>
      <c r="C126" s="3089"/>
      <c r="D126" s="3078" t="str">
        <f>H111</f>
        <v>——</v>
      </c>
      <c r="E126" s="3079"/>
      <c r="F126" s="3079"/>
      <c r="G126" s="3079"/>
      <c r="H126" s="3079"/>
      <c r="I126" s="3080"/>
    </row>
    <row r="127" spans="1:11" ht="18.75" customHeight="1">
      <c r="A127" s="3038" t="s">
        <v>2312</v>
      </c>
      <c r="B127" s="3038"/>
      <c r="C127" s="3038"/>
      <c r="D127" s="3083" t="e">
        <f>NUMBERSTRING(INT(D126*10000),2)&amp;"元整"</f>
        <v>#VALUE!</v>
      </c>
      <c r="E127" s="3085"/>
      <c r="F127" s="3085"/>
      <c r="G127" s="3085"/>
      <c r="H127" s="3085"/>
      <c r="I127" s="3084"/>
    </row>
    <row r="128" spans="1:11" ht="21.75" customHeight="1">
      <c r="A128" s="3086" t="s">
        <v>2313</v>
      </c>
      <c r="B128" s="3086"/>
      <c r="C128" s="3086"/>
      <c r="D128" s="3086"/>
      <c r="E128" s="3086"/>
      <c r="F128" s="3086"/>
      <c r="G128" s="3086"/>
      <c r="H128" s="3086"/>
      <c r="I128" s="3086"/>
    </row>
    <row r="129" spans="1:35" ht="21.75" customHeight="1">
      <c r="A129" s="2521" t="s">
        <v>2314</v>
      </c>
      <c r="B129" s="2522"/>
      <c r="C129" s="2523" t="s">
        <v>2315</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2316</v>
      </c>
      <c r="G135" s="2538"/>
      <c r="H135" s="2538"/>
      <c r="I135" s="2539" t="s">
        <v>2317</v>
      </c>
    </row>
    <row r="136" spans="1:35" ht="21.75" customHeight="1">
      <c r="A136" s="792"/>
      <c r="B136" s="2540"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2319</v>
      </c>
    </row>
    <row r="139" spans="1:35" ht="21.75" customHeight="1">
      <c r="A139" s="792"/>
      <c r="B139" s="2540" t="s">
        <v>2320</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2319</v>
      </c>
    </row>
    <row r="142" spans="1:35" ht="21.75" customHeight="1">
      <c r="A142" s="792"/>
      <c r="B142" s="2540"/>
      <c r="C142" s="2541"/>
      <c r="D142" s="2542"/>
      <c r="E142" s="2542"/>
      <c r="F142" s="2337"/>
      <c r="G142" s="792"/>
      <c r="H142" s="792"/>
      <c r="I142" s="792"/>
    </row>
    <row r="143" spans="1:35" s="139" customFormat="1" ht="21.75" customHeight="1">
      <c r="A143" s="792"/>
      <c r="B143" s="2540"/>
      <c r="C143" s="2541"/>
      <c r="D143" s="2542"/>
      <c r="E143" s="2542"/>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6"/>
      <c r="C1" s="242"/>
      <c r="D1" s="242"/>
      <c r="E1" s="242"/>
      <c r="F1" s="242"/>
      <c r="G1" s="1379">
        <f>MATCH(B1,'数据-取费表'!A6:A16,0)+5</f>
        <v>8</v>
      </c>
    </row>
    <row r="2" spans="1:9" s="244" customFormat="1" ht="18" customHeight="1">
      <c r="A2" s="245" t="s">
        <v>2322</v>
      </c>
      <c r="B2" s="246">
        <f ca="1">IF(D2="——",C52,C52-E2)</f>
        <v>14465</v>
      </c>
      <c r="C2" s="243" t="s">
        <v>2323</v>
      </c>
      <c r="D2" s="2543" t="s">
        <v>70</v>
      </c>
      <c r="E2" s="1440" t="e">
        <f ca="1">SUMIF(INDIRECT("'"&amp;G2&amp;"'"&amp;"!A:A"),"承租人权益价值",INDIRECT("'"&amp;G2&amp;"'"&amp;"!c:c"))</f>
        <v>#REF!</v>
      </c>
      <c r="F2" s="2544" t="s">
        <v>2323</v>
      </c>
      <c r="G2" s="2545"/>
    </row>
    <row r="3" spans="1:9" s="244" customFormat="1" ht="18" customHeight="1" thickBot="1">
      <c r="A3" s="247" t="s">
        <v>2324</v>
      </c>
      <c r="B3" s="248">
        <f ca="1">ROUND(B2*10000/(IF(B1="",'数据-汇总表'!E3,INDIRECT("'数据-取费表'!k"&amp;$G$1))),0)</f>
        <v>5695</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432</v>
      </c>
      <c r="D5" s="255" t="s">
        <v>2329</v>
      </c>
      <c r="E5" s="256" t="s">
        <v>2330</v>
      </c>
      <c r="F5" s="256" t="s">
        <v>2331</v>
      </c>
      <c r="G5" s="257"/>
    </row>
    <row r="6" spans="1:9" s="258" customFormat="1" ht="13.5" customHeight="1">
      <c r="A6" s="949" t="s">
        <v>2332</v>
      </c>
      <c r="B6" s="259" t="s">
        <v>2333</v>
      </c>
      <c r="C6" s="260"/>
      <c r="D6" s="261"/>
      <c r="E6" s="262"/>
      <c r="F6" s="262"/>
      <c r="G6" s="263"/>
    </row>
    <row r="7" spans="1:9" s="258" customFormat="1" ht="13.5" customHeight="1">
      <c r="A7" s="949" t="s">
        <v>2334</v>
      </c>
      <c r="B7" s="259" t="s">
        <v>2335</v>
      </c>
      <c r="C7" s="264">
        <f>ROUND(C6*F7,0)</f>
        <v>0</v>
      </c>
      <c r="D7" s="264"/>
      <c r="E7" s="262"/>
      <c r="F7" s="265">
        <f>'数据-取费表'!B48+'数据-取费表'!B49</f>
        <v>3.0499999999999999E-2</v>
      </c>
      <c r="G7" s="263"/>
    </row>
    <row r="8" spans="1:9" s="267" customFormat="1">
      <c r="A8" s="949" t="s">
        <v>2336</v>
      </c>
      <c r="B8" s="259" t="s">
        <v>2337</v>
      </c>
      <c r="C8" s="264">
        <f>IF(G8="已包含在土地购买价格中","0",IF(B1="",'数据-取费表'!B29,IF(G9="全部缴纳",C9+C10,H9)))</f>
        <v>432</v>
      </c>
      <c r="D8" s="266"/>
      <c r="E8" s="264"/>
      <c r="F8" s="265"/>
      <c r="G8" s="2546"/>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140</v>
      </c>
      <c r="F9" s="265"/>
      <c r="G9" s="2547"/>
      <c r="H9" s="1390"/>
      <c r="I9" s="2548" t="s">
        <v>2339</v>
      </c>
    </row>
    <row r="10" spans="1:9" s="258" customFormat="1" ht="13.5" customHeight="1">
      <c r="A10" s="950" t="s">
        <v>801</v>
      </c>
      <c r="B10" s="268" t="s">
        <v>2340</v>
      </c>
      <c r="C10" s="269">
        <f ca="1">ROUND(D10*E10/10000,0)</f>
        <v>432</v>
      </c>
      <c r="D10" s="1032">
        <f ca="1">IF(B1="",'数据-汇总表'!E6,IF(INDIRECT("'数据-取费表'!c"&amp;$G$1)="住宅",INDIRECT("'数据-取费表'!s"&amp;$G$1),INDIRECT("'数据-取费表'!k"&amp;$G$1)+INDIRECT("'数据-取费表'!s"&amp;$G$1)))</f>
        <v>25398.790000000015</v>
      </c>
      <c r="E10" s="269">
        <f>'数据-取费表'!B28</f>
        <v>170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f ca="1">IF(G19="已包含在土地取得成本中","0",ROUND(D19*E19/10000,0))</f>
        <v>508</v>
      </c>
      <c r="D19" s="1036">
        <f ca="1">D9+D10</f>
        <v>25398.790000000015</v>
      </c>
      <c r="E19" s="255">
        <f>'数据-取费表'!B31</f>
        <v>200</v>
      </c>
      <c r="F19" s="275"/>
      <c r="G19" s="2546"/>
    </row>
    <row r="20" spans="1:7" s="258" customFormat="1" ht="13.5" customHeight="1">
      <c r="A20" s="299" t="s">
        <v>2353</v>
      </c>
      <c r="B20" s="254" t="s">
        <v>2354</v>
      </c>
      <c r="C20" s="276">
        <f ca="1">ROUND((C5+C19)*F20,0)</f>
        <v>19</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92</v>
      </c>
      <c r="D22" s="279">
        <f ca="1">C26</f>
        <v>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5">
        <f ca="1">ROUND(IF('数据-取费表'!B22&lt;=1,C5*F22*'数据-取费表'!B23,C5*(POWER((1+F22),'数据-取费表'!B23)-1)),0)</f>
        <v>42</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49</v>
      </c>
      <c r="D24" s="282"/>
      <c r="E24" s="282"/>
      <c r="F24" s="283"/>
      <c r="G24" s="284" t="s">
        <v>2367</v>
      </c>
    </row>
    <row r="25" spans="1:7" s="258" customFormat="1" ht="24">
      <c r="A25" s="951" t="s">
        <v>2368</v>
      </c>
      <c r="B25" s="259" t="s">
        <v>2369</v>
      </c>
      <c r="C25" s="1355">
        <f ca="1">ROUND(IF('数据-取费表'!B22&lt;=1,C20*F22*'数据-取费表'!B23/2,C20*(POWER((1+F22),'数据-取费表'!B23/2)-1)),0)</f>
        <v>1</v>
      </c>
      <c r="D25" s="282"/>
      <c r="E25" s="285"/>
      <c r="F25" s="283"/>
      <c r="G25" s="286" t="s">
        <v>2370</v>
      </c>
    </row>
    <row r="26" spans="1:7" s="258" customFormat="1">
      <c r="A26" s="951"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105</v>
      </c>
      <c r="D27" s="279">
        <f ca="1">C29</f>
        <v>2.2000000000000001E-3</v>
      </c>
      <c r="E27" s="280" t="s">
        <v>2374</v>
      </c>
      <c r="F27" s="290">
        <f ca="1">IF(B1="",'数据-取费表'!Q16,INDIRECT("'数据-取费表'!q"&amp;$G$1))</f>
        <v>0.11</v>
      </c>
      <c r="G27" s="291" t="s">
        <v>2375</v>
      </c>
    </row>
    <row r="28" spans="1:7" s="258" customFormat="1" ht="13.5" customHeight="1">
      <c r="A28" s="951" t="s">
        <v>791</v>
      </c>
      <c r="B28" s="292" t="s">
        <v>2376</v>
      </c>
      <c r="C28" s="293">
        <f ca="1">ROUND((C5+C19+C20)*F27*'数据-取费表'!B21/'数据-取费表'!B20,0)</f>
        <v>105</v>
      </c>
      <c r="D28" s="279"/>
      <c r="E28" s="280"/>
      <c r="F28" s="290"/>
      <c r="G28" s="291"/>
    </row>
    <row r="29" spans="1:7" s="258" customFormat="1" ht="13.5" customHeight="1">
      <c r="A29" s="951" t="s">
        <v>792</v>
      </c>
      <c r="B29" s="292" t="s">
        <v>2377</v>
      </c>
      <c r="C29" s="282">
        <f ca="1">ROUND(C21*F27*'数据-取费表'!B21/'数据-取费表'!B20,4)</f>
        <v>2.2000000000000001E-3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1251</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11125</v>
      </c>
      <c r="D33" s="276"/>
      <c r="E33" s="256"/>
      <c r="F33" s="285"/>
      <c r="G33" s="278"/>
    </row>
    <row r="34" spans="1:7"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10160</v>
      </c>
      <c r="D34" s="261"/>
      <c r="E34" s="264"/>
      <c r="F34" s="301">
        <f ca="1">IF('数据-取费表'!B24=0,1,IF(B1="",'数据-取费表'!N16,INDIRECT("'数据-取费表'!n"&amp;$G$1)))</f>
        <v>1</v>
      </c>
      <c r="G34" s="263" t="s">
        <v>2386</v>
      </c>
    </row>
    <row r="35" spans="1:7" ht="13.5" customHeight="1">
      <c r="A35" s="951" t="s">
        <v>796</v>
      </c>
      <c r="B35" s="259" t="s">
        <v>2387</v>
      </c>
      <c r="C35" s="264">
        <f ca="1">ROUND(C34*F35,0)</f>
        <v>305</v>
      </c>
      <c r="D35" s="264"/>
      <c r="E35" s="264"/>
      <c r="F35" s="303">
        <f>'数据-取费表'!B33</f>
        <v>0.03</v>
      </c>
      <c r="G35" s="263" t="s">
        <v>2388</v>
      </c>
    </row>
    <row r="36" spans="1:7"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1" t="s">
        <v>798</v>
      </c>
      <c r="B37" s="259" t="s">
        <v>2391</v>
      </c>
      <c r="C37" s="293">
        <f ca="1">ROUND(E37*D37*F34/10000,0)</f>
        <v>508</v>
      </c>
      <c r="D37" s="261">
        <f ca="1">D19</f>
        <v>25398.790000000015</v>
      </c>
      <c r="E37" s="293">
        <f>'数据-取费表'!B35</f>
        <v>200</v>
      </c>
      <c r="F37" s="303"/>
      <c r="G37" s="305" t="s">
        <v>2392</v>
      </c>
    </row>
    <row r="38" spans="1:7" ht="13.5" customHeight="1">
      <c r="A38" s="951" t="s">
        <v>799</v>
      </c>
      <c r="B38" s="259" t="s">
        <v>2393</v>
      </c>
      <c r="C38" s="264">
        <f ca="1">ROUND(C34*F38,0)</f>
        <v>152</v>
      </c>
      <c r="D38" s="264"/>
      <c r="E38" s="264"/>
      <c r="F38" s="303">
        <f>'数据-取费表'!B36</f>
        <v>1.4999999999999999E-2</v>
      </c>
      <c r="G38" s="263" t="s">
        <v>2388</v>
      </c>
    </row>
    <row r="39" spans="1:7" s="258" customFormat="1" ht="13.5" customHeight="1">
      <c r="A39" s="299" t="s">
        <v>2394</v>
      </c>
      <c r="B39" s="254" t="s">
        <v>2395</v>
      </c>
      <c r="C39" s="276">
        <f ca="1">ROUND(C33*F20,0)</f>
        <v>223</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539</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ROUND(IF('数据-取费表'!B22&lt;=1,C33*F22*'数据-取费表'!B21/2,C33*(POWER((1+F22),'数据-取费表'!B21/2)-1)),0)</f>
        <v>528</v>
      </c>
      <c r="D42" s="282"/>
      <c r="E42" s="282"/>
      <c r="F42" s="283"/>
      <c r="G42" s="3158" t="s">
        <v>2404</v>
      </c>
    </row>
    <row r="43" spans="1:7" ht="13.5" customHeight="1">
      <c r="A43" s="951" t="s">
        <v>792</v>
      </c>
      <c r="B43" s="259" t="s">
        <v>2405</v>
      </c>
      <c r="C43" s="282">
        <f ca="1">ROUND(IF('数据-取费表'!B22&lt;=1,C39*F22*'数据-取费表'!B21/2,C39*(POWER((1+F22),'数据-取费表'!B21/2)-1)),0)</f>
        <v>11</v>
      </c>
      <c r="D43" s="282"/>
      <c r="E43" s="282"/>
      <c r="F43" s="283"/>
      <c r="G43" s="3159"/>
    </row>
    <row r="44" spans="1:7" ht="13.5" customHeight="1">
      <c r="A44" s="951" t="s">
        <v>793</v>
      </c>
      <c r="B44" s="259" t="s">
        <v>2406</v>
      </c>
      <c r="C44" s="282">
        <f ca="1">ROUND(IF('数据-取费表'!B22&lt;=1,C40*F22*'数据-取费表'!B21/2,C40*(POWER((1+F22),'数据-取费表'!B21/2)-1)),4)</f>
        <v>1E-3</v>
      </c>
      <c r="D44" s="282"/>
      <c r="E44" s="282"/>
      <c r="F44" s="283"/>
      <c r="G44" s="3160"/>
    </row>
    <row r="45" spans="1:7" s="258" customFormat="1" ht="13.5" customHeight="1">
      <c r="A45" s="299" t="s">
        <v>2407</v>
      </c>
      <c r="B45" s="288" t="s">
        <v>2373</v>
      </c>
      <c r="C45" s="289">
        <f ca="1">C46</f>
        <v>1248</v>
      </c>
      <c r="D45" s="279">
        <f ca="1">C47</f>
        <v>2.2000000000000001E-3</v>
      </c>
      <c r="E45" s="280" t="s">
        <v>2399</v>
      </c>
      <c r="F45" s="290"/>
      <c r="G45" s="291" t="s">
        <v>2408</v>
      </c>
    </row>
    <row r="46" spans="1:7" s="258" customFormat="1" ht="13.5" customHeight="1">
      <c r="A46" s="951" t="s">
        <v>791</v>
      </c>
      <c r="B46" s="292" t="s">
        <v>2409</v>
      </c>
      <c r="C46" s="293">
        <f ca="1">ROUND((C33+C39)*F27,0)</f>
        <v>1248</v>
      </c>
      <c r="D46" s="307"/>
      <c r="E46" s="280"/>
      <c r="F46" s="290"/>
      <c r="G46" s="291"/>
    </row>
    <row r="47" spans="1:7" s="258" customFormat="1" ht="13.5" customHeight="1">
      <c r="A47" s="951" t="s">
        <v>792</v>
      </c>
      <c r="B47" s="292" t="s">
        <v>2410</v>
      </c>
      <c r="C47" s="282">
        <f ca="1">ROUND(C40*F27,4)</f>
        <v>2.2000000000000001E-3</v>
      </c>
      <c r="D47" s="307"/>
      <c r="E47" s="280"/>
      <c r="F47" s="290"/>
      <c r="G47" s="291"/>
    </row>
    <row r="48" spans="1:7" s="258" customFormat="1" ht="13.5" customHeight="1">
      <c r="A48" s="299" t="s">
        <v>2372</v>
      </c>
      <c r="B48" s="254" t="s">
        <v>2411</v>
      </c>
      <c r="C48" s="1728">
        <f>ROUND(F30/(1+'数据-取费表'!C42),4)</f>
        <v>5.2400000000000002E-2</v>
      </c>
      <c r="D48" s="280" t="s">
        <v>2399</v>
      </c>
      <c r="E48" s="276"/>
      <c r="F48" s="281"/>
      <c r="G48" s="278" t="s">
        <v>2412</v>
      </c>
    </row>
    <row r="49" spans="1:7" ht="16.5" customHeight="1">
      <c r="A49" s="299" t="s">
        <v>2378</v>
      </c>
      <c r="B49" s="254" t="s">
        <v>2413</v>
      </c>
      <c r="C49" s="276">
        <f ca="1">ROUND((C33+C39+C41+C45)/(1-C40-D41-D45-C48),0)</f>
        <v>14209</v>
      </c>
      <c r="D49" s="276"/>
      <c r="E49" s="276"/>
      <c r="F49" s="308"/>
      <c r="G49" s="278" t="s">
        <v>2414</v>
      </c>
    </row>
    <row r="50" spans="1:7" s="302" customFormat="1" ht="24">
      <c r="A50" s="299" t="s">
        <v>2415</v>
      </c>
      <c r="B50" s="254" t="s">
        <v>2416</v>
      </c>
      <c r="C50" s="276"/>
      <c r="D50" s="276"/>
      <c r="E50" s="276"/>
      <c r="F50" s="308">
        <f>IF('数据-取费表'!B24=0,'数据-取费表'!N16,1)</f>
        <v>0.93</v>
      </c>
      <c r="G50" s="291" t="s">
        <v>2417</v>
      </c>
    </row>
    <row r="51" spans="1:7" ht="16.5" customHeight="1">
      <c r="A51" s="299" t="s">
        <v>2418</v>
      </c>
      <c r="B51" s="254" t="s">
        <v>2419</v>
      </c>
      <c r="C51" s="276">
        <f ca="1">ROUND(C49*F50,0)</f>
        <v>13214</v>
      </c>
      <c r="D51" s="276"/>
      <c r="E51" s="276"/>
      <c r="F51" s="308"/>
      <c r="G51" s="278" t="s">
        <v>2420</v>
      </c>
    </row>
    <row r="52" spans="1:7" s="252" customFormat="1" ht="16.5" thickBot="1">
      <c r="A52" s="309" t="s">
        <v>2421</v>
      </c>
      <c r="B52" s="310"/>
      <c r="C52" s="311">
        <f ca="1">C31+C51</f>
        <v>14465</v>
      </c>
      <c r="D52" s="310"/>
      <c r="E52" s="310"/>
      <c r="F52" s="310"/>
      <c r="G52" s="312"/>
    </row>
    <row r="55" spans="1:7" ht="15">
      <c r="B55" s="314" t="s">
        <v>2422</v>
      </c>
      <c r="C55" s="315"/>
    </row>
    <row r="56" spans="1:7">
      <c r="B56" s="317" t="s">
        <v>1513</v>
      </c>
      <c r="C56" s="319">
        <f ca="1">1-C57</f>
        <v>8.5999999999999965E-2</v>
      </c>
    </row>
    <row r="57" spans="1:7">
      <c r="B57" s="317" t="s">
        <v>1514</v>
      </c>
      <c r="C57" s="318">
        <f ca="1">ROUND(C51/C52,3)</f>
        <v>0.91400000000000003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2" t="str">
        <f>项目基本情况!B1</f>
        <v>北京市兴贸三街18号院四季悦城项目商业、办公用房房地产抵押价值预评估</v>
      </c>
      <c r="C37" s="2972"/>
      <c r="D37" s="2972"/>
      <c r="E37" s="2972"/>
      <c r="F37" s="2972"/>
      <c r="G37" s="2972"/>
      <c r="H37" s="2972"/>
      <c r="I37" s="2972"/>
    </row>
    <row r="38" spans="1:9">
      <c r="A38" s="1016"/>
      <c r="B38" s="1016"/>
    </row>
    <row r="39" spans="1:9">
      <c r="A39" s="1014" t="s">
        <v>818</v>
      </c>
      <c r="B39" s="1014" t="s">
        <v>820</v>
      </c>
    </row>
    <row r="40" spans="1:9">
      <c r="A40" s="1014"/>
      <c r="B40" s="1941" t="str">
        <f>项目基本情况!B5</f>
        <v>北京珠江投资开发有限公司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欧红伟（注册号：1120000080)、崔锴（注册号：1120100036)</v>
      </c>
    </row>
    <row r="47" spans="1:9">
      <c r="A47" s="1014"/>
      <c r="B47" s="1014" t="str">
        <f>项目基本情况!K5</f>
        <v/>
      </c>
    </row>
    <row r="48" spans="1:9">
      <c r="A48" s="1014" t="s">
        <v>818</v>
      </c>
      <c r="B48" s="1014" t="s">
        <v>824</v>
      </c>
    </row>
    <row r="49" spans="2:2">
      <c r="B49" s="1941" t="str">
        <f>"康正预评字"&amp;项目基本情况!B2&amp;"号"</f>
        <v>康正预评字2018-1-0622-P01DYGJ1号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6"/>
      <c r="C1" s="2549" t="s">
        <v>2423</v>
      </c>
      <c r="D1" s="242"/>
      <c r="E1" s="242"/>
      <c r="F1" s="242"/>
      <c r="G1" s="1379">
        <f>MATCH(B1,'数据-取费表'!A6:A16,0)+5</f>
        <v>8</v>
      </c>
      <c r="H1" s="1282" t="str">
        <f>IF(ISERROR(FIND("住宅",B1)),"非住宅","住宅")</f>
        <v>非住宅</v>
      </c>
    </row>
    <row r="2" spans="1:8" s="244" customFormat="1" ht="18" customHeight="1">
      <c r="A2" s="245" t="s">
        <v>2322</v>
      </c>
      <c r="B2" s="246">
        <f ca="1">ROUND(IF(D2="——",C52/10000,C52/10000-E2),0)</f>
        <v>14465</v>
      </c>
      <c r="C2" s="243" t="s">
        <v>2323</v>
      </c>
      <c r="D2" s="2543" t="s">
        <v>70</v>
      </c>
      <c r="E2" s="1440" t="e">
        <f ca="1">SUMIF(INDIRECT("'"&amp;G2&amp;"'"&amp;"!A:A"),"承租人权益价值",INDIRECT("'"&amp;G2&amp;"'"&amp;"!c:c"))</f>
        <v>#REF!</v>
      </c>
      <c r="F2" s="2544" t="s">
        <v>2323</v>
      </c>
      <c r="G2" s="2545"/>
    </row>
    <row r="3" spans="1:8" s="244" customFormat="1" ht="18" customHeight="1" thickBot="1">
      <c r="A3" s="247" t="s">
        <v>2324</v>
      </c>
      <c r="B3" s="248">
        <f ca="1">ROUND(B2*10000/(IF(B1="",'数据-汇总表'!E3,INDIRECT("'数据-取费表'!k"&amp;$G$1))),0)</f>
        <v>5695</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4317794</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'数据-取费表'!B48+'数据-取费表'!B49</f>
        <v>3.0499999999999999E-2</v>
      </c>
      <c r="G7" s="263"/>
    </row>
    <row r="8" spans="1:8" s="267" customFormat="1">
      <c r="A8" s="949" t="s">
        <v>2336</v>
      </c>
      <c r="B8" s="259" t="s">
        <v>2337</v>
      </c>
      <c r="C8" s="264">
        <f ca="1">IF(G8="已包含在土地购买价格中",0,C9+C10)</f>
        <v>4317794</v>
      </c>
      <c r="D8" s="266"/>
      <c r="E8" s="264"/>
      <c r="F8" s="265"/>
      <c r="G8" s="2546"/>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140</v>
      </c>
      <c r="F9" s="265"/>
      <c r="G9" s="270"/>
    </row>
    <row r="10" spans="1:8" s="258" customFormat="1" ht="13.5" customHeight="1">
      <c r="A10" s="950" t="s">
        <v>801</v>
      </c>
      <c r="B10" s="268" t="s">
        <v>2340</v>
      </c>
      <c r="C10" s="269">
        <f ca="1">ROUND(D10*E10,0)</f>
        <v>4317794</v>
      </c>
      <c r="D10" s="1032">
        <f ca="1">IF(B1="",'数据-汇总表'!E6,IF(INDIRECT("'数据-取费表'!c"&amp;$G$1)="住宅",INDIRECT("'数据-取费表'!s"&amp;$G$1),INDIRECT("'数据-取费表'!k"&amp;$G$1)+INDIRECT("'数据-取费表'!s"&amp;$G$1)))</f>
        <v>25398.790000000015</v>
      </c>
      <c r="E10" s="269">
        <f>'数据-取费表'!B28</f>
        <v>170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5079758</v>
      </c>
      <c r="D19" s="1036">
        <f ca="1">D9+D10</f>
        <v>25398.790000000015</v>
      </c>
      <c r="E19" s="255">
        <f>'数据-取费表'!B31</f>
        <v>200</v>
      </c>
      <c r="F19" s="275"/>
      <c r="G19" s="2546"/>
    </row>
    <row r="20" spans="1:7" s="258" customFormat="1" ht="13.5" customHeight="1">
      <c r="A20" s="299" t="s">
        <v>2434</v>
      </c>
      <c r="B20" s="254" t="s">
        <v>2435</v>
      </c>
      <c r="C20" s="276">
        <f ca="1">ROUND((C5+C19)*F20,0)</f>
        <v>187951</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922898</v>
      </c>
      <c r="D22" s="279">
        <f ca="1">C26</f>
        <v>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1">
        <f ca="1">ROUND(IF('数据-取费表'!B22&lt;=1,C5*F22*'数据-取费表'!B22,C5*(POWER((1+F22),'数据-取费表'!B22)-1)),0)</f>
        <v>419932</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494038</v>
      </c>
      <c r="D24" s="282"/>
      <c r="E24" s="282"/>
      <c r="F24" s="283"/>
      <c r="G24" s="284" t="s">
        <v>2446</v>
      </c>
    </row>
    <row r="25" spans="1:7" s="258" customFormat="1" ht="24">
      <c r="A25" s="951" t="s">
        <v>2336</v>
      </c>
      <c r="B25" s="259" t="s">
        <v>2447</v>
      </c>
      <c r="C25" s="1381">
        <f ca="1">ROUND(IF('数据-取费表'!B22&lt;=1,C20*F22*'数据-取费表'!B22/2,C20*(POWER((1+F22),'数据-取费表'!B22/2)-1)),0)</f>
        <v>8928</v>
      </c>
      <c r="D25" s="282"/>
      <c r="E25" s="285"/>
      <c r="F25" s="283"/>
      <c r="G25" s="286" t="s">
        <v>2448</v>
      </c>
    </row>
    <row r="26" spans="1:7" s="258" customFormat="1">
      <c r="A26" s="951"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1054405</v>
      </c>
      <c r="D27" s="279">
        <f ca="1">C29</f>
        <v>2.2000000000000001E-3</v>
      </c>
      <c r="E27" s="280" t="s">
        <v>2374</v>
      </c>
      <c r="F27" s="290">
        <f ca="1">IF(B1="",'数据-取费表'!Q16,INDIRECT("'数据-取费表'!q"&amp;$G$1))</f>
        <v>0.11</v>
      </c>
      <c r="G27" s="291" t="s">
        <v>2375</v>
      </c>
    </row>
    <row r="28" spans="1:7" s="258" customFormat="1" ht="13.5" customHeight="1">
      <c r="A28" s="951" t="s">
        <v>791</v>
      </c>
      <c r="B28" s="292" t="s">
        <v>2376</v>
      </c>
      <c r="C28" s="293">
        <f ca="1">ROUND((C5+C19+C20)*F27,0)</f>
        <v>1054405</v>
      </c>
      <c r="D28" s="279"/>
      <c r="E28" s="280"/>
      <c r="F28" s="290"/>
      <c r="G28" s="291"/>
    </row>
    <row r="29" spans="1:7" s="258" customFormat="1" ht="13.5" customHeight="1">
      <c r="A29" s="951" t="s">
        <v>792</v>
      </c>
      <c r="B29" s="292" t="s">
        <v>2377</v>
      </c>
      <c r="C29" s="282">
        <f ca="1">ROUND(C21*F27,4)</f>
        <v>2.2000000000000001E-3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12508444</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111246700</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101595160</v>
      </c>
      <c r="D34" s="261"/>
      <c r="E34" s="264"/>
      <c r="F34" s="301"/>
      <c r="G34" s="263"/>
    </row>
    <row r="35" spans="1:7" ht="13.5" customHeight="1">
      <c r="A35" s="951" t="s">
        <v>796</v>
      </c>
      <c r="B35" s="259" t="s">
        <v>2387</v>
      </c>
      <c r="C35" s="264">
        <f ca="1">ROUND(C34*F35,0)</f>
        <v>3047855</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5079758</v>
      </c>
      <c r="D37" s="261">
        <f ca="1">D19</f>
        <v>25398.790000000015</v>
      </c>
      <c r="E37" s="293">
        <f>'数据-取费表'!B35</f>
        <v>200</v>
      </c>
      <c r="F37" s="303"/>
      <c r="G37" s="305"/>
    </row>
    <row r="38" spans="1:7" ht="13.5" customHeight="1">
      <c r="A38" s="951" t="s">
        <v>799</v>
      </c>
      <c r="B38" s="259" t="s">
        <v>2393</v>
      </c>
      <c r="C38" s="264">
        <f ca="1">ROUND(C34*F38,0)</f>
        <v>1523927</v>
      </c>
      <c r="D38" s="264"/>
      <c r="E38" s="264"/>
      <c r="F38" s="303">
        <f>'数据-取费表'!B36</f>
        <v>1.4999999999999999E-2</v>
      </c>
      <c r="G38" s="263" t="s">
        <v>2388</v>
      </c>
    </row>
    <row r="39" spans="1:7" s="258" customFormat="1" ht="13.5" customHeight="1">
      <c r="A39" s="299" t="s">
        <v>2394</v>
      </c>
      <c r="B39" s="254" t="s">
        <v>2395</v>
      </c>
      <c r="C39" s="276">
        <f ca="1">ROUND(C33*F20,0)</f>
        <v>2224934</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5389902</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5284218</v>
      </c>
      <c r="D42" s="282"/>
      <c r="E42" s="282"/>
      <c r="F42" s="283"/>
      <c r="G42" s="3158" t="s">
        <v>2451</v>
      </c>
    </row>
    <row r="43" spans="1:7" ht="13.5" customHeight="1">
      <c r="A43" s="951" t="s">
        <v>792</v>
      </c>
      <c r="B43" s="259" t="s">
        <v>2405</v>
      </c>
      <c r="C43" s="282">
        <f ca="1">ROUND(IF('数据-取费表'!B22&lt;=1,C39*F22*'数据-取费表'!B20/2,C39*(POWER((1+F22),'数据-取费表'!B20/2)-1)),0)</f>
        <v>105684</v>
      </c>
      <c r="D43" s="282"/>
      <c r="E43" s="282"/>
      <c r="F43" s="283"/>
      <c r="G43" s="3159"/>
    </row>
    <row r="44" spans="1:7" ht="13.5" customHeight="1">
      <c r="A44" s="951" t="s">
        <v>793</v>
      </c>
      <c r="B44" s="259" t="s">
        <v>2406</v>
      </c>
      <c r="C44" s="282">
        <f ca="1">ROUND(IF('数据-取费表'!B22&lt;=1,C40*F22*'数据-取费表'!B20/2,C40*(POWER((1+F22),'数据-取费表'!B20/2)-1)),4)</f>
        <v>1E-3</v>
      </c>
      <c r="D44" s="282"/>
      <c r="E44" s="282"/>
      <c r="F44" s="283"/>
      <c r="G44" s="3160"/>
    </row>
    <row r="45" spans="1:7" s="258" customFormat="1" ht="13.5" customHeight="1">
      <c r="A45" s="299" t="s">
        <v>2407</v>
      </c>
      <c r="B45" s="288" t="s">
        <v>2373</v>
      </c>
      <c r="C45" s="289">
        <f ca="1">C46</f>
        <v>12481880</v>
      </c>
      <c r="D45" s="279">
        <f ca="1">C47</f>
        <v>2.2000000000000001E-3</v>
      </c>
      <c r="E45" s="280" t="s">
        <v>2399</v>
      </c>
      <c r="F45" s="290"/>
      <c r="G45" s="291" t="s">
        <v>2408</v>
      </c>
    </row>
    <row r="46" spans="1:7" s="258" customFormat="1" ht="13.5" customHeight="1">
      <c r="A46" s="951" t="s">
        <v>791</v>
      </c>
      <c r="B46" s="292" t="s">
        <v>2409</v>
      </c>
      <c r="C46" s="293">
        <f ca="1">ROUND((C33+C39)*F27,0)</f>
        <v>12481880</v>
      </c>
      <c r="D46" s="307"/>
      <c r="E46" s="280"/>
      <c r="F46" s="290"/>
      <c r="G46" s="291"/>
    </row>
    <row r="47" spans="1:7" s="258" customFormat="1" ht="13.5" customHeight="1">
      <c r="A47" s="951" t="s">
        <v>792</v>
      </c>
      <c r="B47" s="292" t="s">
        <v>2410</v>
      </c>
      <c r="C47" s="282">
        <f ca="1">ROUND(C40*F27,4)</f>
        <v>2.2000000000000001E-3</v>
      </c>
      <c r="D47" s="307"/>
      <c r="E47" s="280"/>
      <c r="F47" s="290"/>
      <c r="G47" s="291"/>
    </row>
    <row r="48" spans="1:7" s="258" customFormat="1" ht="13.5" customHeight="1">
      <c r="A48" s="299" t="s">
        <v>2372</v>
      </c>
      <c r="B48" s="254" t="s">
        <v>2411</v>
      </c>
      <c r="C48" s="306">
        <f>ROUND(F30/(1+'数据-取费表'!C42),4)</f>
        <v>5.2400000000000002E-2</v>
      </c>
      <c r="D48" s="280" t="s">
        <v>2399</v>
      </c>
      <c r="E48" s="276"/>
      <c r="F48" s="281"/>
      <c r="G48" s="278" t="s">
        <v>2412</v>
      </c>
    </row>
    <row r="49" spans="1:7" ht="16.5" customHeight="1">
      <c r="A49" s="299" t="s">
        <v>2378</v>
      </c>
      <c r="B49" s="254" t="s">
        <v>2452</v>
      </c>
      <c r="C49" s="276">
        <f ca="1">ROUND((C33+C39+C41+C45)/(1-C40-D41-D45-C48),0)</f>
        <v>142085045</v>
      </c>
      <c r="D49" s="276"/>
      <c r="E49" s="276"/>
      <c r="F49" s="308"/>
      <c r="G49" s="278" t="s">
        <v>2414</v>
      </c>
    </row>
    <row r="50" spans="1:7" s="302" customFormat="1">
      <c r="A50" s="299" t="s">
        <v>2415</v>
      </c>
      <c r="B50" s="254" t="s">
        <v>2416</v>
      </c>
      <c r="C50" s="276"/>
      <c r="D50" s="276"/>
      <c r="E50" s="276"/>
      <c r="F50" s="308">
        <f>IF('数据-取费表'!B24=0,'数据-取费表'!N16,1)</f>
        <v>0.93</v>
      </c>
      <c r="G50" s="291"/>
    </row>
    <row r="51" spans="1:7" ht="16.5" customHeight="1">
      <c r="A51" s="299" t="s">
        <v>2418</v>
      </c>
      <c r="B51" s="254" t="s">
        <v>2453</v>
      </c>
      <c r="C51" s="276">
        <f ca="1">ROUND(C49*F50,0)</f>
        <v>132139092</v>
      </c>
      <c r="D51" s="276"/>
      <c r="E51" s="276"/>
      <c r="F51" s="308"/>
      <c r="G51" s="278" t="s">
        <v>2420</v>
      </c>
    </row>
    <row r="52" spans="1:7" s="252" customFormat="1" ht="16.5" thickBot="1">
      <c r="A52" s="309" t="s">
        <v>2421</v>
      </c>
      <c r="B52" s="310"/>
      <c r="C52" s="311">
        <f ca="1">C31+C51</f>
        <v>144647536</v>
      </c>
      <c r="D52" s="310"/>
      <c r="E52" s="310"/>
      <c r="F52" s="310"/>
      <c r="G52" s="312"/>
    </row>
    <row r="55" spans="1:7" ht="15">
      <c r="B55" s="314" t="s">
        <v>2422</v>
      </c>
      <c r="C55" s="315"/>
    </row>
    <row r="56" spans="1:7">
      <c r="B56" s="317" t="s">
        <v>1513</v>
      </c>
      <c r="C56" s="319">
        <f ca="1">1-C57</f>
        <v>8.5999999999999965E-2</v>
      </c>
    </row>
    <row r="57" spans="1:7">
      <c r="B57" s="317" t="s">
        <v>1514</v>
      </c>
      <c r="C57" s="318">
        <f ca="1">ROUND(C51/C52,3)</f>
        <v>0.91400000000000003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581"/>
      <c r="C1" s="1582"/>
      <c r="D1" s="1580"/>
      <c r="E1" s="320"/>
      <c r="F1" s="320"/>
      <c r="G1" s="1581"/>
      <c r="H1" s="320"/>
      <c r="I1" s="320"/>
      <c r="J1" s="320"/>
      <c r="K1" s="320">
        <f>MATCH(C1,'数据-取费表'!A6:A16,0)+5</f>
        <v>8</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550" t="s">
        <v>2460</v>
      </c>
      <c r="D5" s="2550" t="s">
        <v>2461</v>
      </c>
      <c r="E5" s="2550" t="s">
        <v>2462</v>
      </c>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1334</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1335</v>
      </c>
      <c r="B12" s="972" t="s">
        <v>2476</v>
      </c>
      <c r="C12" s="24">
        <f ca="1">ROUND(C11*F12,0)</f>
        <v>0</v>
      </c>
      <c r="D12" s="973"/>
      <c r="E12" s="375"/>
      <c r="F12" s="976">
        <f>'数据-取费表'!B33</f>
        <v>0.03</v>
      </c>
      <c r="G12" s="8" t="s">
        <v>2477</v>
      </c>
      <c r="H12" s="968"/>
      <c r="I12" s="968"/>
      <c r="J12" s="968"/>
      <c r="K12" s="969"/>
    </row>
    <row r="13" spans="1:33" s="975" customFormat="1" ht="13.5" customHeight="1">
      <c r="A13" s="971" t="s">
        <v>1336</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1337</v>
      </c>
      <c r="B14" s="972" t="s">
        <v>2480</v>
      </c>
      <c r="C14" s="24">
        <f ca="1">ROUND(D14*E14*F11/10000,0)</f>
        <v>0</v>
      </c>
      <c r="D14" s="1033">
        <f ca="1">IF(C1="",'数据-汇总表'!E3,INDIRECT("'数据-取费表'!K"&amp;$K$1)+INDIRECT("'数据-取费表'!S"&amp;$K$1))</f>
        <v>25398.790000000015</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25398.790000000015</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2487</v>
      </c>
      <c r="C18" s="24">
        <f ca="1">C19+C20-IF(C1="",'数据-取费表'!B29,IF(G18="已全部缴纳",C19+C20,H18))</f>
        <v>0</v>
      </c>
      <c r="D18" s="1033"/>
      <c r="E18" s="24"/>
      <c r="F18" s="976"/>
      <c r="G18" s="2552"/>
      <c r="H18" s="1577"/>
      <c r="I18" s="2553"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140</v>
      </c>
      <c r="F19" s="976"/>
      <c r="G19" s="15"/>
      <c r="H19" s="1579"/>
      <c r="I19" s="981"/>
      <c r="J19" s="981"/>
      <c r="K19" s="982"/>
    </row>
    <row r="20" spans="1:33" s="975" customFormat="1" ht="13.5" customHeight="1">
      <c r="A20" s="971" t="s">
        <v>806</v>
      </c>
      <c r="B20" s="972" t="s">
        <v>2490</v>
      </c>
      <c r="C20" s="24">
        <f ca="1">ROUND(D20*E20/10000,0)</f>
        <v>432</v>
      </c>
      <c r="D20" s="1033">
        <f ca="1">IF(C1="",'数据-汇总表'!E6,IF(INDIRECT("'数据-取费表'!c"&amp;$K$1)="住宅",INDIRECT("'数据-取费表'!s"&amp;$K$1),INDIRECT("'数据-取费表'!k"&amp;$K$1)+INDIRECT("'数据-取费表'!s"&amp;$K$1)))</f>
        <v>25398.790000000015</v>
      </c>
      <c r="E20" s="24">
        <f>'数据-取费表'!B28</f>
        <v>170</v>
      </c>
      <c r="F20" s="976"/>
      <c r="G20" s="15"/>
      <c r="H20" s="981"/>
      <c r="I20" s="981"/>
      <c r="J20" s="981"/>
      <c r="K20" s="982"/>
    </row>
    <row r="21" spans="1:33" s="975" customFormat="1" ht="13.5" customHeight="1">
      <c r="A21" s="961" t="s">
        <v>802</v>
      </c>
      <c r="B21" s="985" t="s">
        <v>2491</v>
      </c>
      <c r="C21" s="986">
        <f ca="1">C16+C17+C18</f>
        <v>0</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2504</v>
      </c>
      <c r="B28" s="2555" t="s">
        <v>2505</v>
      </c>
      <c r="C28" s="331">
        <f ca="1">C30</f>
        <v>0</v>
      </c>
      <c r="D28" s="324">
        <f ca="1">C29</f>
        <v>0</v>
      </c>
      <c r="E28" s="326" t="s">
        <v>15</v>
      </c>
      <c r="F28" s="332">
        <f ca="1">IF(C1="",'数据-取费表'!Q16,INDIRECT("'数据-取费表'!q"&amp;$K$1))</f>
        <v>0.11</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0</v>
      </c>
      <c r="D30" s="328"/>
      <c r="E30" s="329"/>
      <c r="F30" s="334"/>
      <c r="G30" s="140"/>
      <c r="H30" s="979"/>
      <c r="I30" s="979"/>
      <c r="J30" s="979"/>
      <c r="K30" s="980"/>
    </row>
    <row r="31" spans="1:33" s="975" customFormat="1" ht="13.5" customHeight="1" thickBot="1">
      <c r="A31" s="2556" t="s">
        <v>2509</v>
      </c>
      <c r="B31" s="1005" t="s">
        <v>2510</v>
      </c>
      <c r="C31" s="1006">
        <f>ROUND(C4*F31/(1+'数据-取费表'!C42),0)</f>
        <v>0</v>
      </c>
      <c r="D31" s="1007"/>
      <c r="E31" s="1008"/>
      <c r="F31" s="1009">
        <f>'数据-取费表'!B41</f>
        <v>5.5000000000000007E-2</v>
      </c>
      <c r="G31" s="1010" t="s">
        <v>2511</v>
      </c>
      <c r="H31" s="1011"/>
      <c r="I31" s="1011"/>
      <c r="J31" s="1011"/>
      <c r="K31" s="1012"/>
    </row>
    <row r="32" spans="1:33" s="970" customFormat="1" ht="13.5" customHeight="1" thickBot="1">
      <c r="A32" s="1000" t="s">
        <v>2512</v>
      </c>
      <c r="B32" s="1001"/>
      <c r="C32" s="1002">
        <f ca="1">ROUND((C4-C21-C22-C23-C25-C28-C31)/(1+C24+D25+D28),0)</f>
        <v>0</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20" sqref="F2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79"/>
      <c r="C1" s="1836" t="s">
        <v>3343</v>
      </c>
      <c r="D1" s="1819" t="s">
        <v>70</v>
      </c>
      <c r="E1" s="1820" t="s">
        <v>1387</v>
      </c>
      <c r="F1" s="1283">
        <f ca="1">J53</f>
        <v>43.1</v>
      </c>
      <c r="G1" s="1835">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f ca="1">C40+J29+L46</f>
        <v>21552</v>
      </c>
      <c r="C2" s="1844" t="s">
        <v>1516</v>
      </c>
      <c r="D2" s="1844"/>
      <c r="E2" s="1845"/>
      <c r="F2" s="1846"/>
      <c r="G2" s="1847"/>
      <c r="H2" s="1839"/>
      <c r="I2" s="1839"/>
      <c r="J2" s="1839"/>
      <c r="K2" s="1840"/>
      <c r="L2" s="1839"/>
      <c r="M2" s="1839"/>
    </row>
    <row r="3" spans="1:37" ht="18" customHeight="1" thickBot="1">
      <c r="A3" s="1848" t="s">
        <v>1517</v>
      </c>
      <c r="B3" s="1849">
        <f ca="1">IF(ISERROR(B2*10000/F43),0,ROUND(B2*10000/F43,0))</f>
        <v>10056</v>
      </c>
      <c r="C3" s="1844" t="s">
        <v>1518</v>
      </c>
      <c r="D3" s="1844"/>
      <c r="E3" s="1845"/>
      <c r="F3" s="1846"/>
      <c r="G3" s="1847"/>
      <c r="H3" s="741"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f ca="1">C6+C10+C12</f>
        <v>1269</v>
      </c>
      <c r="D5" s="1821" t="s">
        <v>1402</v>
      </c>
      <c r="E5" s="1293"/>
      <c r="F5" s="1294"/>
      <c r="G5" s="1850"/>
      <c r="H5" s="344">
        <v>1</v>
      </c>
      <c r="I5" s="345" t="s">
        <v>1401</v>
      </c>
      <c r="J5" s="1292">
        <f ca="1">J6+J10+J12</f>
        <v>0</v>
      </c>
      <c r="K5" s="1821" t="s">
        <v>1402</v>
      </c>
      <c r="L5" s="1293"/>
      <c r="M5" s="1294"/>
    </row>
    <row r="6" spans="1:37" ht="18" customHeight="1">
      <c r="A6" s="1291" t="s">
        <v>1035</v>
      </c>
      <c r="B6" s="3161" t="s">
        <v>1403</v>
      </c>
      <c r="C6" s="1296">
        <f ca="1">ROUND(F6*F8*F7*(1-F9)/10000,0)</f>
        <v>1267</v>
      </c>
      <c r="D6" s="164" t="s">
        <v>3020</v>
      </c>
      <c r="E6" s="347" t="s">
        <v>1405</v>
      </c>
      <c r="F6" s="348">
        <f ca="1">INDIRECT("'数据-取费表'!u"&amp;$G$1)</f>
        <v>1.8</v>
      </c>
      <c r="G6" s="1850"/>
      <c r="H6" s="1291" t="s">
        <v>1035</v>
      </c>
      <c r="I6" s="3161" t="s">
        <v>1403</v>
      </c>
      <c r="J6" s="346">
        <f ca="1">ROUND(M6*M8*M7*(1-M9)/10000,0)</f>
        <v>0</v>
      </c>
      <c r="K6" s="164" t="s">
        <v>3019</v>
      </c>
      <c r="L6" s="347" t="s">
        <v>1405</v>
      </c>
      <c r="M6" s="348">
        <f ca="1">INDIRECT("'数据-取费表'!z"&amp;$G$1)</f>
        <v>0</v>
      </c>
    </row>
    <row r="7" spans="1:37" ht="18" customHeight="1">
      <c r="A7" s="1295"/>
      <c r="B7" s="3162"/>
      <c r="C7" s="1297"/>
      <c r="D7" s="352"/>
      <c r="E7" s="2940" t="s">
        <v>1406</v>
      </c>
      <c r="F7" s="348">
        <f ca="1">IF(INDIRECT("'数据-取费表'!ah"&amp;$G$1)="",INDIRECT("'数据-取费表'!k"&amp;$G$1),INDIRECT("'数据-取费表'!ah"&amp;$G$1))</f>
        <v>21431.910000000003</v>
      </c>
      <c r="G7" s="1850"/>
      <c r="H7" s="349"/>
      <c r="I7" s="3162"/>
      <c r="J7" s="351"/>
      <c r="K7" s="352"/>
      <c r="L7" s="347" t="s">
        <v>1406</v>
      </c>
      <c r="M7" s="348">
        <f ca="1">F7</f>
        <v>21431.910000000003</v>
      </c>
    </row>
    <row r="8" spans="1:37" ht="18" customHeight="1">
      <c r="A8" s="349"/>
      <c r="B8" s="3162"/>
      <c r="C8" s="351"/>
      <c r="D8" s="352"/>
      <c r="E8" s="347" t="s">
        <v>1407</v>
      </c>
      <c r="F8" s="348">
        <f ca="1">INDIRECT("'数据-取费表'!ai"&amp;$G$1)</f>
        <v>365</v>
      </c>
      <c r="G8" s="1850"/>
      <c r="H8" s="349"/>
      <c r="I8" s="3162"/>
      <c r="J8" s="351"/>
      <c r="K8" s="352"/>
      <c r="L8" s="347" t="s">
        <v>1407</v>
      </c>
      <c r="M8" s="348">
        <f ca="1">INDIRECT("'数据-取费表'!ai"&amp;$G$1)</f>
        <v>365</v>
      </c>
    </row>
    <row r="9" spans="1:37" ht="18" customHeight="1">
      <c r="A9" s="349"/>
      <c r="B9" s="3163"/>
      <c r="C9" s="351"/>
      <c r="D9" s="352"/>
      <c r="E9" s="347" t="s">
        <v>1408</v>
      </c>
      <c r="F9" s="357">
        <f ca="1">INDIRECT("'数据-取费表'!w"&amp;$G$1)</f>
        <v>0.1</v>
      </c>
      <c r="G9" s="1850"/>
      <c r="H9" s="349"/>
      <c r="I9" s="3163"/>
      <c r="J9" s="351"/>
      <c r="K9" s="352"/>
      <c r="L9" s="358" t="s">
        <v>1408</v>
      </c>
      <c r="M9" s="359">
        <f ca="1">INDIRECT("'数据-取费表'!ab"&amp;$G$1)</f>
        <v>0</v>
      </c>
    </row>
    <row r="10" spans="1:37" ht="18" customHeight="1">
      <c r="A10" s="1291" t="s">
        <v>1039</v>
      </c>
      <c r="B10" s="1822" t="s">
        <v>1409</v>
      </c>
      <c r="C10" s="361">
        <f ca="1">ROUND(IF(F10="押一",C6/12*F11,IF(F10="押二",C6/12*2*F11,IF(F10="押三",C6/12*3*F11,C11*F11))),0)</f>
        <v>2</v>
      </c>
      <c r="D10" s="1823" t="s">
        <v>3028</v>
      </c>
      <c r="E10" s="358" t="s">
        <v>1410</v>
      </c>
      <c r="F10" s="1366" t="s">
        <v>3406</v>
      </c>
      <c r="G10" s="1850"/>
      <c r="H10" s="1291" t="s">
        <v>1039</v>
      </c>
      <c r="I10" s="1822" t="s">
        <v>1409</v>
      </c>
      <c r="J10" s="346">
        <f ca="1">ROUND(IF(M10="押一",J6/12*M11,IF(M10="押二",J6/12*2*M11,IF(M10="押三",J6/12*3*M11,J11*M11))),0)</f>
        <v>0</v>
      </c>
      <c r="K10" s="1823" t="s">
        <v>3028</v>
      </c>
      <c r="L10" s="358" t="s">
        <v>1410</v>
      </c>
      <c r="M10" s="1366" t="s">
        <v>1411</v>
      </c>
    </row>
    <row r="11" spans="1:37" ht="18" customHeight="1">
      <c r="A11" s="353"/>
      <c r="B11" s="1824" t="s">
        <v>1388</v>
      </c>
      <c r="C11" s="1178"/>
      <c r="D11" s="1825"/>
      <c r="E11" s="358" t="s">
        <v>1412</v>
      </c>
      <c r="F11" s="359">
        <f ca="1">'数据-取费表'!B39</f>
        <v>1.4999999999999999E-2</v>
      </c>
      <c r="G11" s="1850"/>
      <c r="H11" s="1299"/>
      <c r="I11" s="1824" t="s">
        <v>1388</v>
      </c>
      <c r="J11" s="1178"/>
      <c r="K11" s="745"/>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11053</v>
      </c>
      <c r="D13" s="1331" t="s">
        <v>1415</v>
      </c>
      <c r="E13" s="1331" t="s">
        <v>1416</v>
      </c>
      <c r="F13" s="1332">
        <f ca="1">INDIRECT("'数据-取费表'!y"&amp;$G$1)</f>
        <v>0.93</v>
      </c>
      <c r="G13" s="1850"/>
      <c r="H13" s="1329">
        <v>2</v>
      </c>
      <c r="I13" s="1330" t="s">
        <v>1414</v>
      </c>
      <c r="J13" s="1290">
        <f ca="1">ROUND(J14*J15,0)</f>
        <v>0</v>
      </c>
      <c r="K13" s="1337" t="s">
        <v>1415</v>
      </c>
      <c r="L13" s="1851"/>
      <c r="M13" s="1852"/>
    </row>
    <row r="14" spans="1:37" ht="18" customHeight="1">
      <c r="A14" s="1201" t="s">
        <v>1034</v>
      </c>
      <c r="B14" s="347" t="s">
        <v>1417</v>
      </c>
      <c r="C14" s="363">
        <f ca="1">INDIRECT("'数据-取费表'!m"&amp;$G$1)+INDIRECT("'数据-取费表'!t"&amp;$G$1)</f>
        <v>8573</v>
      </c>
      <c r="D14" s="2943" t="s">
        <v>1418</v>
      </c>
      <c r="E14" s="2942"/>
      <c r="F14" s="364"/>
      <c r="G14" s="1850"/>
      <c r="H14" s="1201" t="s">
        <v>1035</v>
      </c>
      <c r="I14" s="347" t="s">
        <v>1419</v>
      </c>
      <c r="J14" s="24">
        <f ca="1">C29</f>
        <v>11885</v>
      </c>
      <c r="K14" s="2939"/>
      <c r="L14" s="979"/>
      <c r="M14" s="980"/>
    </row>
    <row r="15" spans="1:37" s="1857" customFormat="1" ht="18" customHeight="1" thickBot="1">
      <c r="A15" s="1201" t="s">
        <v>1036</v>
      </c>
      <c r="B15" s="347" t="s">
        <v>1420</v>
      </c>
      <c r="C15" s="24">
        <f ca="1">ROUND(C14*F15,0)</f>
        <v>257</v>
      </c>
      <c r="D15" s="365" t="s">
        <v>1421</v>
      </c>
      <c r="E15" s="365" t="s">
        <v>1422</v>
      </c>
      <c r="F15" s="366">
        <f>'数据-取费表'!B33</f>
        <v>0.03</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0"/>
      <c r="H16" s="1329" t="s">
        <v>1030</v>
      </c>
      <c r="I16" s="1330" t="s">
        <v>1424</v>
      </c>
      <c r="J16" s="355">
        <f ca="1">ROUND(J17+J22+J23+J24,0)</f>
        <v>338</v>
      </c>
      <c r="K16" s="1337" t="s">
        <v>1425</v>
      </c>
      <c r="L16" s="2945"/>
      <c r="M16" s="1294"/>
    </row>
    <row r="17" spans="1:37" s="1857" customFormat="1" ht="18" customHeight="1">
      <c r="A17" s="1201" t="s">
        <v>1390</v>
      </c>
      <c r="B17" s="347" t="s">
        <v>1426</v>
      </c>
      <c r="C17" s="24">
        <f ca="1">ROUND(F17*(F43+INDIRECT("'数据-取费表'!S"&amp;$G$1))/10000,0)</f>
        <v>429</v>
      </c>
      <c r="D17" s="347" t="s">
        <v>1427</v>
      </c>
      <c r="E17" s="347" t="s">
        <v>1428</v>
      </c>
      <c r="F17" s="26">
        <f>'数据-取费表'!B35</f>
        <v>200</v>
      </c>
      <c r="G17" s="1853"/>
      <c r="H17" s="1201" t="s">
        <v>1035</v>
      </c>
      <c r="I17" s="347" t="s">
        <v>1429</v>
      </c>
      <c r="J17" s="24">
        <f ca="1">ROUND(IF(项目基本情况!B11="自然人",J5*M17,J18+J19+J20),1)</f>
        <v>99.8</v>
      </c>
      <c r="K17" s="2943" t="s">
        <v>1430</v>
      </c>
      <c r="L17" s="2944"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129</v>
      </c>
      <c r="D18" s="347" t="s">
        <v>1421</v>
      </c>
      <c r="E18" s="347" t="s">
        <v>1422</v>
      </c>
      <c r="F18" s="367">
        <f>'数据-取费表'!B36</f>
        <v>1.4999999999999999E-2</v>
      </c>
      <c r="G18" s="1853"/>
      <c r="H18" s="1201" t="s">
        <v>1034</v>
      </c>
      <c r="I18" s="347" t="s">
        <v>1433</v>
      </c>
      <c r="J18" s="24">
        <f ca="1">ROUND(J5*M18/(1+'数据-取费表'!C42),2)</f>
        <v>0</v>
      </c>
      <c r="K18" s="2944" t="s">
        <v>1434</v>
      </c>
      <c r="L18" s="347" t="s">
        <v>1422</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9388</v>
      </c>
      <c r="D19" s="140" t="s">
        <v>1436</v>
      </c>
      <c r="E19" s="2938"/>
      <c r="F19" s="26"/>
      <c r="G19" s="1850"/>
      <c r="H19" s="1201" t="s">
        <v>1036</v>
      </c>
      <c r="I19" s="347" t="s">
        <v>1437</v>
      </c>
      <c r="J19" s="24">
        <f ca="1">IF(K19="按租金收入计税",ROUND(J5*M19,2),ROUND(C29*M19*0.7,2))</f>
        <v>99.83</v>
      </c>
      <c r="K19" s="1827" t="s">
        <v>1438</v>
      </c>
      <c r="L19" s="347" t="s">
        <v>1422</v>
      </c>
      <c r="M19" s="367">
        <f>IF(K19="按租金收入计税",'数据-取费表'!B51,'数据-取费表'!B50)</f>
        <v>1.2E-2</v>
      </c>
    </row>
    <row r="20" spans="1:37" s="1857" customFormat="1" ht="18" customHeight="1">
      <c r="A20" s="1201" t="s">
        <v>1039</v>
      </c>
      <c r="B20" s="347" t="s">
        <v>1439</v>
      </c>
      <c r="C20" s="24">
        <f ca="1">ROUND(C19*F20,0)</f>
        <v>188</v>
      </c>
      <c r="D20" s="369" t="s">
        <v>1440</v>
      </c>
      <c r="E20" s="347" t="s">
        <v>1422</v>
      </c>
      <c r="F20" s="367">
        <f>'数据-取费表'!B37</f>
        <v>0.02</v>
      </c>
      <c r="G20" s="1853"/>
      <c r="H20" s="1201" t="s">
        <v>1389</v>
      </c>
      <c r="I20" s="164" t="s">
        <v>1441</v>
      </c>
      <c r="J20" s="25">
        <f ca="1">ROUND(M20*M21/10000,2)</f>
        <v>0</v>
      </c>
      <c r="K20" s="370" t="s">
        <v>1442</v>
      </c>
      <c r="L20" s="347" t="s">
        <v>1443</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18</v>
      </c>
      <c r="D21" s="369" t="s">
        <v>1445</v>
      </c>
      <c r="E21" s="347" t="s">
        <v>1446</v>
      </c>
      <c r="F21" s="367">
        <f>'数据-取费表'!B38</f>
        <v>0.02</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2938"/>
      <c r="F22" s="26"/>
      <c r="G22" s="1850"/>
      <c r="H22" s="1201" t="s">
        <v>1039</v>
      </c>
      <c r="I22" s="347" t="s">
        <v>1449</v>
      </c>
      <c r="J22" s="24">
        <f ca="1">ROUND(J14*M22,1)</f>
        <v>237.7</v>
      </c>
      <c r="K22" s="2944" t="s">
        <v>1450</v>
      </c>
      <c r="L22" s="347" t="s">
        <v>1422</v>
      </c>
      <c r="M22" s="374">
        <f ca="1">INDIRECT("'数据-取费表'!Ak"&amp;$G$1)</f>
        <v>0.02</v>
      </c>
    </row>
    <row r="23" spans="1:37" s="1857" customFormat="1" ht="18" customHeight="1">
      <c r="A23" s="1201" t="s">
        <v>1034</v>
      </c>
      <c r="B23" s="347" t="s">
        <v>1451</v>
      </c>
      <c r="C23" s="24">
        <f ca="1">IF('数据-取费表'!B22&lt;=1,ROUND(C19*F24*F23/2,0)+ROUND(C20*F24*F23/2,0),ROUND(C19*(POWER((1+F24),F23/2)-1),0)+ROUND(C20*(POWER((1+F24),F23/2)-1),0))</f>
        <v>455</v>
      </c>
      <c r="D23" s="375" t="str">
        <f>IF(F23&lt;=1,"(建造成本+管理费用)×利率×(建设周期÷2)","(建造成本+管理费用)×((1+利率)^(建设周期÷2)-1)")</f>
        <v>(建造成本+管理费用)×((1+利率)^(建设周期÷2)-1)</v>
      </c>
      <c r="E23" s="347" t="s">
        <v>1452</v>
      </c>
      <c r="F23" s="371">
        <f>'数据-取费表'!B20</f>
        <v>2</v>
      </c>
      <c r="G23" s="1853"/>
      <c r="H23" s="1201" t="s">
        <v>1075</v>
      </c>
      <c r="I23" s="347" t="s">
        <v>1453</v>
      </c>
      <c r="J23" s="24">
        <f ca="1">ROUND(J13*M23,1)</f>
        <v>0</v>
      </c>
      <c r="K23" s="2944" t="s">
        <v>1454</v>
      </c>
      <c r="L23" s="347" t="s">
        <v>1422</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3"/>
      <c r="H24" s="1339" t="s">
        <v>1392</v>
      </c>
      <c r="I24" s="1340" t="s">
        <v>1439</v>
      </c>
      <c r="J24" s="1341">
        <f ca="1">ROUND(J5*M24,1)</f>
        <v>0</v>
      </c>
      <c r="K24" s="1342" t="s">
        <v>1459</v>
      </c>
      <c r="L24" s="1340" t="s">
        <v>1422</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7" t="s">
        <v>1461</v>
      </c>
      <c r="C25" s="24"/>
      <c r="D25" s="140" t="s">
        <v>1462</v>
      </c>
      <c r="E25" s="2938"/>
      <c r="F25" s="26"/>
      <c r="G25" s="1850"/>
      <c r="H25" s="1329" t="s">
        <v>1031</v>
      </c>
      <c r="I25" s="1344" t="s">
        <v>1463</v>
      </c>
      <c r="J25" s="355">
        <f ca="1">J5-J16</f>
        <v>-338</v>
      </c>
      <c r="K25" s="1345" t="s">
        <v>1464</v>
      </c>
      <c r="L25" s="1346"/>
      <c r="M25" s="1347"/>
    </row>
    <row r="26" spans="1:37">
      <c r="A26" s="1201" t="s">
        <v>1034</v>
      </c>
      <c r="B26" s="347" t="s">
        <v>1465</v>
      </c>
      <c r="C26" s="24">
        <f ca="1">ROUND((C19+C20)*F26,0)</f>
        <v>958</v>
      </c>
      <c r="D26" s="369" t="s">
        <v>1466</v>
      </c>
      <c r="E26" s="358" t="s">
        <v>1467</v>
      </c>
      <c r="F26" s="357">
        <f ca="1">INDIRECT("'数据-取费表'!q"&amp;$G$1)</f>
        <v>0.1</v>
      </c>
      <c r="G26" s="1850"/>
      <c r="H26" s="344" t="s">
        <v>1032</v>
      </c>
      <c r="I26" s="345" t="s">
        <v>1468</v>
      </c>
      <c r="J26" s="346">
        <f ca="1">IF(J5&lt;&gt;0,ROUND(J25*(1-((1+M28)/(1+M26))^M27)/(M26-M28),0),0)</f>
        <v>0</v>
      </c>
      <c r="K26" s="370" t="s">
        <v>1469</v>
      </c>
      <c r="L26" s="347" t="s">
        <v>1470</v>
      </c>
      <c r="M26" s="357">
        <f ca="1">INDIRECT("'数据-取费表'!I"&amp;$G$1)</f>
        <v>0.05</v>
      </c>
    </row>
    <row r="27" spans="1:37" ht="18" customHeight="1">
      <c r="A27" s="1201" t="s">
        <v>1036</v>
      </c>
      <c r="B27" s="347" t="s">
        <v>1471</v>
      </c>
      <c r="C27" s="24">
        <f ca="1">ROUND(F21*F26,4)</f>
        <v>2E-3</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5.2400000000000002E-2</v>
      </c>
      <c r="D28" s="369" t="s">
        <v>1476</v>
      </c>
      <c r="E28" s="347" t="s">
        <v>1422</v>
      </c>
      <c r="F28" s="367">
        <f>'数据-取费表'!B41</f>
        <v>5.5000000000000007E-2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11885</v>
      </c>
      <c r="D29" s="1342"/>
      <c r="E29" s="1340"/>
      <c r="F29" s="1343"/>
      <c r="G29" s="1853"/>
      <c r="H29" s="380" t="s">
        <v>1033</v>
      </c>
      <c r="I29" s="381" t="s">
        <v>1479</v>
      </c>
      <c r="J29" s="382">
        <f ca="1">ROUND(J26/(1+F40)^F41,0)</f>
        <v>0</v>
      </c>
      <c r="K29" s="383" t="s">
        <v>1480</v>
      </c>
      <c r="L29" s="384"/>
      <c r="M29" s="385">
        <f ca="1">INDIRECT("'数据-取费表'!k"&amp;$G$1)</f>
        <v>21431.910000000003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504</v>
      </c>
      <c r="D30" s="1337" t="s">
        <v>1425</v>
      </c>
      <c r="E30" s="2945"/>
      <c r="F30" s="1294"/>
      <c r="G30" s="1850"/>
      <c r="H30" s="742"/>
      <c r="I30" s="743"/>
      <c r="J30" s="744"/>
      <c r="K30" s="745"/>
      <c r="L30" s="746"/>
      <c r="M30" s="747"/>
    </row>
    <row r="31" spans="1:37" ht="18" customHeight="1">
      <c r="A31" s="1201" t="s">
        <v>1035</v>
      </c>
      <c r="B31" s="347" t="s">
        <v>1429</v>
      </c>
      <c r="C31" s="24">
        <f ca="1">ROUND(IF(项目基本情况!B11="自然人",C5*F31,C32+C33+C34),1)</f>
        <v>218.8</v>
      </c>
      <c r="D31" s="2943" t="s">
        <v>1430</v>
      </c>
      <c r="E31" s="2944" t="s">
        <v>1481</v>
      </c>
      <c r="F31" s="368" t="str">
        <f ca="1">IF(项目基本情况!B11="企业","",IF(INDIRECT("'数据-取费表'!c"&amp;$G$1)="住宅",5%,IF(F6*F7*F8/12/(1+'数据-取费表'!C42)&gt;20000,12%,7%)))</f>
        <v/>
      </c>
      <c r="G31" s="1850"/>
      <c r="H31" s="742"/>
      <c r="I31" s="743"/>
      <c r="J31" s="744"/>
      <c r="K31" s="745"/>
      <c r="L31" s="746"/>
      <c r="M31" s="747"/>
    </row>
    <row r="32" spans="1:37" ht="18" customHeight="1">
      <c r="A32" s="1201" t="s">
        <v>1034</v>
      </c>
      <c r="B32" s="347" t="s">
        <v>1433</v>
      </c>
      <c r="C32" s="24">
        <f ca="1">IF(项目基本情况!B11="自然人","——",ROUND(C5*F32/(1+'数据-取费表'!C42),2))</f>
        <v>66.47</v>
      </c>
      <c r="D32" s="2944" t="s">
        <v>1434</v>
      </c>
      <c r="E32" s="347" t="s">
        <v>1422</v>
      </c>
      <c r="F32" s="377">
        <f>'数据-取费表'!B41</f>
        <v>5.5000000000000007E-2</v>
      </c>
      <c r="G32" s="1850"/>
      <c r="H32" s="742"/>
      <c r="I32" s="743"/>
      <c r="J32" s="744"/>
      <c r="K32" s="745"/>
      <c r="L32" s="746"/>
      <c r="M32" s="747"/>
    </row>
    <row r="33" spans="1:18" ht="18" customHeight="1">
      <c r="A33" s="1201" t="s">
        <v>1036</v>
      </c>
      <c r="B33" s="347" t="s">
        <v>1437</v>
      </c>
      <c r="C33" s="24">
        <f ca="1">IF(项目基本情况!B11="自然人","——",IF(D33="按租金收入计税",ROUND(C5*F33,2),IF(D33="按房产原值计税",ROUND(C29*F33*0.7,2),INDIRECT("'数据-取费表'!Aj"&amp;$G$1))))</f>
        <v>152.28</v>
      </c>
      <c r="D33" s="1827" t="s">
        <v>3407</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f ca="1">IF(项目基本情况!B11="自然人","——",ROUND(F34*F35/10000,2))</f>
        <v>0</v>
      </c>
      <c r="D34" s="370" t="s">
        <v>1442</v>
      </c>
      <c r="E34" s="347" t="s">
        <v>1443</v>
      </c>
      <c r="F34" s="371">
        <f>'数据-取费表'!B52</f>
        <v>1.5</v>
      </c>
      <c r="G34" s="1850"/>
      <c r="H34" s="742"/>
      <c r="I34" s="1859"/>
      <c r="J34" s="1860"/>
      <c r="K34" s="1862"/>
      <c r="L34" s="1863"/>
      <c r="M34" s="1863"/>
    </row>
    <row r="35" spans="1:18" ht="18" customHeight="1">
      <c r="A35" s="1353"/>
      <c r="B35" s="1351"/>
      <c r="C35" s="29"/>
      <c r="D35" s="373"/>
      <c r="E35" s="347" t="s">
        <v>1447</v>
      </c>
      <c r="F35" s="348">
        <f ca="1">INDIRECT("'数据-取费表'!r"&amp;$G$1)</f>
        <v>0</v>
      </c>
      <c r="G35" s="1850"/>
      <c r="H35" s="742"/>
      <c r="I35" s="1859"/>
      <c r="J35" s="1860"/>
      <c r="K35" s="1861"/>
      <c r="L35" s="1858"/>
      <c r="M35" s="1858"/>
    </row>
    <row r="36" spans="1:18" ht="18" customHeight="1">
      <c r="A36" s="1352" t="s">
        <v>1039</v>
      </c>
      <c r="B36" s="347" t="s">
        <v>1449</v>
      </c>
      <c r="C36" s="24">
        <f ca="1">ROUND(C29*F36,1)</f>
        <v>237.7</v>
      </c>
      <c r="D36" s="2944" t="s">
        <v>1482</v>
      </c>
      <c r="E36" s="347" t="s">
        <v>1422</v>
      </c>
      <c r="F36" s="374">
        <f ca="1">INDIRECT("'数据-取费表'!Ak"&amp;$G$1)</f>
        <v>0.02</v>
      </c>
      <c r="G36" s="1850"/>
      <c r="H36" s="1858"/>
      <c r="I36" s="1859"/>
      <c r="J36" s="1860"/>
      <c r="K36" s="748"/>
      <c r="L36" s="1858"/>
      <c r="M36" s="1858"/>
    </row>
    <row r="37" spans="1:18" ht="18" customHeight="1">
      <c r="A37" s="1201" t="s">
        <v>1075</v>
      </c>
      <c r="B37" s="347" t="s">
        <v>1453</v>
      </c>
      <c r="C37" s="24">
        <f ca="1">ROUND(C13*F37,1)</f>
        <v>22.1</v>
      </c>
      <c r="D37" s="2944" t="s">
        <v>1454</v>
      </c>
      <c r="E37" s="347" t="s">
        <v>1422</v>
      </c>
      <c r="F37" s="376">
        <f ca="1">INDIRECT("'数据-取费表'!Al"&amp;$G$1)</f>
        <v>2E-3</v>
      </c>
      <c r="G37" s="1850"/>
      <c r="H37" s="1858"/>
      <c r="I37" s="1859"/>
      <c r="J37" s="1860"/>
      <c r="K37" s="748"/>
      <c r="L37" s="1858"/>
      <c r="M37" s="1858"/>
    </row>
    <row r="38" spans="1:18" ht="18" customHeight="1" thickBot="1">
      <c r="A38" s="1339" t="s">
        <v>1392</v>
      </c>
      <c r="B38" s="1340" t="s">
        <v>1439</v>
      </c>
      <c r="C38" s="1341">
        <f ca="1">ROUND(C5*F38,1)</f>
        <v>25.4</v>
      </c>
      <c r="D38" s="1342" t="s">
        <v>1459</v>
      </c>
      <c r="E38" s="1340" t="s">
        <v>1422</v>
      </c>
      <c r="F38" s="1336">
        <f ca="1">INDIRECT("'数据-取费表'!Am"&amp;$G$1)</f>
        <v>0.02</v>
      </c>
      <c r="G38" s="1850"/>
      <c r="H38" s="1858"/>
      <c r="I38" s="1859"/>
      <c r="J38" s="1860"/>
      <c r="K38" s="1864"/>
      <c r="L38" s="1858"/>
      <c r="M38" s="1858"/>
    </row>
    <row r="39" spans="1:18" ht="24.6" customHeight="1" thickTop="1">
      <c r="A39" s="1329" t="s">
        <v>1031</v>
      </c>
      <c r="B39" s="1344" t="s">
        <v>1463</v>
      </c>
      <c r="C39" s="355">
        <f ca="1">C5-C30</f>
        <v>765</v>
      </c>
      <c r="D39" s="1345" t="s">
        <v>1464</v>
      </c>
      <c r="E39" s="1346"/>
      <c r="F39" s="1347"/>
      <c r="G39" s="1850"/>
      <c r="H39" s="1858"/>
      <c r="I39" s="1859"/>
      <c r="J39" s="1860"/>
      <c r="K39" s="1864"/>
      <c r="L39" s="1858"/>
      <c r="M39" s="1858"/>
    </row>
    <row r="40" spans="1:18" ht="18" customHeight="1">
      <c r="A40" s="344" t="s">
        <v>1032</v>
      </c>
      <c r="B40" s="345" t="s">
        <v>1485</v>
      </c>
      <c r="C40" s="346">
        <f ca="1">ROUND(C39*(1-((1+F42)/(1+F40))^F41)/(F40-F42),0)</f>
        <v>21552</v>
      </c>
      <c r="D40" s="370" t="s">
        <v>1469</v>
      </c>
      <c r="E40" s="347" t="s">
        <v>1470</v>
      </c>
      <c r="F40" s="357">
        <f ca="1">INDIRECT("'数据-取费表'!I"&amp;$G$1)</f>
        <v>0.05</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43.1</v>
      </c>
      <c r="G41" s="1850"/>
      <c r="H41" s="729"/>
      <c r="I41" s="1859"/>
      <c r="J41" s="1860"/>
      <c r="K41" s="748"/>
      <c r="L41" s="729"/>
      <c r="M41" s="729"/>
    </row>
    <row r="42" spans="1:18" ht="18" customHeight="1">
      <c r="A42" s="353"/>
      <c r="B42" s="354"/>
      <c r="C42" s="355"/>
      <c r="D42" s="373"/>
      <c r="E42" s="347" t="s">
        <v>1477</v>
      </c>
      <c r="F42" s="357">
        <f ca="1">INDIRECT("'数据-取费表'!v"&amp;$G$1)</f>
        <v>0.03</v>
      </c>
      <c r="G42" s="1850"/>
      <c r="H42" s="729"/>
      <c r="I42" s="1859"/>
      <c r="J42" s="1860"/>
      <c r="K42" s="748"/>
      <c r="L42" s="729"/>
      <c r="M42" s="729"/>
    </row>
    <row r="43" spans="1:18" ht="18" customHeight="1" thickBot="1">
      <c r="A43" s="380" t="s">
        <v>1033</v>
      </c>
      <c r="B43" s="381" t="s">
        <v>1487</v>
      </c>
      <c r="C43" s="382">
        <f ca="1">ROUND(C40*10000/F43,0)</f>
        <v>10056</v>
      </c>
      <c r="D43" s="383" t="s">
        <v>1488</v>
      </c>
      <c r="E43" s="384" t="s">
        <v>1489</v>
      </c>
      <c r="F43" s="385">
        <f ca="1">INDIRECT("'数据-取费表'!k"&amp;$G$1)</f>
        <v>21431.910000000003</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5" thickBot="1">
      <c r="A46" s="1869" t="s">
        <v>1520</v>
      </c>
      <c r="C46" s="1870">
        <f ca="1">C68-C40</f>
        <v>-43640</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5" t="s">
        <v>1396</v>
      </c>
      <c r="B47" s="1197" t="s">
        <v>1397</v>
      </c>
      <c r="C47" s="1367" t="s">
        <v>1398</v>
      </c>
      <c r="D47" s="1197" t="s">
        <v>1399</v>
      </c>
      <c r="E47" s="1279" t="s">
        <v>1400</v>
      </c>
      <c r="F47" s="1280"/>
      <c r="G47" s="789"/>
      <c r="I47" s="1879" t="s">
        <v>1526</v>
      </c>
      <c r="J47" s="1880" t="s">
        <v>3382</v>
      </c>
      <c r="K47" s="1881" t="s">
        <v>1527</v>
      </c>
      <c r="L47" s="1882">
        <f ca="1">INDIRECT("'数据-取费表'!d"&amp;$G$1)</f>
        <v>50</v>
      </c>
      <c r="M47" s="1837" t="str">
        <f>IF(ISNUMBER(FIND("住宅",C1)),"住宅","非住宅")</f>
        <v>非住宅</v>
      </c>
      <c r="O47" s="1883" t="s">
        <v>1040</v>
      </c>
      <c r="P47" s="1884" t="s">
        <v>1528</v>
      </c>
      <c r="Q47" s="1885">
        <f ca="1">C40+J29</f>
        <v>21552</v>
      </c>
      <c r="R47" s="1885" t="s">
        <v>1529</v>
      </c>
    </row>
    <row r="48" spans="1:18" s="1841" customFormat="1" ht="28.5" thickBot="1">
      <c r="A48" s="1360" t="s">
        <v>1135</v>
      </c>
      <c r="B48" s="345" t="s">
        <v>1401</v>
      </c>
      <c r="C48" s="2937">
        <f ca="1">C49+C53+C55</f>
        <v>0</v>
      </c>
      <c r="D48" s="1362"/>
      <c r="E48" s="1363"/>
      <c r="F48" s="1181"/>
      <c r="G48" s="789"/>
      <c r="H48" s="790"/>
      <c r="I48" s="1886" t="s">
        <v>1530</v>
      </c>
      <c r="J48" s="1887" t="s">
        <v>3408</v>
      </c>
      <c r="K48" s="1888" t="s">
        <v>1531</v>
      </c>
      <c r="L48" s="1889">
        <f ca="1">INDIRECT("'数据-取费表'!f"&amp;$G$1)</f>
        <v>43.1</v>
      </c>
      <c r="O48" s="1883" t="s">
        <v>1041</v>
      </c>
      <c r="P48" s="1884" t="s">
        <v>1532</v>
      </c>
      <c r="Q48" s="1885" t="str">
        <f ca="1">J60</f>
        <v>0</v>
      </c>
      <c r="R48" s="1885" t="s">
        <v>1533</v>
      </c>
    </row>
    <row r="49" spans="1:18" s="1841" customFormat="1" ht="13.5" thickBot="1">
      <c r="A49" s="1194" t="s">
        <v>1136</v>
      </c>
      <c r="B49" s="1828" t="s">
        <v>1490</v>
      </c>
      <c r="C49" s="1364">
        <f ca="1">ROUND(F49*F51*F50*(1-F52)/10000,0)</f>
        <v>0</v>
      </c>
      <c r="D49" s="1276" t="s">
        <v>3019</v>
      </c>
      <c r="E49" s="1829" t="s">
        <v>1491</v>
      </c>
      <c r="F49" s="1281"/>
      <c r="G49" s="1890"/>
      <c r="H49" s="790"/>
      <c r="I49" s="1886" t="s">
        <v>1534</v>
      </c>
      <c r="J49" s="1891"/>
      <c r="K49" s="1888" t="s">
        <v>1535</v>
      </c>
      <c r="L49" s="1892"/>
      <c r="O49" s="1893" t="s">
        <v>1042</v>
      </c>
      <c r="P49" s="1884" t="s">
        <v>1536</v>
      </c>
      <c r="Q49" s="1885">
        <f ca="1">C29</f>
        <v>11885</v>
      </c>
      <c r="R49" s="1885" t="s">
        <v>1529</v>
      </c>
    </row>
    <row r="50" spans="1:18" s="1841" customFormat="1" ht="13.5" thickBot="1">
      <c r="A50" s="1195"/>
      <c r="B50" s="1198"/>
      <c r="C50" s="1368"/>
      <c r="D50" s="1172"/>
      <c r="E50" s="1277" t="s">
        <v>1406</v>
      </c>
      <c r="F50" s="1278">
        <f ca="1">F7</f>
        <v>21431.910000000003</v>
      </c>
      <c r="H50" s="790"/>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6"/>
      <c r="B51" s="1198"/>
      <c r="C51" s="1199"/>
      <c r="D51" s="1172"/>
      <c r="E51" s="1200" t="s">
        <v>1407</v>
      </c>
      <c r="F51" s="348">
        <f ca="1">F8</f>
        <v>365</v>
      </c>
      <c r="I51" s="1897" t="s">
        <v>1540</v>
      </c>
      <c r="J51" s="1898">
        <f>IF(J49="",J50,J49+J50-YEAR('数据-取费表'!B2))</f>
        <v>60</v>
      </c>
      <c r="K51" s="1899" t="s">
        <v>1541</v>
      </c>
      <c r="L51" s="1900">
        <f ca="1">ROUND(-PV(INDIRECT("'数据-取费表'!h"&amp;$G$1),L48,(C39-C13*C76),0),0)</f>
        <v>-3296</v>
      </c>
      <c r="M51" s="1901"/>
      <c r="O51" s="1893" t="s">
        <v>1044</v>
      </c>
      <c r="P51" s="1884" t="s">
        <v>1542</v>
      </c>
      <c r="Q51" s="1896">
        <f>J52</f>
        <v>0</v>
      </c>
      <c r="R51" s="1885"/>
    </row>
    <row r="52" spans="1:18" s="1841" customFormat="1" ht="13.5" thickBot="1">
      <c r="A52" s="1196"/>
      <c r="B52" s="1198"/>
      <c r="C52" s="1199"/>
      <c r="D52" s="1172"/>
      <c r="E52" s="1200" t="s">
        <v>1408</v>
      </c>
      <c r="F52" s="1275"/>
      <c r="I52" s="1902" t="s">
        <v>1543</v>
      </c>
      <c r="J52" s="1903"/>
      <c r="K52" s="1902" t="s">
        <v>1544</v>
      </c>
      <c r="L52" s="1903"/>
      <c r="O52" s="1893" t="s">
        <v>1045</v>
      </c>
      <c r="P52" s="1884" t="s">
        <v>1545</v>
      </c>
      <c r="Q52" s="1885">
        <f ca="1">J53</f>
        <v>43.1</v>
      </c>
      <c r="R52" s="1885" t="s">
        <v>1546</v>
      </c>
    </row>
    <row r="53" spans="1:18" s="1841" customFormat="1" ht="24.75" thickBot="1">
      <c r="A53" s="1405" t="s">
        <v>1137</v>
      </c>
      <c r="B53" s="1830" t="s">
        <v>1409</v>
      </c>
      <c r="C53" s="361">
        <f ca="1">ROUND(IF(F53="押一",C49/12*F11,IF(F53="押二",C49/12*2*F11,IF(F53="押三",C49/12*3*F11,C54*F11))),0)</f>
        <v>0</v>
      </c>
      <c r="D53" s="1823" t="s">
        <v>3028</v>
      </c>
      <c r="E53" s="358" t="s">
        <v>1410</v>
      </c>
      <c r="F53" s="1366"/>
      <c r="I53" s="1904" t="s">
        <v>1547</v>
      </c>
      <c r="J53" s="1905">
        <f ca="1">IF(M47="住宅",IF(D1="——",MAX(J51,L48),IF(D1="在建（套用方法）",MAX(J51,L48-'数据-取费表'!B24),MAX(J51,L48-'数据-取费表'!B20))),IF(D1="——",MIN(J51,L48),IF(D1="在建（套用方法）",MIN(J51,L48-'数据-取费表'!B24),IF(D1="土地（套用方法）",MIN(J51,L48-'数据-取费表'!B20)))))</f>
        <v>43.1</v>
      </c>
      <c r="K53" s="3164" t="s">
        <v>1548</v>
      </c>
      <c r="L53" s="3165"/>
      <c r="O53" s="1883" t="s">
        <v>1046</v>
      </c>
      <c r="P53" s="1884" t="s">
        <v>1549</v>
      </c>
      <c r="Q53" s="1885">
        <f ca="1">Q47+Q48</f>
        <v>21552</v>
      </c>
      <c r="R53" s="1885" t="s">
        <v>1047</v>
      </c>
    </row>
    <row r="54" spans="1:18" s="1841" customFormat="1" ht="13.5" thickBot="1">
      <c r="A54" s="1406"/>
      <c r="B54" s="1824" t="s">
        <v>1388</v>
      </c>
      <c r="C54" s="1178"/>
      <c r="D54" s="1823"/>
      <c r="E54" s="294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3" t="s">
        <v>1075</v>
      </c>
      <c r="B55" s="1826" t="s">
        <v>1413</v>
      </c>
      <c r="C55" s="1334"/>
      <c r="D55" s="1823"/>
      <c r="E55" s="2941"/>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6">
        <v>2</v>
      </c>
      <c r="B56" s="1177" t="s">
        <v>1414</v>
      </c>
      <c r="C56" s="276">
        <f ca="1">C13</f>
        <v>11053</v>
      </c>
      <c r="D56" s="1913"/>
      <c r="E56" s="1914"/>
      <c r="F56" s="1906"/>
      <c r="I56" s="1915" t="s">
        <v>1554</v>
      </c>
      <c r="J56" s="1916" t="s">
        <v>3301</v>
      </c>
      <c r="K56" s="1886" t="s">
        <v>1555</v>
      </c>
      <c r="L56" s="1889" t="str">
        <f ca="1">IF(L48&lt;J51,"——",L48-J53)</f>
        <v>——</v>
      </c>
      <c r="O56" s="1883" t="s">
        <v>1040</v>
      </c>
      <c r="P56" s="1884" t="s">
        <v>1528</v>
      </c>
      <c r="Q56" s="1885">
        <f ca="1">C40+J29</f>
        <v>21552</v>
      </c>
      <c r="R56" s="1885" t="s">
        <v>1529</v>
      </c>
    </row>
    <row r="57" spans="1:18" s="1841" customFormat="1" ht="24.75" thickBot="1">
      <c r="A57" s="1917"/>
      <c r="B57" s="1169" t="s">
        <v>1478</v>
      </c>
      <c r="C57" s="282">
        <f ca="1">C29</f>
        <v>11885</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7" t="s">
        <v>1424</v>
      </c>
      <c r="C58" s="361">
        <f ca="1">ROUND(C59+C64+C65+C66,0)</f>
        <v>1258</v>
      </c>
      <c r="D58" s="1179" t="s">
        <v>1425</v>
      </c>
      <c r="E58" s="1180"/>
      <c r="F58" s="1181"/>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ROUND(IF(项目基本情况!B11="自然人",C48*F59,C60+C61+C62),1)</f>
        <v>998.3</v>
      </c>
      <c r="D59" s="1182" t="s">
        <v>1430</v>
      </c>
      <c r="E59" s="1183" t="s">
        <v>1431</v>
      </c>
      <c r="F59" s="368"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IF(项目基本情况!B11="自然人","——",ROUND(C48*F60/(1+'数据-取费表'!C42),2))</f>
        <v>0</v>
      </c>
      <c r="D60" s="1183" t="s">
        <v>1434</v>
      </c>
      <c r="E60" s="1169" t="s">
        <v>1422</v>
      </c>
      <c r="F60" s="377">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1437</v>
      </c>
      <c r="C61" s="24">
        <f ca="1">IF(项目基本情况!B11="自然人","——",IF(D61="按租金收入计税",ROUND(C48*F61,2),IF(D61="按房产原值计税",ROUND(C57*F61*0.7,2),INDIRECT("'数据-取费表'!Aj"&amp;$G$1))))</f>
        <v>998.34</v>
      </c>
      <c r="D61" s="1827" t="s">
        <v>1438</v>
      </c>
      <c r="E61" s="1169" t="s">
        <v>1422</v>
      </c>
      <c r="F61" s="367">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1" t="s">
        <v>1495</v>
      </c>
      <c r="B62" s="1168" t="s">
        <v>1441</v>
      </c>
      <c r="C62" s="25">
        <f ca="1">IF(项目基本情况!B11="自然人","——",ROUND(F62*F63/10000,2))</f>
        <v>0</v>
      </c>
      <c r="D62" s="1184" t="s">
        <v>1442</v>
      </c>
      <c r="E62" s="1169" t="s">
        <v>1443</v>
      </c>
      <c r="F62" s="371">
        <f t="shared" si="0"/>
        <v>1.5</v>
      </c>
      <c r="I62" s="1928" t="s">
        <v>1570</v>
      </c>
      <c r="J62" s="1929" t="s">
        <v>1571</v>
      </c>
      <c r="K62" s="1929" t="s">
        <v>1572</v>
      </c>
      <c r="L62" s="1929" t="s">
        <v>1573</v>
      </c>
      <c r="M62" s="1930" t="s">
        <v>1574</v>
      </c>
      <c r="O62" s="1883" t="s">
        <v>1046</v>
      </c>
      <c r="P62" s="1884" t="s">
        <v>1549</v>
      </c>
      <c r="Q62" s="1885">
        <f ca="1">Q56+Q57</f>
        <v>21552</v>
      </c>
      <c r="R62" s="1885" t="s">
        <v>1047</v>
      </c>
    </row>
    <row r="63" spans="1:18" s="1841" customFormat="1" ht="13.5" thickBot="1">
      <c r="A63" s="372"/>
      <c r="B63" s="1175"/>
      <c r="C63" s="29"/>
      <c r="D63" s="1185"/>
      <c r="E63" s="1169" t="s">
        <v>1447</v>
      </c>
      <c r="F63" s="348">
        <f t="shared" ca="1" si="0"/>
        <v>0</v>
      </c>
      <c r="I63" s="1928" t="s">
        <v>1576</v>
      </c>
      <c r="J63" s="1929">
        <v>70</v>
      </c>
      <c r="K63" s="1929">
        <v>50</v>
      </c>
      <c r="L63" s="1929">
        <v>80</v>
      </c>
      <c r="M63" s="1931">
        <v>0.02</v>
      </c>
      <c r="O63" s="1868" t="s">
        <v>1577</v>
      </c>
      <c r="P63" s="1838"/>
      <c r="Q63" s="1838"/>
      <c r="R63" s="1838"/>
    </row>
    <row r="64" spans="1:18" s="1841" customFormat="1" ht="13.5" thickBot="1">
      <c r="A64" s="1201" t="s">
        <v>1039</v>
      </c>
      <c r="B64" s="1169" t="s">
        <v>1449</v>
      </c>
      <c r="C64" s="24">
        <f ca="1">ROUND(C57*F64,1)</f>
        <v>237.7</v>
      </c>
      <c r="D64" s="1183" t="s">
        <v>1482</v>
      </c>
      <c r="E64" s="1169" t="s">
        <v>1422</v>
      </c>
      <c r="F64" s="374">
        <f t="shared" ca="1" si="0"/>
        <v>0.02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ROUND(C56*F65,1)</f>
        <v>22.1</v>
      </c>
      <c r="D65" s="1183" t="s">
        <v>1454</v>
      </c>
      <c r="E65" s="1169" t="s">
        <v>1422</v>
      </c>
      <c r="F65" s="376">
        <f t="shared" ca="1" si="0"/>
        <v>2E-3</v>
      </c>
      <c r="I65" s="1928" t="s">
        <v>1579</v>
      </c>
      <c r="J65" s="1929">
        <v>40</v>
      </c>
      <c r="K65" s="1929">
        <v>30</v>
      </c>
      <c r="L65" s="1929">
        <v>50</v>
      </c>
      <c r="M65" s="1931">
        <v>0.02</v>
      </c>
      <c r="O65" s="1883" t="s">
        <v>1040</v>
      </c>
      <c r="P65" s="1884" t="s">
        <v>1528</v>
      </c>
      <c r="Q65" s="1885">
        <f ca="1">C40+J29</f>
        <v>21552</v>
      </c>
      <c r="R65" s="1885" t="s">
        <v>1529</v>
      </c>
    </row>
    <row r="66" spans="1:18" s="1841" customFormat="1" ht="16.5" thickBot="1">
      <c r="A66" s="1201" t="s">
        <v>1504</v>
      </c>
      <c r="B66" s="1169" t="s">
        <v>1439</v>
      </c>
      <c r="C66" s="24">
        <f ca="1">ROUND(C48*F66,1)</f>
        <v>0</v>
      </c>
      <c r="D66" s="1183" t="s">
        <v>1459</v>
      </c>
      <c r="E66" s="1169" t="s">
        <v>1422</v>
      </c>
      <c r="F66" s="357">
        <f t="shared" ca="1" si="0"/>
        <v>0.02</v>
      </c>
      <c r="O66" s="1883" t="s">
        <v>1041</v>
      </c>
      <c r="P66" s="1884" t="s">
        <v>1558</v>
      </c>
      <c r="Q66" s="1885">
        <f ca="1">L60</f>
        <v>0</v>
      </c>
      <c r="R66" s="1885" t="s">
        <v>1581</v>
      </c>
    </row>
    <row r="67" spans="1:18" s="1841" customFormat="1" ht="16.5" thickBot="1">
      <c r="A67" s="1176" t="s">
        <v>1031</v>
      </c>
      <c r="B67" s="1186" t="s">
        <v>1463</v>
      </c>
      <c r="C67" s="361">
        <f ca="1">C48-C58</f>
        <v>-1258</v>
      </c>
      <c r="D67" s="1182" t="s">
        <v>1464</v>
      </c>
      <c r="E67" s="1187"/>
      <c r="F67" s="1188"/>
      <c r="O67" s="1893" t="s">
        <v>1042</v>
      </c>
      <c r="P67" s="1884" t="s">
        <v>1562</v>
      </c>
      <c r="Q67" s="1932">
        <f ca="1">L51</f>
        <v>-3296</v>
      </c>
      <c r="R67" s="1885" t="s">
        <v>1582</v>
      </c>
    </row>
    <row r="68" spans="1:18" s="1841" customFormat="1" ht="16.5" thickBot="1">
      <c r="A68" s="1166" t="s">
        <v>1032</v>
      </c>
      <c r="B68" s="1167" t="s">
        <v>1485</v>
      </c>
      <c r="C68" s="346">
        <f ca="1">ROUND(C67*(1-((1+F70)/(1+F68))^F69)/(F68-F70),0)</f>
        <v>-22088</v>
      </c>
      <c r="D68" s="1184" t="s">
        <v>1469</v>
      </c>
      <c r="E68" s="1169" t="s">
        <v>1470</v>
      </c>
      <c r="F68" s="357">
        <f ca="1">F40</f>
        <v>0.05</v>
      </c>
      <c r="O68" s="1893" t="s">
        <v>1043</v>
      </c>
      <c r="P68" s="1933" t="s">
        <v>1583</v>
      </c>
      <c r="Q68" s="1885">
        <f ca="1">ROUND(Q69-Q70*Q71,0)</f>
        <v>-175</v>
      </c>
      <c r="R68" s="1885" t="s">
        <v>1051</v>
      </c>
    </row>
    <row r="69" spans="1:18" s="1841" customFormat="1" ht="13.5" thickBot="1">
      <c r="A69" s="1170"/>
      <c r="B69" s="1171"/>
      <c r="C69" s="351"/>
      <c r="D69" s="1189" t="s">
        <v>1473</v>
      </c>
      <c r="E69" s="1169" t="s">
        <v>1474</v>
      </c>
      <c r="F69" s="379">
        <f ca="1">F41</f>
        <v>43.1</v>
      </c>
      <c r="O69" s="1893" t="s">
        <v>1048</v>
      </c>
      <c r="P69" s="1933" t="s">
        <v>1584</v>
      </c>
      <c r="Q69" s="1885">
        <f ca="1">C39</f>
        <v>765</v>
      </c>
      <c r="R69" s="1885" t="s">
        <v>1529</v>
      </c>
    </row>
    <row r="70" spans="1:18" s="1841" customFormat="1" ht="13.5" thickBot="1">
      <c r="A70" s="1173"/>
      <c r="B70" s="1174"/>
      <c r="C70" s="355"/>
      <c r="D70" s="1185"/>
      <c r="E70" s="1169" t="s">
        <v>1477</v>
      </c>
      <c r="F70" s="1275"/>
      <c r="O70" s="1893" t="s">
        <v>1049</v>
      </c>
      <c r="P70" s="1933" t="s">
        <v>1585</v>
      </c>
      <c r="Q70" s="1885">
        <f ca="1">C13</f>
        <v>11053</v>
      </c>
      <c r="R70" s="1885" t="s">
        <v>1529</v>
      </c>
    </row>
    <row r="71" spans="1:18" s="1841" customFormat="1" ht="13.5" thickBot="1">
      <c r="A71" s="1190" t="s">
        <v>1033</v>
      </c>
      <c r="B71" s="1191" t="s">
        <v>1487</v>
      </c>
      <c r="C71" s="382">
        <f ca="1">ROUND(C68*10000/F71,0)</f>
        <v>-10306</v>
      </c>
      <c r="D71" s="1192" t="s">
        <v>1488</v>
      </c>
      <c r="E71" s="1193" t="s">
        <v>1489</v>
      </c>
      <c r="F71" s="385">
        <f ca="1">F43</f>
        <v>21431.910000000003</v>
      </c>
      <c r="O71" s="1893" t="s">
        <v>1050</v>
      </c>
      <c r="P71" s="1933" t="s">
        <v>1586</v>
      </c>
      <c r="Q71" s="1896">
        <f ca="1">C76</f>
        <v>8.5000000000000006E-2</v>
      </c>
      <c r="R71" s="1885"/>
    </row>
    <row r="72" spans="1:18" s="1841" customFormat="1" ht="13.5" thickBot="1">
      <c r="B72" s="793"/>
      <c r="C72" s="793"/>
      <c r="O72" s="1893" t="s">
        <v>1044</v>
      </c>
      <c r="P72" s="1884" t="s">
        <v>1564</v>
      </c>
      <c r="Q72" s="1896">
        <f>L52</f>
        <v>0</v>
      </c>
      <c r="R72" s="1885"/>
    </row>
    <row r="73" spans="1:18" ht="16.5" thickBot="1">
      <c r="A73" s="1841"/>
      <c r="B73" s="793"/>
      <c r="C73" s="793"/>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940</v>
      </c>
      <c r="D75" s="1841"/>
      <c r="E75" s="1841"/>
      <c r="F75" s="1841"/>
      <c r="K75" s="1867"/>
      <c r="L75" s="1841"/>
      <c r="O75" s="1883" t="s">
        <v>1046</v>
      </c>
      <c r="P75" s="1884" t="s">
        <v>1549</v>
      </c>
      <c r="Q75" s="1885">
        <f ca="1">Q65+Q66</f>
        <v>21552</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-0.22900000000000009</v>
      </c>
    </row>
    <row r="80" spans="1:18">
      <c r="B80" s="386" t="s">
        <v>1511</v>
      </c>
      <c r="C80" s="318">
        <f ca="1">ROUND(C75/C39,3)</f>
        <v>1.2290000000000001</v>
      </c>
    </row>
    <row r="81" spans="2:3">
      <c r="B81" s="314" t="s">
        <v>1512</v>
      </c>
      <c r="C81" s="282"/>
    </row>
    <row r="82" spans="2:3">
      <c r="B82" s="317" t="s">
        <v>1513</v>
      </c>
      <c r="C82" s="319">
        <f ca="1">1-C83</f>
        <v>0.48699999999999999</v>
      </c>
    </row>
    <row r="83" spans="2:3">
      <c r="B83" s="317" t="s">
        <v>1514</v>
      </c>
      <c r="C83" s="318">
        <f ca="1">ROUND(C13/C40,3)</f>
        <v>0.51300000000000001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9" sqref="J59"/>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79"/>
      <c r="C1" s="1836" t="s">
        <v>3342</v>
      </c>
      <c r="D1" s="1819" t="s">
        <v>70</v>
      </c>
      <c r="E1" s="1820" t="s">
        <v>1387</v>
      </c>
      <c r="F1" s="1283">
        <f ca="1">J53</f>
        <v>33.090000000000003</v>
      </c>
      <c r="G1" s="1835">
        <f>MATCH(C1,'数据-取费表'!A6:A16,0)+5</f>
        <v>7</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f ca="1">C40+J29+L46</f>
        <v>4354</v>
      </c>
      <c r="C2" s="1844" t="s">
        <v>1516</v>
      </c>
      <c r="D2" s="1844"/>
      <c r="E2" s="1845"/>
      <c r="F2" s="1846"/>
      <c r="G2" s="1847"/>
      <c r="H2" s="1839"/>
      <c r="I2" s="1839"/>
      <c r="J2" s="1839"/>
      <c r="K2" s="1840"/>
      <c r="L2" s="1839"/>
      <c r="M2" s="1839"/>
    </row>
    <row r="3" spans="1:37" ht="18" customHeight="1" thickBot="1">
      <c r="A3" s="1848" t="s">
        <v>1517</v>
      </c>
      <c r="B3" s="1849">
        <f ca="1">IF(ISERROR(B2*10000/F43),0,ROUND(B2*10000/F43,0))</f>
        <v>10976</v>
      </c>
      <c r="C3" s="1844" t="s">
        <v>1518</v>
      </c>
      <c r="D3" s="1844"/>
      <c r="E3" s="1845"/>
      <c r="F3" s="1846"/>
      <c r="G3" s="1847"/>
      <c r="H3" s="741"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2">
        <f ca="1">C6+C10+C12</f>
        <v>326</v>
      </c>
      <c r="D5" s="1821" t="s">
        <v>1402</v>
      </c>
      <c r="E5" s="1293"/>
      <c r="F5" s="1294"/>
      <c r="G5" s="1850"/>
      <c r="H5" s="344">
        <v>1</v>
      </c>
      <c r="I5" s="345" t="s">
        <v>1401</v>
      </c>
      <c r="J5" s="1292">
        <f ca="1">J6+J10+J12</f>
        <v>0</v>
      </c>
      <c r="K5" s="1821" t="s">
        <v>1402</v>
      </c>
      <c r="L5" s="1293"/>
      <c r="M5" s="1294"/>
    </row>
    <row r="6" spans="1:37" ht="18" customHeight="1">
      <c r="A6" s="1291" t="s">
        <v>1035</v>
      </c>
      <c r="B6" s="3161" t="s">
        <v>1403</v>
      </c>
      <c r="C6" s="1296">
        <f ca="1">ROUND(F6*F8*F7*(1-F9)/10000,0)</f>
        <v>326</v>
      </c>
      <c r="D6" s="164" t="s">
        <v>3020</v>
      </c>
      <c r="E6" s="347" t="s">
        <v>1405</v>
      </c>
      <c r="F6" s="348">
        <f ca="1">INDIRECT("'数据-取费表'!u"&amp;$G$1)</f>
        <v>2.5</v>
      </c>
      <c r="G6" s="1850"/>
      <c r="H6" s="1291" t="s">
        <v>1035</v>
      </c>
      <c r="I6" s="3161" t="s">
        <v>1403</v>
      </c>
      <c r="J6" s="346">
        <f ca="1">ROUND(M6*M8*M7*(1-M9)/10000,0)</f>
        <v>0</v>
      </c>
      <c r="K6" s="164" t="s">
        <v>3019</v>
      </c>
      <c r="L6" s="347" t="s">
        <v>1405</v>
      </c>
      <c r="M6" s="348">
        <f ca="1">INDIRECT("'数据-取费表'!z"&amp;$G$1)</f>
        <v>0</v>
      </c>
    </row>
    <row r="7" spans="1:37" ht="18" customHeight="1">
      <c r="A7" s="1295"/>
      <c r="B7" s="3162"/>
      <c r="C7" s="1297"/>
      <c r="D7" s="352"/>
      <c r="E7" s="1298" t="s">
        <v>1406</v>
      </c>
      <c r="F7" s="348">
        <f ca="1">IF(INDIRECT("'数据-取费表'!ah"&amp;$G$1)="",INDIRECT("'数据-取费表'!k"&amp;$G$1),INDIRECT("'数据-取费表'!ah"&amp;$G$1))</f>
        <v>3966.8800000000006</v>
      </c>
      <c r="G7" s="1850"/>
      <c r="H7" s="349"/>
      <c r="I7" s="3162"/>
      <c r="J7" s="351"/>
      <c r="K7" s="352"/>
      <c r="L7" s="347" t="s">
        <v>1406</v>
      </c>
      <c r="M7" s="348">
        <f ca="1">F7</f>
        <v>3966.8800000000006</v>
      </c>
    </row>
    <row r="8" spans="1:37" ht="18" customHeight="1">
      <c r="A8" s="349"/>
      <c r="B8" s="3162"/>
      <c r="C8" s="351"/>
      <c r="D8" s="352"/>
      <c r="E8" s="347" t="s">
        <v>1407</v>
      </c>
      <c r="F8" s="348">
        <f ca="1">INDIRECT("'数据-取费表'!ai"&amp;$G$1)</f>
        <v>365</v>
      </c>
      <c r="G8" s="1850"/>
      <c r="H8" s="349"/>
      <c r="I8" s="3162"/>
      <c r="J8" s="351"/>
      <c r="K8" s="352"/>
      <c r="L8" s="347" t="s">
        <v>1407</v>
      </c>
      <c r="M8" s="348">
        <f ca="1">INDIRECT("'数据-取费表'!ai"&amp;$G$1)</f>
        <v>365</v>
      </c>
    </row>
    <row r="9" spans="1:37" ht="18" customHeight="1">
      <c r="A9" s="349"/>
      <c r="B9" s="3163"/>
      <c r="C9" s="351"/>
      <c r="D9" s="352"/>
      <c r="E9" s="347" t="s">
        <v>1408</v>
      </c>
      <c r="F9" s="357">
        <f ca="1">INDIRECT("'数据-取费表'!w"&amp;$G$1)</f>
        <v>0.1</v>
      </c>
      <c r="G9" s="1850"/>
      <c r="H9" s="349"/>
      <c r="I9" s="3163"/>
      <c r="J9" s="351"/>
      <c r="K9" s="352"/>
      <c r="L9" s="358" t="s">
        <v>1408</v>
      </c>
      <c r="M9" s="359">
        <f ca="1">INDIRECT("'数据-取费表'!ab"&amp;$G$1)</f>
        <v>0</v>
      </c>
    </row>
    <row r="10" spans="1:37" ht="18" customHeight="1">
      <c r="A10" s="1291" t="s">
        <v>1039</v>
      </c>
      <c r="B10" s="1822" t="s">
        <v>1409</v>
      </c>
      <c r="C10" s="361">
        <f ca="1">ROUND(IF(F10="押一",C6/12*F11,IF(F10="押二",C6/12*2*F11,IF(F10="押三",C6/12*3*F11,C11*F11))),0)</f>
        <v>0</v>
      </c>
      <c r="D10" s="1823" t="s">
        <v>3029</v>
      </c>
      <c r="E10" s="358" t="s">
        <v>1410</v>
      </c>
      <c r="F10" s="1366" t="s">
        <v>3406</v>
      </c>
      <c r="G10" s="1850"/>
      <c r="H10" s="1291" t="s">
        <v>1039</v>
      </c>
      <c r="I10" s="1822" t="s">
        <v>1409</v>
      </c>
      <c r="J10" s="346">
        <f ca="1">ROUND(IF(M10="押一",J6/12*M11,IF(M10="押二",J6/12*2*M11,IF(M10="押三",J6/12*3*M11,J11*M11))),0)</f>
        <v>0</v>
      </c>
      <c r="K10" s="1823" t="s">
        <v>3028</v>
      </c>
      <c r="L10" s="358" t="s">
        <v>1410</v>
      </c>
      <c r="M10" s="1366" t="s">
        <v>1411</v>
      </c>
    </row>
    <row r="11" spans="1:37" ht="18" customHeight="1">
      <c r="A11" s="353"/>
      <c r="B11" s="1824" t="s">
        <v>1388</v>
      </c>
      <c r="C11" s="1178"/>
      <c r="D11" s="1825"/>
      <c r="E11" s="358" t="s">
        <v>1412</v>
      </c>
      <c r="F11" s="359">
        <f ca="1">'数据-取费表'!B39</f>
        <v>1.4999999999999999E-2</v>
      </c>
      <c r="G11" s="1850"/>
      <c r="H11" s="1299"/>
      <c r="I11" s="1824" t="s">
        <v>1388</v>
      </c>
      <c r="J11" s="1178"/>
      <c r="K11" s="745"/>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2139</v>
      </c>
      <c r="D13" s="1331" t="s">
        <v>1415</v>
      </c>
      <c r="E13" s="1331" t="s">
        <v>1416</v>
      </c>
      <c r="F13" s="1332">
        <f ca="1">INDIRECT("'数据-取费表'!y"&amp;$G$1)</f>
        <v>0.93</v>
      </c>
      <c r="G13" s="1850"/>
      <c r="H13" s="1329">
        <v>2</v>
      </c>
      <c r="I13" s="1330" t="s">
        <v>1414</v>
      </c>
      <c r="J13" s="1290">
        <f ca="1">ROUND(J14*J15,0)</f>
        <v>0</v>
      </c>
      <c r="K13" s="1337" t="s">
        <v>1415</v>
      </c>
      <c r="L13" s="1851"/>
      <c r="M13" s="1852"/>
    </row>
    <row r="14" spans="1:37" ht="18" customHeight="1">
      <c r="A14" s="1201" t="s">
        <v>1034</v>
      </c>
      <c r="B14" s="347" t="s">
        <v>1417</v>
      </c>
      <c r="C14" s="363">
        <f ca="1">INDIRECT("'数据-取费表'!m"&amp;$G$1)+INDIRECT("'数据-取费表'!t"&amp;$G$1)</f>
        <v>1587</v>
      </c>
      <c r="D14" s="1799" t="s">
        <v>1418</v>
      </c>
      <c r="E14" s="1793"/>
      <c r="F14" s="364"/>
      <c r="G14" s="1850"/>
      <c r="H14" s="1201" t="s">
        <v>1035</v>
      </c>
      <c r="I14" s="347" t="s">
        <v>1419</v>
      </c>
      <c r="J14" s="24">
        <f ca="1">C29</f>
        <v>2300</v>
      </c>
      <c r="K14" s="15"/>
      <c r="L14" s="979"/>
      <c r="M14" s="980"/>
    </row>
    <row r="15" spans="1:37" s="1857" customFormat="1" ht="18" customHeight="1" thickBot="1">
      <c r="A15" s="1201" t="s">
        <v>1036</v>
      </c>
      <c r="B15" s="347" t="s">
        <v>1420</v>
      </c>
      <c r="C15" s="24">
        <f ca="1">ROUND(C14*F15,0)</f>
        <v>48</v>
      </c>
      <c r="D15" s="365" t="s">
        <v>1421</v>
      </c>
      <c r="E15" s="365" t="s">
        <v>1422</v>
      </c>
      <c r="F15" s="366">
        <f>'数据-取费表'!B33</f>
        <v>0.03</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0"/>
      <c r="H16" s="1329" t="s">
        <v>1030</v>
      </c>
      <c r="I16" s="1330" t="s">
        <v>1424</v>
      </c>
      <c r="J16" s="355">
        <f ca="1">ROUND(J17+J22+J23+J24,0)</f>
        <v>65</v>
      </c>
      <c r="K16" s="1337" t="s">
        <v>1425</v>
      </c>
      <c r="L16" s="1338"/>
      <c r="M16" s="1294"/>
    </row>
    <row r="17" spans="1:37" s="1857" customFormat="1" ht="18" customHeight="1">
      <c r="A17" s="1201" t="s">
        <v>1390</v>
      </c>
      <c r="B17" s="347" t="s">
        <v>1426</v>
      </c>
      <c r="C17" s="24">
        <f ca="1">ROUND(F17*(F43+INDIRECT("'数据-取费表'!S"&amp;$G$1))/10000,0)</f>
        <v>79</v>
      </c>
      <c r="D17" s="347" t="s">
        <v>1427</v>
      </c>
      <c r="E17" s="347" t="s">
        <v>1428</v>
      </c>
      <c r="F17" s="26">
        <f>'数据-取费表'!B35</f>
        <v>200</v>
      </c>
      <c r="G17" s="1853"/>
      <c r="H17" s="1201" t="s">
        <v>1035</v>
      </c>
      <c r="I17" s="347" t="s">
        <v>1429</v>
      </c>
      <c r="J17" s="24">
        <f ca="1">ROUND(IF(项目基本情况!B11="自然人",J5*M17,J18+J19+J20),1)</f>
        <v>19.3</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24</v>
      </c>
      <c r="D18" s="347" t="s">
        <v>1421</v>
      </c>
      <c r="E18" s="347" t="s">
        <v>1422</v>
      </c>
      <c r="F18" s="367">
        <f>'数据-取费表'!B36</f>
        <v>1.4999999999999999E-2</v>
      </c>
      <c r="G18" s="1853"/>
      <c r="H18" s="1201" t="s">
        <v>1034</v>
      </c>
      <c r="I18" s="347" t="s">
        <v>1433</v>
      </c>
      <c r="J18" s="24">
        <f ca="1">ROUND(J5*M18/(1+'数据-取费表'!C42),2)</f>
        <v>0</v>
      </c>
      <c r="K18" s="1797" t="s">
        <v>1434</v>
      </c>
      <c r="L18" s="347" t="s">
        <v>1422</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1738</v>
      </c>
      <c r="D19" s="140" t="s">
        <v>1436</v>
      </c>
      <c r="E19" s="1817"/>
      <c r="F19" s="26"/>
      <c r="G19" s="1850"/>
      <c r="H19" s="1201" t="s">
        <v>1036</v>
      </c>
      <c r="I19" s="347" t="s">
        <v>1437</v>
      </c>
      <c r="J19" s="24">
        <f ca="1">IF(K19="按租金收入计税",ROUND(J5*M19,2),ROUND(C29*M19*0.7,2))</f>
        <v>19.32</v>
      </c>
      <c r="K19" s="1827" t="s">
        <v>1438</v>
      </c>
      <c r="L19" s="347" t="s">
        <v>1422</v>
      </c>
      <c r="M19" s="367">
        <f>IF(K19="按租金收入计税",'数据-取费表'!B51,'数据-取费表'!B50)</f>
        <v>1.2E-2</v>
      </c>
    </row>
    <row r="20" spans="1:37" s="1857" customFormat="1" ht="18" customHeight="1">
      <c r="A20" s="1201" t="s">
        <v>1039</v>
      </c>
      <c r="B20" s="347" t="s">
        <v>1439</v>
      </c>
      <c r="C20" s="24">
        <f ca="1">ROUND(C19*F20,0)</f>
        <v>35</v>
      </c>
      <c r="D20" s="369" t="s">
        <v>1440</v>
      </c>
      <c r="E20" s="347" t="s">
        <v>1422</v>
      </c>
      <c r="F20" s="367">
        <f>'数据-取费表'!B37</f>
        <v>0.02</v>
      </c>
      <c r="G20" s="1853"/>
      <c r="H20" s="1201" t="s">
        <v>1389</v>
      </c>
      <c r="I20" s="164" t="s">
        <v>1441</v>
      </c>
      <c r="J20" s="25">
        <f ca="1">ROUND(M20*M21/10000,2)</f>
        <v>0</v>
      </c>
      <c r="K20" s="370" t="s">
        <v>1442</v>
      </c>
      <c r="L20" s="347" t="s">
        <v>1443</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18</v>
      </c>
      <c r="D21" s="369" t="s">
        <v>1445</v>
      </c>
      <c r="E21" s="347" t="s">
        <v>1446</v>
      </c>
      <c r="F21" s="367">
        <f>'数据-取费表'!B38</f>
        <v>0.02</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7"/>
      <c r="F22" s="26"/>
      <c r="G22" s="1850"/>
      <c r="H22" s="1201" t="s">
        <v>1039</v>
      </c>
      <c r="I22" s="347" t="s">
        <v>1449</v>
      </c>
      <c r="J22" s="24">
        <f ca="1">ROUND(J14*M22,1)</f>
        <v>46</v>
      </c>
      <c r="K22" s="1797" t="s">
        <v>1450</v>
      </c>
      <c r="L22" s="347" t="s">
        <v>1422</v>
      </c>
      <c r="M22" s="374">
        <f ca="1">INDIRECT("'数据-取费表'!Ak"&amp;$G$1)</f>
        <v>0.02</v>
      </c>
    </row>
    <row r="23" spans="1:37" s="1857" customFormat="1" ht="18" customHeight="1">
      <c r="A23" s="1201" t="s">
        <v>1034</v>
      </c>
      <c r="B23" s="347" t="s">
        <v>1451</v>
      </c>
      <c r="C23" s="24">
        <f ca="1">IF('数据-取费表'!B22&lt;=1,ROUND(C19*F24*F23/2,0)+ROUND(C20*F24*F23/2,0),ROUND(C19*(POWER((1+F24),F23/2)-1),0)+ROUND(C20*(POWER((1+F24),F23/2)-1),0))</f>
        <v>85</v>
      </c>
      <c r="D23" s="375" t="str">
        <f>IF(F23&lt;=1,"(建造成本+管理费用)×利率×(建设周期÷2)","(建造成本+管理费用)×((1+利率)^(建设周期÷2)-1)")</f>
        <v>(建造成本+管理费用)×((1+利率)^(建设周期÷2)-1)</v>
      </c>
      <c r="E23" s="347" t="s">
        <v>1452</v>
      </c>
      <c r="F23" s="371">
        <f>'数据-取费表'!B20</f>
        <v>2</v>
      </c>
      <c r="G23" s="1853"/>
      <c r="H23" s="1201" t="s">
        <v>1075</v>
      </c>
      <c r="I23" s="347" t="s">
        <v>1453</v>
      </c>
      <c r="J23" s="24">
        <f ca="1">ROUND(J13*M23,1)</f>
        <v>0</v>
      </c>
      <c r="K23" s="1797" t="s">
        <v>1454</v>
      </c>
      <c r="L23" s="347" t="s">
        <v>1455</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3"/>
      <c r="H24" s="1339" t="s">
        <v>1393</v>
      </c>
      <c r="I24" s="1340" t="s">
        <v>1439</v>
      </c>
      <c r="J24" s="1341">
        <f ca="1">ROUND(J5*M24,1)</f>
        <v>0</v>
      </c>
      <c r="K24" s="1342" t="s">
        <v>1459</v>
      </c>
      <c r="L24" s="1340" t="s">
        <v>1455</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1460</v>
      </c>
      <c r="B25" s="347" t="s">
        <v>1461</v>
      </c>
      <c r="C25" s="24"/>
      <c r="D25" s="140" t="s">
        <v>1462</v>
      </c>
      <c r="E25" s="1817"/>
      <c r="F25" s="26"/>
      <c r="G25" s="1850"/>
      <c r="H25" s="1329" t="s">
        <v>1031</v>
      </c>
      <c r="I25" s="1344" t="s">
        <v>1463</v>
      </c>
      <c r="J25" s="355">
        <f ca="1">J5-J16</f>
        <v>-65</v>
      </c>
      <c r="K25" s="1345" t="s">
        <v>1464</v>
      </c>
      <c r="L25" s="1346"/>
      <c r="M25" s="1347"/>
    </row>
    <row r="26" spans="1:37">
      <c r="A26" s="1201" t="s">
        <v>1034</v>
      </c>
      <c r="B26" s="347" t="s">
        <v>1465</v>
      </c>
      <c r="C26" s="24">
        <f ca="1">ROUND((C19+C20)*F26,0)</f>
        <v>266</v>
      </c>
      <c r="D26" s="369" t="s">
        <v>1466</v>
      </c>
      <c r="E26" s="358" t="s">
        <v>1467</v>
      </c>
      <c r="F26" s="357">
        <f ca="1">INDIRECT("'数据-取费表'!q"&amp;$G$1)</f>
        <v>0.15</v>
      </c>
      <c r="G26" s="1850"/>
      <c r="H26" s="344" t="s">
        <v>1032</v>
      </c>
      <c r="I26" s="345" t="s">
        <v>1468</v>
      </c>
      <c r="J26" s="346">
        <f ca="1">IF(J5&lt;&gt;0,ROUND(J25*(1-((1+M28)/(1+M26))^M27)/(M26-M28),0),0)</f>
        <v>0</v>
      </c>
      <c r="K26" s="370" t="s">
        <v>1469</v>
      </c>
      <c r="L26" s="347" t="s">
        <v>1470</v>
      </c>
      <c r="M26" s="357">
        <f ca="1">INDIRECT("'数据-取费表'!I"&amp;$G$1)</f>
        <v>0.06</v>
      </c>
    </row>
    <row r="27" spans="1:37" ht="18" customHeight="1">
      <c r="A27" s="1201" t="s">
        <v>1036</v>
      </c>
      <c r="B27" s="347" t="s">
        <v>1471</v>
      </c>
      <c r="C27" s="24">
        <f ca="1">ROUND(F21*F26,4)</f>
        <v>3.0000000000000001E-3</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5.2400000000000002E-2</v>
      </c>
      <c r="D28" s="369" t="s">
        <v>1476</v>
      </c>
      <c r="E28" s="347" t="s">
        <v>1422</v>
      </c>
      <c r="F28" s="367">
        <f>'数据-取费表'!B41</f>
        <v>5.5000000000000007E-2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2300</v>
      </c>
      <c r="D29" s="1342"/>
      <c r="E29" s="1340"/>
      <c r="F29" s="1343"/>
      <c r="G29" s="1853"/>
      <c r="H29" s="380" t="s">
        <v>1033</v>
      </c>
      <c r="I29" s="381" t="s">
        <v>1479</v>
      </c>
      <c r="J29" s="382">
        <f ca="1">ROUND(J26/(1+F40)^F41,0)</f>
        <v>0</v>
      </c>
      <c r="K29" s="383" t="s">
        <v>1480</v>
      </c>
      <c r="L29" s="384"/>
      <c r="M29" s="385">
        <f ca="1">INDIRECT("'数据-取费表'!k"&amp;$G$1)</f>
        <v>3966.8800000000006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113</v>
      </c>
      <c r="D30" s="1337" t="s">
        <v>1425</v>
      </c>
      <c r="E30" s="1338"/>
      <c r="F30" s="1294"/>
      <c r="G30" s="1850"/>
      <c r="H30" s="742"/>
      <c r="I30" s="743"/>
      <c r="J30" s="744"/>
      <c r="K30" s="745"/>
      <c r="L30" s="746"/>
      <c r="M30" s="747"/>
    </row>
    <row r="31" spans="1:37" ht="18" customHeight="1">
      <c r="A31" s="1201" t="s">
        <v>1035</v>
      </c>
      <c r="B31" s="347" t="s">
        <v>1429</v>
      </c>
      <c r="C31" s="24">
        <f ca="1">ROUND(IF(项目基本情况!B11="自然人",C5*F31,C32+C33+C34),1)</f>
        <v>56.2</v>
      </c>
      <c r="D31" s="1799" t="s">
        <v>1430</v>
      </c>
      <c r="E31" s="1797" t="s">
        <v>1481</v>
      </c>
      <c r="F31" s="368" t="str">
        <f ca="1">IF(项目基本情况!B11="企业","",IF(INDIRECT("'数据-取费表'!c"&amp;$G$1)="住宅",5%,IF(F6*F7*F8/12/(1+'数据-取费表'!C42)&gt;20000,12%,7%)))</f>
        <v/>
      </c>
      <c r="G31" s="1850"/>
      <c r="H31" s="742"/>
      <c r="I31" s="743"/>
      <c r="J31" s="744"/>
      <c r="K31" s="745"/>
      <c r="L31" s="746"/>
      <c r="M31" s="747"/>
    </row>
    <row r="32" spans="1:37" ht="18" customHeight="1">
      <c r="A32" s="1201" t="s">
        <v>1034</v>
      </c>
      <c r="B32" s="347" t="s">
        <v>1433</v>
      </c>
      <c r="C32" s="24">
        <f ca="1">IF(项目基本情况!B11="自然人","——",ROUND(C5*F32/(1+'数据-取费表'!C42),2))</f>
        <v>17.079999999999998</v>
      </c>
      <c r="D32" s="1797" t="s">
        <v>1434</v>
      </c>
      <c r="E32" s="347" t="s">
        <v>1422</v>
      </c>
      <c r="F32" s="377">
        <f>'数据-取费表'!B41</f>
        <v>5.5000000000000007E-2</v>
      </c>
      <c r="G32" s="1850"/>
      <c r="H32" s="742"/>
      <c r="I32" s="743"/>
      <c r="J32" s="744"/>
      <c r="K32" s="745"/>
      <c r="L32" s="746"/>
      <c r="M32" s="747"/>
    </row>
    <row r="33" spans="1:18" ht="18" customHeight="1">
      <c r="A33" s="1201" t="s">
        <v>1036</v>
      </c>
      <c r="B33" s="347" t="s">
        <v>1437</v>
      </c>
      <c r="C33" s="24">
        <f ca="1">IF(项目基本情况!B11="自然人","——",IF(D33="按租金收入计税",ROUND(C5*F33,2),IF(D33="按房产原值计税",ROUND(C29*F33*0.7,2),INDIRECT("'数据-取费表'!Aj"&amp;$G$1))))</f>
        <v>39.119999999999997</v>
      </c>
      <c r="D33" s="1827" t="s">
        <v>3407</v>
      </c>
      <c r="E33" s="347" t="s">
        <v>1422</v>
      </c>
      <c r="F33" s="367">
        <f>IF(D33="按票据","——",IF(D33="按租金收入计税",'数据-取费表'!B51,'数据-取费表'!B50))</f>
        <v>0.12</v>
      </c>
      <c r="G33" s="1850"/>
      <c r="H33" s="1858"/>
      <c r="I33" s="1859"/>
      <c r="J33" s="1860"/>
      <c r="K33" s="1861"/>
      <c r="L33" s="1858"/>
      <c r="M33" s="1858"/>
    </row>
    <row r="34" spans="1:18" ht="18" customHeight="1">
      <c r="A34" s="1291" t="s">
        <v>1389</v>
      </c>
      <c r="B34" s="164" t="s">
        <v>1441</v>
      </c>
      <c r="C34" s="25">
        <f ca="1">IF(项目基本情况!B11="自然人","——",ROUND(F34*F35/10000,2))</f>
        <v>0</v>
      </c>
      <c r="D34" s="370" t="s">
        <v>1442</v>
      </c>
      <c r="E34" s="347" t="s">
        <v>1443</v>
      </c>
      <c r="F34" s="371">
        <f>'数据-取费表'!B52</f>
        <v>1.5</v>
      </c>
      <c r="G34" s="1850"/>
      <c r="H34" s="742"/>
      <c r="I34" s="1859"/>
      <c r="J34" s="1860"/>
      <c r="K34" s="1862"/>
      <c r="L34" s="1863"/>
      <c r="M34" s="1863"/>
    </row>
    <row r="35" spans="1:18" ht="18" customHeight="1">
      <c r="A35" s="1353"/>
      <c r="B35" s="1351"/>
      <c r="C35" s="29"/>
      <c r="D35" s="373"/>
      <c r="E35" s="347" t="s">
        <v>1447</v>
      </c>
      <c r="F35" s="348">
        <f ca="1">INDIRECT("'数据-取费表'!r"&amp;$G$1)</f>
        <v>0</v>
      </c>
      <c r="G35" s="1850"/>
      <c r="H35" s="742"/>
      <c r="I35" s="1859"/>
      <c r="J35" s="1860"/>
      <c r="K35" s="1861"/>
      <c r="L35" s="1858"/>
      <c r="M35" s="1858"/>
    </row>
    <row r="36" spans="1:18" ht="18" customHeight="1">
      <c r="A36" s="1352" t="s">
        <v>1039</v>
      </c>
      <c r="B36" s="347" t="s">
        <v>1449</v>
      </c>
      <c r="C36" s="24">
        <f ca="1">ROUND(C29*F36,1)</f>
        <v>46</v>
      </c>
      <c r="D36" s="1797" t="s">
        <v>1482</v>
      </c>
      <c r="E36" s="347" t="s">
        <v>1422</v>
      </c>
      <c r="F36" s="374">
        <f ca="1">INDIRECT("'数据-取费表'!Ak"&amp;$G$1)</f>
        <v>0.02</v>
      </c>
      <c r="G36" s="1850"/>
      <c r="H36" s="1858"/>
      <c r="I36" s="1859"/>
      <c r="J36" s="1860"/>
      <c r="K36" s="748"/>
      <c r="L36" s="1858"/>
      <c r="M36" s="1858"/>
    </row>
    <row r="37" spans="1:18" ht="18" customHeight="1">
      <c r="A37" s="1201" t="s">
        <v>1075</v>
      </c>
      <c r="B37" s="347" t="s">
        <v>1453</v>
      </c>
      <c r="C37" s="24">
        <f ca="1">ROUND(C13*F37,1)</f>
        <v>4.3</v>
      </c>
      <c r="D37" s="1797" t="s">
        <v>1454</v>
      </c>
      <c r="E37" s="347" t="s">
        <v>1455</v>
      </c>
      <c r="F37" s="376">
        <f ca="1">INDIRECT("'数据-取费表'!Al"&amp;$G$1)</f>
        <v>2E-3</v>
      </c>
      <c r="G37" s="1850"/>
      <c r="H37" s="1858"/>
      <c r="I37" s="1859"/>
      <c r="J37" s="1860"/>
      <c r="K37" s="748"/>
      <c r="L37" s="1858"/>
      <c r="M37" s="1858"/>
    </row>
    <row r="38" spans="1:18" ht="18" customHeight="1" thickBot="1">
      <c r="A38" s="1339" t="s">
        <v>1393</v>
      </c>
      <c r="B38" s="1340" t="s">
        <v>1439</v>
      </c>
      <c r="C38" s="1341">
        <f ca="1">ROUND(C5*F38,1)</f>
        <v>6.5</v>
      </c>
      <c r="D38" s="1342" t="s">
        <v>1459</v>
      </c>
      <c r="E38" s="1340" t="s">
        <v>1455</v>
      </c>
      <c r="F38" s="1336">
        <f ca="1">INDIRECT("'数据-取费表'!Am"&amp;$G$1)</f>
        <v>0.02</v>
      </c>
      <c r="G38" s="1850"/>
      <c r="H38" s="1858"/>
      <c r="I38" s="1859"/>
      <c r="J38" s="1860"/>
      <c r="K38" s="1864"/>
      <c r="L38" s="1858"/>
      <c r="M38" s="1858"/>
    </row>
    <row r="39" spans="1:18" ht="24.6" customHeight="1" thickTop="1">
      <c r="A39" s="1329" t="s">
        <v>1031</v>
      </c>
      <c r="B39" s="1344" t="s">
        <v>1483</v>
      </c>
      <c r="C39" s="355">
        <f ca="1">C5-C30</f>
        <v>213</v>
      </c>
      <c r="D39" s="1345" t="s">
        <v>1484</v>
      </c>
      <c r="E39" s="1346"/>
      <c r="F39" s="1347"/>
      <c r="G39" s="1850"/>
      <c r="H39" s="1858"/>
      <c r="I39" s="1859"/>
      <c r="J39" s="1860"/>
      <c r="K39" s="1864"/>
      <c r="L39" s="1858"/>
      <c r="M39" s="1858"/>
    </row>
    <row r="40" spans="1:18" ht="18" customHeight="1">
      <c r="A40" s="344" t="s">
        <v>1032</v>
      </c>
      <c r="B40" s="345" t="s">
        <v>1485</v>
      </c>
      <c r="C40" s="346">
        <f ca="1">ROUND(C39*(1-((1+F42)/(1+F40))^F41)/(F40-F42),0)</f>
        <v>4354</v>
      </c>
      <c r="D40" s="370" t="s">
        <v>1469</v>
      </c>
      <c r="E40" s="347" t="s">
        <v>1470</v>
      </c>
      <c r="F40" s="357">
        <f ca="1">INDIRECT("'数据-取费表'!I"&amp;$G$1)</f>
        <v>0.06</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33.090000000000003</v>
      </c>
      <c r="G41" s="1850"/>
      <c r="H41" s="729"/>
      <c r="I41" s="1859"/>
      <c r="J41" s="1860"/>
      <c r="K41" s="748"/>
      <c r="L41" s="729"/>
      <c r="M41" s="729"/>
    </row>
    <row r="42" spans="1:18" ht="18" customHeight="1">
      <c r="A42" s="353"/>
      <c r="B42" s="354"/>
      <c r="C42" s="355"/>
      <c r="D42" s="373"/>
      <c r="E42" s="347" t="s">
        <v>1477</v>
      </c>
      <c r="F42" s="357">
        <f ca="1">INDIRECT("'数据-取费表'!v"&amp;$G$1)</f>
        <v>0.03</v>
      </c>
      <c r="G42" s="1850"/>
      <c r="H42" s="729"/>
      <c r="I42" s="1859"/>
      <c r="J42" s="1860"/>
      <c r="K42" s="748"/>
      <c r="L42" s="729"/>
      <c r="M42" s="729"/>
    </row>
    <row r="43" spans="1:18" ht="18" customHeight="1" thickBot="1">
      <c r="A43" s="380" t="s">
        <v>1033</v>
      </c>
      <c r="B43" s="381" t="s">
        <v>1487</v>
      </c>
      <c r="C43" s="382">
        <f ca="1">ROUND(C40*10000/F43,0)</f>
        <v>10976</v>
      </c>
      <c r="D43" s="383" t="s">
        <v>1488</v>
      </c>
      <c r="E43" s="384" t="s">
        <v>1489</v>
      </c>
      <c r="F43" s="385">
        <f ca="1">INDIRECT("'数据-取费表'!k"&amp;$G$1)</f>
        <v>3966.8800000000006</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5" thickBot="1">
      <c r="A46" s="1869" t="s">
        <v>1520</v>
      </c>
      <c r="C46" s="1870">
        <f ca="1">C68-C40</f>
        <v>-7829</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5" thickBot="1">
      <c r="A47" s="1165" t="s">
        <v>1396</v>
      </c>
      <c r="B47" s="1197" t="s">
        <v>1397</v>
      </c>
      <c r="C47" s="1367" t="s">
        <v>1398</v>
      </c>
      <c r="D47" s="1197" t="s">
        <v>1399</v>
      </c>
      <c r="E47" s="1279" t="s">
        <v>1400</v>
      </c>
      <c r="F47" s="1280"/>
      <c r="G47" s="789"/>
      <c r="I47" s="1879" t="s">
        <v>1526</v>
      </c>
      <c r="J47" s="1880" t="s">
        <v>3382</v>
      </c>
      <c r="K47" s="1881" t="s">
        <v>1527</v>
      </c>
      <c r="L47" s="1882">
        <f ca="1">INDIRECT("'数据-取费表'!d"&amp;$G$1)</f>
        <v>40</v>
      </c>
      <c r="M47" s="1837" t="str">
        <f>IF(ISNUMBER(FIND("住宅",C1)),"住宅","非住宅")</f>
        <v>非住宅</v>
      </c>
      <c r="O47" s="1883" t="s">
        <v>1040</v>
      </c>
      <c r="P47" s="1884" t="s">
        <v>1528</v>
      </c>
      <c r="Q47" s="1885">
        <f ca="1">C40+J29</f>
        <v>4354</v>
      </c>
      <c r="R47" s="1885" t="s">
        <v>1529</v>
      </c>
    </row>
    <row r="48" spans="1:18" s="1841" customFormat="1" ht="28.5" thickBot="1">
      <c r="A48" s="1360" t="s">
        <v>1135</v>
      </c>
      <c r="B48" s="345" t="s">
        <v>1401</v>
      </c>
      <c r="C48" s="1816">
        <f ca="1">C49+C53+C55</f>
        <v>0</v>
      </c>
      <c r="D48" s="1362"/>
      <c r="E48" s="1363"/>
      <c r="F48" s="1181"/>
      <c r="G48" s="789"/>
      <c r="H48" s="790"/>
      <c r="I48" s="1886" t="s">
        <v>1530</v>
      </c>
      <c r="J48" s="1887" t="s">
        <v>3408</v>
      </c>
      <c r="K48" s="1888" t="s">
        <v>1531</v>
      </c>
      <c r="L48" s="1889">
        <f ca="1">INDIRECT("'数据-取费表'!f"&amp;$G$1)</f>
        <v>33.090000000000003</v>
      </c>
      <c r="O48" s="1883" t="s">
        <v>1041</v>
      </c>
      <c r="P48" s="1884" t="s">
        <v>1532</v>
      </c>
      <c r="Q48" s="1885" t="str">
        <f ca="1">J60</f>
        <v>0</v>
      </c>
      <c r="R48" s="1885" t="s">
        <v>1533</v>
      </c>
    </row>
    <row r="49" spans="1:18" s="1841" customFormat="1" ht="13.5" thickBot="1">
      <c r="A49" s="1194" t="s">
        <v>1136</v>
      </c>
      <c r="B49" s="1828" t="s">
        <v>1490</v>
      </c>
      <c r="C49" s="1364">
        <f ca="1">ROUND(F49*F51*F50*(1-F52)/10000,0)</f>
        <v>0</v>
      </c>
      <c r="D49" s="1276" t="s">
        <v>3021</v>
      </c>
      <c r="E49" s="1829" t="s">
        <v>1491</v>
      </c>
      <c r="F49" s="1281"/>
      <c r="G49" s="1890"/>
      <c r="H49" s="790"/>
      <c r="I49" s="1886" t="s">
        <v>1534</v>
      </c>
      <c r="J49" s="1891"/>
      <c r="K49" s="1888" t="s">
        <v>1535</v>
      </c>
      <c r="L49" s="1892"/>
      <c r="O49" s="1893" t="s">
        <v>1042</v>
      </c>
      <c r="P49" s="1884" t="s">
        <v>1536</v>
      </c>
      <c r="Q49" s="1885">
        <f ca="1">C29</f>
        <v>2300</v>
      </c>
      <c r="R49" s="1885" t="s">
        <v>1529</v>
      </c>
    </row>
    <row r="50" spans="1:18" s="1841" customFormat="1" ht="13.5" thickBot="1">
      <c r="A50" s="1195"/>
      <c r="B50" s="1198"/>
      <c r="C50" s="1368"/>
      <c r="D50" s="1172"/>
      <c r="E50" s="1277" t="s">
        <v>1406</v>
      </c>
      <c r="F50" s="1278">
        <f ca="1">F7</f>
        <v>3966.8800000000006</v>
      </c>
      <c r="H50" s="790"/>
      <c r="I50" s="1886" t="s">
        <v>1537</v>
      </c>
      <c r="J50" s="1894">
        <f>SUMPRODUCT((I63:I65=J47)*(J62:L62=J48)*(J63:L65))</f>
        <v>60</v>
      </c>
      <c r="K50" s="1888" t="s">
        <v>1538</v>
      </c>
      <c r="L50" s="1892"/>
      <c r="M50" s="1895"/>
      <c r="O50" s="1893" t="s">
        <v>1043</v>
      </c>
      <c r="P50" s="1884" t="s">
        <v>1539</v>
      </c>
      <c r="Q50" s="1896" t="e">
        <f ca="1">J58</f>
        <v>#VALUE!</v>
      </c>
      <c r="R50" s="1885"/>
    </row>
    <row r="51" spans="1:18" s="1841" customFormat="1" ht="13.5" thickBot="1">
      <c r="A51" s="1196"/>
      <c r="B51" s="1198"/>
      <c r="C51" s="1199"/>
      <c r="D51" s="1172"/>
      <c r="E51" s="1200" t="s">
        <v>1407</v>
      </c>
      <c r="F51" s="348">
        <f ca="1">F8</f>
        <v>365</v>
      </c>
      <c r="I51" s="1897" t="s">
        <v>1540</v>
      </c>
      <c r="J51" s="1898">
        <f>IF(J49="",J50,J49+J50-YEAR('数据-取费表'!B2))</f>
        <v>60</v>
      </c>
      <c r="K51" s="1899" t="s">
        <v>1541</v>
      </c>
      <c r="L51" s="1900">
        <f ca="1">ROUND(-PV(INDIRECT("'数据-取费表'!h"&amp;$G$1),L48,(C39-C13*C76),0),0)</f>
        <v>500</v>
      </c>
      <c r="M51" s="1901"/>
      <c r="O51" s="1893" t="s">
        <v>1044</v>
      </c>
      <c r="P51" s="1884" t="s">
        <v>1542</v>
      </c>
      <c r="Q51" s="1896">
        <f>J52</f>
        <v>0</v>
      </c>
      <c r="R51" s="1885"/>
    </row>
    <row r="52" spans="1:18" s="1841" customFormat="1" ht="13.5" thickBot="1">
      <c r="A52" s="1196"/>
      <c r="B52" s="1198"/>
      <c r="C52" s="1199"/>
      <c r="D52" s="1172"/>
      <c r="E52" s="1200" t="s">
        <v>1408</v>
      </c>
      <c r="F52" s="1275"/>
      <c r="I52" s="1902" t="s">
        <v>1543</v>
      </c>
      <c r="J52" s="1903"/>
      <c r="K52" s="1902" t="s">
        <v>1544</v>
      </c>
      <c r="L52" s="1903"/>
      <c r="O52" s="1893" t="s">
        <v>1045</v>
      </c>
      <c r="P52" s="1884" t="s">
        <v>1545</v>
      </c>
      <c r="Q52" s="1885">
        <f ca="1">J53</f>
        <v>33.090000000000003</v>
      </c>
      <c r="R52" s="1885" t="s">
        <v>1546</v>
      </c>
    </row>
    <row r="53" spans="1:18" s="1841" customFormat="1" ht="24.75" thickBot="1">
      <c r="A53" s="1405" t="s">
        <v>1137</v>
      </c>
      <c r="B53" s="1830" t="s">
        <v>1409</v>
      </c>
      <c r="C53" s="361">
        <f ca="1">ROUND(IF(F53="押一",C49/12*F11,IF(F53="押二",C49/12*2*F11,IF(F53="押三",C49/12*3*F11,C54*F11))),0)</f>
        <v>0</v>
      </c>
      <c r="D53" s="1823" t="s">
        <v>3028</v>
      </c>
      <c r="E53" s="358" t="s">
        <v>1410</v>
      </c>
      <c r="F53" s="1366"/>
      <c r="I53" s="1904" t="s">
        <v>1547</v>
      </c>
      <c r="J53" s="1905">
        <f ca="1">IF(M47="住宅",IF(D1="——",MAX(J51,L48),IF(D1="在建（套用方法）",MAX(J51,L48-'数据-取费表'!B24),MAX(J51,L48-'数据-取费表'!B20))),IF(D1="——",MIN(J51,L48),IF(D1="在建（套用方法）",MIN(J51,L48-'数据-取费表'!B24),IF(D1="土地（套用方法）",MIN(J51,L48-'数据-取费表'!B20)))))</f>
        <v>33.090000000000003</v>
      </c>
      <c r="K53" s="3164" t="s">
        <v>1548</v>
      </c>
      <c r="L53" s="3165"/>
      <c r="O53" s="1883" t="s">
        <v>1046</v>
      </c>
      <c r="P53" s="1884" t="s">
        <v>1549</v>
      </c>
      <c r="Q53" s="1885">
        <f ca="1">Q47+Q48</f>
        <v>4354</v>
      </c>
      <c r="R53" s="1885" t="s">
        <v>1047</v>
      </c>
    </row>
    <row r="54" spans="1:18" s="1841" customFormat="1" ht="13.5" thickBot="1">
      <c r="A54" s="1406"/>
      <c r="B54" s="1824" t="s">
        <v>1388</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3" t="s">
        <v>1075</v>
      </c>
      <c r="B55" s="1826" t="s">
        <v>1413</v>
      </c>
      <c r="C55" s="1334"/>
      <c r="D55" s="1823"/>
      <c r="E55" s="1831"/>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25.5" thickTop="1" thickBot="1">
      <c r="A56" s="1176">
        <v>2</v>
      </c>
      <c r="B56" s="1177" t="s">
        <v>1414</v>
      </c>
      <c r="C56" s="276">
        <f ca="1">C13</f>
        <v>2139</v>
      </c>
      <c r="D56" s="1913"/>
      <c r="E56" s="1914"/>
      <c r="F56" s="1906"/>
      <c r="I56" s="1915" t="s">
        <v>1554</v>
      </c>
      <c r="J56" s="1916" t="s">
        <v>3301</v>
      </c>
      <c r="K56" s="1886" t="s">
        <v>1555</v>
      </c>
      <c r="L56" s="1889" t="str">
        <f ca="1">IF(L48&lt;J51,"——",L48-J53)</f>
        <v>——</v>
      </c>
      <c r="O56" s="1883" t="s">
        <v>1040</v>
      </c>
      <c r="P56" s="1884" t="s">
        <v>1528</v>
      </c>
      <c r="Q56" s="1885">
        <f ca="1">C40+J29</f>
        <v>4354</v>
      </c>
      <c r="R56" s="1885" t="s">
        <v>1529</v>
      </c>
    </row>
    <row r="57" spans="1:18" s="1841" customFormat="1" ht="24.75" thickBot="1">
      <c r="A57" s="1917"/>
      <c r="B57" s="1169" t="s">
        <v>1478</v>
      </c>
      <c r="C57" s="282">
        <f ca="1">C29</f>
        <v>2300</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7" t="s">
        <v>1424</v>
      </c>
      <c r="C58" s="361">
        <f ca="1">ROUND(C59+C64+C65+C66,0)</f>
        <v>244</v>
      </c>
      <c r="D58" s="1179" t="s">
        <v>1425</v>
      </c>
      <c r="E58" s="1180"/>
      <c r="F58" s="1181"/>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ROUND(IF(项目基本情况!B11="自然人",C48*F59,C60+C61+C62),1)</f>
        <v>193.2</v>
      </c>
      <c r="D59" s="1182" t="s">
        <v>1430</v>
      </c>
      <c r="E59" s="1183" t="s">
        <v>1431</v>
      </c>
      <c r="F59" s="368"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IF(项目基本情况!B11="自然人","——",ROUND(C48*F60/(1+'数据-取费表'!C42),2))</f>
        <v>0</v>
      </c>
      <c r="D60" s="1183" t="s">
        <v>1434</v>
      </c>
      <c r="E60" s="1169" t="s">
        <v>1422</v>
      </c>
      <c r="F60" s="377">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5" thickBot="1">
      <c r="A61" s="1201" t="s">
        <v>1492</v>
      </c>
      <c r="B61" s="1169" t="s">
        <v>1493</v>
      </c>
      <c r="C61" s="24">
        <f ca="1">IF(项目基本情况!B11="自然人","——",IF(D61="按租金收入计税",ROUND(C48*F61,2),IF(D61="按房产原值计税",ROUND(C57*F61*0.7,2),INDIRECT("'数据-取费表'!Aj"&amp;$G$1))))</f>
        <v>193.2</v>
      </c>
      <c r="D61" s="1827" t="s">
        <v>1438</v>
      </c>
      <c r="E61" s="1169" t="s">
        <v>1494</v>
      </c>
      <c r="F61" s="367">
        <f t="shared" si="0"/>
        <v>0.12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1" t="s">
        <v>1495</v>
      </c>
      <c r="B62" s="1168" t="s">
        <v>1496</v>
      </c>
      <c r="C62" s="25">
        <f ca="1">IF(项目基本情况!B11="自然人","——",ROUND(F62*F63/10000,2))</f>
        <v>0</v>
      </c>
      <c r="D62" s="1184" t="s">
        <v>1497</v>
      </c>
      <c r="E62" s="1169" t="s">
        <v>1498</v>
      </c>
      <c r="F62" s="371">
        <f t="shared" si="0"/>
        <v>1.5</v>
      </c>
      <c r="I62" s="1928" t="s">
        <v>1570</v>
      </c>
      <c r="J62" s="1929" t="s">
        <v>1571</v>
      </c>
      <c r="K62" s="1929" t="s">
        <v>1572</v>
      </c>
      <c r="L62" s="1929" t="s">
        <v>1573</v>
      </c>
      <c r="M62" s="1930" t="s">
        <v>1574</v>
      </c>
      <c r="O62" s="1883" t="s">
        <v>1046</v>
      </c>
      <c r="P62" s="1884" t="s">
        <v>1575</v>
      </c>
      <c r="Q62" s="1885">
        <f ca="1">Q56+Q57</f>
        <v>4354</v>
      </c>
      <c r="R62" s="1885" t="s">
        <v>1047</v>
      </c>
    </row>
    <row r="63" spans="1:18" s="1841" customFormat="1" ht="13.5" thickBot="1">
      <c r="A63" s="372"/>
      <c r="B63" s="1175"/>
      <c r="C63" s="29"/>
      <c r="D63" s="1185"/>
      <c r="E63" s="1169"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4">
        <f ca="1">ROUND(C57*F64,1)</f>
        <v>46</v>
      </c>
      <c r="D64" s="1183" t="s">
        <v>1502</v>
      </c>
      <c r="E64" s="1169" t="s">
        <v>1494</v>
      </c>
      <c r="F64" s="374">
        <f t="shared" ca="1" si="0"/>
        <v>0.02</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ROUND(C56*F65,1)</f>
        <v>4.3</v>
      </c>
      <c r="D65" s="1183" t="s">
        <v>1454</v>
      </c>
      <c r="E65" s="1169" t="s">
        <v>1455</v>
      </c>
      <c r="F65" s="376">
        <f t="shared" ca="1" si="0"/>
        <v>2E-3</v>
      </c>
      <c r="I65" s="1928" t="s">
        <v>1579</v>
      </c>
      <c r="J65" s="1929">
        <v>40</v>
      </c>
      <c r="K65" s="1929">
        <v>30</v>
      </c>
      <c r="L65" s="1929">
        <v>50</v>
      </c>
      <c r="M65" s="1931">
        <v>0.02</v>
      </c>
      <c r="O65" s="1883" t="s">
        <v>1040</v>
      </c>
      <c r="P65" s="1884" t="s">
        <v>1580</v>
      </c>
      <c r="Q65" s="1885">
        <f ca="1">C40+J29</f>
        <v>4354</v>
      </c>
      <c r="R65" s="1885" t="s">
        <v>1529</v>
      </c>
    </row>
    <row r="66" spans="1:18" s="1841" customFormat="1" ht="16.5" thickBot="1">
      <c r="A66" s="1201" t="s">
        <v>1504</v>
      </c>
      <c r="B66" s="1169" t="s">
        <v>1439</v>
      </c>
      <c r="C66" s="24">
        <f ca="1">ROUND(C48*F66,1)</f>
        <v>0</v>
      </c>
      <c r="D66" s="1183" t="s">
        <v>1505</v>
      </c>
      <c r="E66" s="1169" t="s">
        <v>1422</v>
      </c>
      <c r="F66" s="357">
        <f t="shared" ca="1" si="0"/>
        <v>0.02</v>
      </c>
      <c r="O66" s="1883" t="s">
        <v>1041</v>
      </c>
      <c r="P66" s="1884" t="s">
        <v>1558</v>
      </c>
      <c r="Q66" s="1885">
        <f ca="1">L60</f>
        <v>0</v>
      </c>
      <c r="R66" s="1885" t="s">
        <v>1581</v>
      </c>
    </row>
    <row r="67" spans="1:18" s="1841" customFormat="1" ht="16.5" thickBot="1">
      <c r="A67" s="1176" t="s">
        <v>1031</v>
      </c>
      <c r="B67" s="1186" t="s">
        <v>1463</v>
      </c>
      <c r="C67" s="361">
        <f ca="1">C48-C58</f>
        <v>-244</v>
      </c>
      <c r="D67" s="1182" t="s">
        <v>1464</v>
      </c>
      <c r="E67" s="1187"/>
      <c r="F67" s="1188"/>
      <c r="O67" s="1893" t="s">
        <v>1042</v>
      </c>
      <c r="P67" s="1884" t="s">
        <v>1562</v>
      </c>
      <c r="Q67" s="1932">
        <f ca="1">L51</f>
        <v>500</v>
      </c>
      <c r="R67" s="1885" t="s">
        <v>1582</v>
      </c>
    </row>
    <row r="68" spans="1:18" s="1841" customFormat="1" ht="16.5" thickBot="1">
      <c r="A68" s="1166" t="s">
        <v>1032</v>
      </c>
      <c r="B68" s="1167" t="s">
        <v>1485</v>
      </c>
      <c r="C68" s="346">
        <f ca="1">ROUND(C67*(1-((1+F70)/(1+F68))^F69)/(F68-F70),0)</f>
        <v>-3475</v>
      </c>
      <c r="D68" s="1184" t="s">
        <v>1469</v>
      </c>
      <c r="E68" s="1169" t="s">
        <v>1470</v>
      </c>
      <c r="F68" s="357">
        <f ca="1">F40</f>
        <v>0.06</v>
      </c>
      <c r="O68" s="1893" t="s">
        <v>1043</v>
      </c>
      <c r="P68" s="1933" t="s">
        <v>1583</v>
      </c>
      <c r="Q68" s="1885">
        <f ca="1">ROUND(Q69-Q70*Q71,0)</f>
        <v>31</v>
      </c>
      <c r="R68" s="1885" t="s">
        <v>1051</v>
      </c>
    </row>
    <row r="69" spans="1:18" s="1841" customFormat="1" ht="13.5" thickBot="1">
      <c r="A69" s="1170"/>
      <c r="B69" s="1171"/>
      <c r="C69" s="351"/>
      <c r="D69" s="1189" t="s">
        <v>1473</v>
      </c>
      <c r="E69" s="1169" t="s">
        <v>1474</v>
      </c>
      <c r="F69" s="379">
        <f ca="1">F41</f>
        <v>33.090000000000003</v>
      </c>
      <c r="O69" s="1893" t="s">
        <v>1048</v>
      </c>
      <c r="P69" s="1933" t="s">
        <v>1584</v>
      </c>
      <c r="Q69" s="1885">
        <f ca="1">C39</f>
        <v>213</v>
      </c>
      <c r="R69" s="1885" t="s">
        <v>1529</v>
      </c>
    </row>
    <row r="70" spans="1:18" s="1841" customFormat="1" ht="13.5" thickBot="1">
      <c r="A70" s="1173"/>
      <c r="B70" s="1174"/>
      <c r="C70" s="355"/>
      <c r="D70" s="1185"/>
      <c r="E70" s="1169" t="s">
        <v>1477</v>
      </c>
      <c r="F70" s="1275"/>
      <c r="O70" s="1893" t="s">
        <v>1049</v>
      </c>
      <c r="P70" s="1933" t="s">
        <v>1585</v>
      </c>
      <c r="Q70" s="1885">
        <f ca="1">C13</f>
        <v>2139</v>
      </c>
      <c r="R70" s="1885" t="s">
        <v>1529</v>
      </c>
    </row>
    <row r="71" spans="1:18" s="1841" customFormat="1" ht="13.5" thickBot="1">
      <c r="A71" s="1190" t="s">
        <v>1033</v>
      </c>
      <c r="B71" s="1191" t="s">
        <v>1487</v>
      </c>
      <c r="C71" s="382">
        <f ca="1">ROUND(C68*10000/F71,0)</f>
        <v>-8760</v>
      </c>
      <c r="D71" s="1192" t="s">
        <v>1488</v>
      </c>
      <c r="E71" s="1193" t="s">
        <v>1489</v>
      </c>
      <c r="F71" s="385">
        <f ca="1">F43</f>
        <v>3966.8800000000006</v>
      </c>
      <c r="O71" s="1893" t="s">
        <v>1050</v>
      </c>
      <c r="P71" s="1933" t="s">
        <v>1586</v>
      </c>
      <c r="Q71" s="1896">
        <f ca="1">C76</f>
        <v>8.5000000000000006E-2</v>
      </c>
      <c r="R71" s="1885"/>
    </row>
    <row r="72" spans="1:18" s="1841" customFormat="1" ht="13.5" thickBot="1">
      <c r="B72" s="793"/>
      <c r="C72" s="793"/>
      <c r="O72" s="1893" t="s">
        <v>1044</v>
      </c>
      <c r="P72" s="1884" t="s">
        <v>1564</v>
      </c>
      <c r="Q72" s="1896">
        <f>L52</f>
        <v>0</v>
      </c>
      <c r="R72" s="1885"/>
    </row>
    <row r="73" spans="1:18" ht="16.5" thickBot="1">
      <c r="A73" s="1841"/>
      <c r="B73" s="793"/>
      <c r="C73" s="793"/>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182</v>
      </c>
      <c r="D75" s="1841"/>
      <c r="E75" s="1841"/>
      <c r="F75" s="1841"/>
      <c r="K75" s="1867"/>
      <c r="L75" s="1841"/>
      <c r="O75" s="1883" t="s">
        <v>1046</v>
      </c>
      <c r="P75" s="1884" t="s">
        <v>1549</v>
      </c>
      <c r="Q75" s="1885">
        <f ca="1">Q65+Q66</f>
        <v>4354</v>
      </c>
      <c r="R75" s="1885" t="s">
        <v>1047</v>
      </c>
    </row>
    <row r="76" spans="1:18">
      <c r="B76" s="388" t="s">
        <v>1507</v>
      </c>
      <c r="C76" s="389">
        <f ca="1">INDIRECT("'数据-取费表'!j"&amp;$G$1)</f>
        <v>8.5000000000000006E-2</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0.14600000000000002</v>
      </c>
    </row>
    <row r="80" spans="1:18">
      <c r="B80" s="386" t="s">
        <v>1511</v>
      </c>
      <c r="C80" s="318">
        <f ca="1">ROUND(C75/C39,3)</f>
        <v>0.85399999999999998</v>
      </c>
    </row>
    <row r="81" spans="2:3">
      <c r="B81" s="314" t="s">
        <v>1512</v>
      </c>
      <c r="C81" s="282"/>
    </row>
    <row r="82" spans="2:3">
      <c r="B82" s="317" t="s">
        <v>1513</v>
      </c>
      <c r="C82" s="319">
        <f ca="1">1-C83</f>
        <v>0.50900000000000001</v>
      </c>
    </row>
    <row r="83" spans="2:3">
      <c r="B83" s="317" t="s">
        <v>1514</v>
      </c>
      <c r="C83" s="318">
        <f ca="1">ROUND(C13/C40,3)</f>
        <v>0.49099999999999999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79"/>
      <c r="C1" s="1836"/>
      <c r="D1" s="1819"/>
      <c r="E1" s="1820" t="s">
        <v>1387</v>
      </c>
      <c r="F1" s="1283" t="b">
        <f>J53</f>
        <v>0</v>
      </c>
      <c r="G1" s="1835">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1590</v>
      </c>
      <c r="B2" s="1843" t="e">
        <f ca="1">ROUND(D2/10000,0)</f>
        <v>#DIV/0!</v>
      </c>
      <c r="C2" s="1844" t="s">
        <v>1591</v>
      </c>
      <c r="D2" s="1937" t="e">
        <f ca="1">C40+J29+L46</f>
        <v>#DIV/0!</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1" t="s">
        <v>1588</v>
      </c>
      <c r="I3" s="1839"/>
      <c r="J3" s="1839"/>
      <c r="K3" s="1840"/>
      <c r="L3" s="1839"/>
      <c r="M3" s="1839"/>
    </row>
    <row r="4" spans="1:37" ht="18" customHeight="1">
      <c r="A4" s="340" t="s">
        <v>1595</v>
      </c>
      <c r="B4" s="341" t="s">
        <v>1596</v>
      </c>
      <c r="C4" s="341" t="s">
        <v>1597</v>
      </c>
      <c r="D4" s="341" t="s">
        <v>1598</v>
      </c>
      <c r="E4" s="342" t="s">
        <v>1599</v>
      </c>
      <c r="F4" s="343"/>
      <c r="G4" s="1850"/>
      <c r="H4" s="340" t="s">
        <v>1595</v>
      </c>
      <c r="I4" s="341" t="s">
        <v>1596</v>
      </c>
      <c r="J4" s="341" t="s">
        <v>1597</v>
      </c>
      <c r="K4" s="341" t="s">
        <v>1598</v>
      </c>
      <c r="L4" s="342" t="s">
        <v>1599</v>
      </c>
      <c r="M4" s="343"/>
    </row>
    <row r="5" spans="1:37" ht="18" customHeight="1">
      <c r="A5" s="344">
        <v>1</v>
      </c>
      <c r="B5" s="345" t="s">
        <v>1600</v>
      </c>
      <c r="C5" s="1292">
        <f ca="1">C6+C10+C12</f>
        <v>0</v>
      </c>
      <c r="D5" s="1821" t="s">
        <v>1601</v>
      </c>
      <c r="E5" s="1293"/>
      <c r="F5" s="1294"/>
      <c r="G5" s="1850"/>
      <c r="H5" s="344">
        <v>1</v>
      </c>
      <c r="I5" s="345" t="s">
        <v>1600</v>
      </c>
      <c r="J5" s="1292">
        <f ca="1">J6+J10+J12</f>
        <v>0</v>
      </c>
      <c r="K5" s="1821" t="s">
        <v>1601</v>
      </c>
      <c r="L5" s="1293"/>
      <c r="M5" s="1294"/>
    </row>
    <row r="6" spans="1:37" ht="18" customHeight="1">
      <c r="A6" s="1291" t="s">
        <v>1035</v>
      </c>
      <c r="B6" s="3161" t="s">
        <v>1403</v>
      </c>
      <c r="C6" s="1296">
        <f ca="1">ROUND(F6*F8*F7*(1-F9),0)</f>
        <v>0</v>
      </c>
      <c r="D6" s="164" t="s">
        <v>3017</v>
      </c>
      <c r="E6" s="347" t="s">
        <v>1405</v>
      </c>
      <c r="F6" s="348">
        <f ca="1">INDIRECT("'数据-取费表'!u"&amp;$G$1)</f>
        <v>0</v>
      </c>
      <c r="G6" s="1850"/>
      <c r="H6" s="1291" t="s">
        <v>1035</v>
      </c>
      <c r="I6" s="3161" t="s">
        <v>1403</v>
      </c>
      <c r="J6" s="346">
        <f ca="1">ROUND(M6*M8*M7*(1-M9),0)</f>
        <v>0</v>
      </c>
      <c r="K6" s="1833" t="s">
        <v>3018</v>
      </c>
      <c r="L6" s="347" t="s">
        <v>1405</v>
      </c>
      <c r="M6" s="348">
        <f ca="1">INDIRECT("'数据-取费表'!z"&amp;$G$1)</f>
        <v>0</v>
      </c>
    </row>
    <row r="7" spans="1:37" ht="18" customHeight="1">
      <c r="A7" s="1295"/>
      <c r="B7" s="3162"/>
      <c r="C7" s="1297"/>
      <c r="D7" s="352"/>
      <c r="E7" s="1298" t="s">
        <v>1406</v>
      </c>
      <c r="F7" s="348">
        <f ca="1">IF(INDIRECT("'数据-取费表'!ah"&amp;$G$1)="",INDIRECT("'数据-取费表'!k"&amp;$G$1),INDIRECT("'数据-取费表'!ah"&amp;$G$1))</f>
        <v>0</v>
      </c>
      <c r="G7" s="1850"/>
      <c r="H7" s="349"/>
      <c r="I7" s="3162"/>
      <c r="J7" s="351"/>
      <c r="K7" s="352"/>
      <c r="L7" s="347" t="s">
        <v>1406</v>
      </c>
      <c r="M7" s="348">
        <f ca="1">F7</f>
        <v>0</v>
      </c>
    </row>
    <row r="8" spans="1:37" ht="18" customHeight="1">
      <c r="A8" s="349"/>
      <c r="B8" s="3162"/>
      <c r="C8" s="351"/>
      <c r="D8" s="352"/>
      <c r="E8" s="347" t="s">
        <v>1407</v>
      </c>
      <c r="F8" s="348">
        <f ca="1">INDIRECT("'数据-取费表'!ai"&amp;$G$1)</f>
        <v>0</v>
      </c>
      <c r="G8" s="1850"/>
      <c r="H8" s="349"/>
      <c r="I8" s="3162"/>
      <c r="J8" s="351"/>
      <c r="K8" s="352"/>
      <c r="L8" s="347" t="s">
        <v>1407</v>
      </c>
      <c r="M8" s="348">
        <f ca="1">INDIRECT("'数据-取费表'!ai"&amp;$G$1)</f>
        <v>0</v>
      </c>
    </row>
    <row r="9" spans="1:37" ht="18" customHeight="1">
      <c r="A9" s="349"/>
      <c r="B9" s="3163"/>
      <c r="C9" s="351"/>
      <c r="D9" s="352"/>
      <c r="E9" s="347" t="s">
        <v>1408</v>
      </c>
      <c r="F9" s="357">
        <f ca="1">INDIRECT("'数据-取费表'!w"&amp;$G$1)</f>
        <v>0</v>
      </c>
      <c r="G9" s="1850"/>
      <c r="H9" s="349"/>
      <c r="I9" s="3163"/>
      <c r="J9" s="351"/>
      <c r="K9" s="352"/>
      <c r="L9" s="358" t="s">
        <v>1408</v>
      </c>
      <c r="M9" s="359">
        <f ca="1">INDIRECT("'数据-取费表'!ab"&amp;$G$1)</f>
        <v>0</v>
      </c>
    </row>
    <row r="10" spans="1:37" ht="18" customHeight="1">
      <c r="A10" s="1291" t="s">
        <v>1039</v>
      </c>
      <c r="B10" s="1822" t="s">
        <v>1409</v>
      </c>
      <c r="C10" s="361">
        <f ca="1">ROUND(IF(F10="押一",C6/12*F11,IF(F10="押二",C6/12*2*F11,IF(F10="押三",C6/12*3*F11,C11*F11))),0)</f>
        <v>0</v>
      </c>
      <c r="D10" s="1823" t="s">
        <v>3028</v>
      </c>
      <c r="E10" s="358" t="s">
        <v>1410</v>
      </c>
      <c r="F10" s="1366"/>
      <c r="G10" s="1850"/>
      <c r="H10" s="1291" t="s">
        <v>1039</v>
      </c>
      <c r="I10" s="1822" t="s">
        <v>1409</v>
      </c>
      <c r="J10" s="346">
        <f ca="1">ROUND(IF(M10="押一",J6/12*M11,IF(M10="押二",J6/12*2*M11,IF(M10="押三",J6/12*3*M11,J11*M11))),0)</f>
        <v>0</v>
      </c>
      <c r="K10" s="1834" t="s">
        <v>3030</v>
      </c>
      <c r="L10" s="358" t="s">
        <v>1410</v>
      </c>
      <c r="M10" s="1366"/>
    </row>
    <row r="11" spans="1:37" ht="18" customHeight="1">
      <c r="A11" s="353"/>
      <c r="B11" s="1824" t="s">
        <v>1602</v>
      </c>
      <c r="C11" s="1178"/>
      <c r="D11" s="352"/>
      <c r="E11" s="358" t="s">
        <v>1412</v>
      </c>
      <c r="F11" s="359">
        <f ca="1">'数据-取费表'!B39</f>
        <v>1.4999999999999999E-2</v>
      </c>
      <c r="G11" s="1850"/>
      <c r="H11" s="1299"/>
      <c r="I11" s="1824" t="s">
        <v>1603</v>
      </c>
      <c r="J11" s="1178"/>
      <c r="K11" s="745"/>
      <c r="L11" s="358" t="s">
        <v>1412</v>
      </c>
      <c r="M11" s="1056">
        <f ca="1">'数据-取费表'!B39</f>
        <v>1.4999999999999999E-2</v>
      </c>
    </row>
    <row r="12" spans="1:37" ht="18" customHeight="1" thickBot="1">
      <c r="A12" s="1333" t="s">
        <v>1075</v>
      </c>
      <c r="B12" s="1826" t="s">
        <v>1413</v>
      </c>
      <c r="C12" s="1334"/>
      <c r="D12" s="1335"/>
      <c r="E12" s="1340"/>
      <c r="F12" s="1336"/>
      <c r="G12" s="1850"/>
      <c r="H12" s="1333" t="s">
        <v>1075</v>
      </c>
      <c r="I12" s="1826"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0"/>
      <c r="H13" s="1329">
        <v>2</v>
      </c>
      <c r="I13" s="1330" t="s">
        <v>1414</v>
      </c>
      <c r="J13" s="1290">
        <f ca="1">ROUND(J14*J15,0)</f>
        <v>0</v>
      </c>
      <c r="K13" s="1337" t="s">
        <v>1415</v>
      </c>
      <c r="L13" s="1851"/>
      <c r="M13" s="1852"/>
    </row>
    <row r="14" spans="1:37" ht="18" customHeight="1">
      <c r="A14" s="1201" t="s">
        <v>1034</v>
      </c>
      <c r="B14" s="347" t="s">
        <v>1417</v>
      </c>
      <c r="C14" s="363">
        <f ca="1">ROUND(INDIRECT("'数据-取费表'!l"&amp;$G$1)*F43+'数据-取费表'!L14*INDIRECT("'数据-取费表'!S"&amp;$G$1),0)</f>
        <v>0</v>
      </c>
      <c r="D14" s="1799" t="s">
        <v>1418</v>
      </c>
      <c r="E14" s="1793"/>
      <c r="F14" s="364"/>
      <c r="G14" s="1850"/>
      <c r="H14" s="1201" t="s">
        <v>1035</v>
      </c>
      <c r="I14" s="347" t="s">
        <v>1419</v>
      </c>
      <c r="J14" s="24">
        <f ca="1">C29</f>
        <v>0</v>
      </c>
      <c r="K14" s="15"/>
      <c r="L14" s="979"/>
      <c r="M14" s="980"/>
    </row>
    <row r="15" spans="1:37" s="1857" customFormat="1" ht="18" customHeight="1" thickBot="1">
      <c r="A15" s="1201" t="s">
        <v>1036</v>
      </c>
      <c r="B15" s="347" t="s">
        <v>1420</v>
      </c>
      <c r="C15" s="24">
        <f ca="1">ROUND(C14*F15,0)</f>
        <v>0</v>
      </c>
      <c r="D15" s="365" t="s">
        <v>1421</v>
      </c>
      <c r="E15" s="365" t="s">
        <v>1422</v>
      </c>
      <c r="F15" s="366">
        <f>'数据-取费表'!B33</f>
        <v>0.03</v>
      </c>
      <c r="G15" s="1853"/>
      <c r="H15" s="1339" t="s">
        <v>1039</v>
      </c>
      <c r="I15" s="1340" t="s">
        <v>1416</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0"/>
      <c r="H16" s="1329" t="s">
        <v>1030</v>
      </c>
      <c r="I16" s="1330" t="s">
        <v>1424</v>
      </c>
      <c r="J16" s="355">
        <f ca="1">ROUND(J17+J22+J23+J24,0)</f>
        <v>0</v>
      </c>
      <c r="K16" s="1337" t="s">
        <v>1425</v>
      </c>
      <c r="L16" s="1338"/>
      <c r="M16" s="1294"/>
    </row>
    <row r="17" spans="1:37" s="1857" customFormat="1" ht="18" customHeight="1">
      <c r="A17" s="1201" t="s">
        <v>1390</v>
      </c>
      <c r="B17" s="347" t="s">
        <v>1426</v>
      </c>
      <c r="C17" s="24">
        <f ca="1">ROUND(F17*(F43+INDIRECT("'数据-取费表'!S"&amp;$G$1)),0)</f>
        <v>0</v>
      </c>
      <c r="D17" s="347" t="s">
        <v>1427</v>
      </c>
      <c r="E17" s="347" t="s">
        <v>1428</v>
      </c>
      <c r="F17" s="26">
        <f>'数据-取费表'!B35</f>
        <v>200</v>
      </c>
      <c r="G17" s="1853"/>
      <c r="H17" s="1201" t="s">
        <v>1035</v>
      </c>
      <c r="I17" s="347" t="s">
        <v>1429</v>
      </c>
      <c r="J17" s="24">
        <f ca="1">ROUND(IF(项目基本情况!B11="自然人",J5*M17,J18+J19+J20),0)</f>
        <v>0</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1391</v>
      </c>
      <c r="B18" s="347" t="s">
        <v>1432</v>
      </c>
      <c r="C18" s="24">
        <f ca="1">ROUND(C14*F18,0)</f>
        <v>0</v>
      </c>
      <c r="D18" s="347" t="s">
        <v>1421</v>
      </c>
      <c r="E18" s="347" t="s">
        <v>1422</v>
      </c>
      <c r="F18" s="367">
        <f>'数据-取费表'!B36</f>
        <v>1.4999999999999999E-2</v>
      </c>
      <c r="G18" s="1853"/>
      <c r="H18" s="1201" t="s">
        <v>1034</v>
      </c>
      <c r="I18" s="347" t="s">
        <v>1433</v>
      </c>
      <c r="J18" s="24">
        <f ca="1">ROUND(J5*M18/(1+'数据-取费表'!C42),0)</f>
        <v>0</v>
      </c>
      <c r="K18" s="1797" t="s">
        <v>1434</v>
      </c>
      <c r="L18" s="347" t="s">
        <v>1422</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7" t="s">
        <v>1435</v>
      </c>
      <c r="C19" s="24">
        <f ca="1">SUM(C14:C18)</f>
        <v>0</v>
      </c>
      <c r="D19" s="140" t="s">
        <v>1436</v>
      </c>
      <c r="E19" s="1817"/>
      <c r="F19" s="26"/>
      <c r="G19" s="1850"/>
      <c r="H19" s="1201" t="s">
        <v>1036</v>
      </c>
      <c r="I19" s="347" t="s">
        <v>1437</v>
      </c>
      <c r="J19" s="24">
        <f ca="1">IF(K19="按租金收入计税",ROUND(J5*M19,0),ROUND(C29*M19*0.7,0))</f>
        <v>0</v>
      </c>
      <c r="K19" s="1827" t="s">
        <v>1438</v>
      </c>
      <c r="L19" s="347" t="s">
        <v>1422</v>
      </c>
      <c r="M19" s="367">
        <f>IF(K19="按租金收入计税",'数据-取费表'!B51,'数据-取费表'!B50)</f>
        <v>1.2E-2</v>
      </c>
    </row>
    <row r="20" spans="1:37" s="1857" customFormat="1" ht="18" customHeight="1">
      <c r="A20" s="1201" t="s">
        <v>1039</v>
      </c>
      <c r="B20" s="347" t="s">
        <v>1439</v>
      </c>
      <c r="C20" s="24">
        <f ca="1">ROUND(C19*F20,0)</f>
        <v>0</v>
      </c>
      <c r="D20" s="369" t="s">
        <v>1440</v>
      </c>
      <c r="E20" s="347" t="s">
        <v>1422</v>
      </c>
      <c r="F20" s="367">
        <f>'数据-取费表'!B37</f>
        <v>0.02</v>
      </c>
      <c r="G20" s="1853"/>
      <c r="H20" s="1201" t="s">
        <v>1389</v>
      </c>
      <c r="I20" s="164" t="s">
        <v>1441</v>
      </c>
      <c r="J20" s="25">
        <f ca="1">ROUND(M20*M21,0)</f>
        <v>0</v>
      </c>
      <c r="K20" s="370" t="s">
        <v>1442</v>
      </c>
      <c r="L20" s="347" t="s">
        <v>1443</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7" t="s">
        <v>1444</v>
      </c>
      <c r="C21" s="24" t="s">
        <v>1</v>
      </c>
      <c r="D21" s="369" t="s">
        <v>1445</v>
      </c>
      <c r="E21" s="347" t="s">
        <v>1446</v>
      </c>
      <c r="F21" s="367">
        <f>'数据-取费表'!B38</f>
        <v>0.02</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7"/>
      <c r="F22" s="26"/>
      <c r="G22" s="1850"/>
      <c r="H22" s="1201" t="s">
        <v>1039</v>
      </c>
      <c r="I22" s="347" t="s">
        <v>1449</v>
      </c>
      <c r="J22" s="24">
        <f ca="1">ROUND(J14*M22,0)</f>
        <v>0</v>
      </c>
      <c r="K22" s="1797" t="s">
        <v>1450</v>
      </c>
      <c r="L22" s="347" t="s">
        <v>1422</v>
      </c>
      <c r="M22" s="374">
        <f ca="1">INDIRECT("'数据-取费表'!Ak"&amp;$G$1)</f>
        <v>0</v>
      </c>
    </row>
    <row r="23" spans="1:37" s="1857"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3"/>
      <c r="H23" s="1201" t="s">
        <v>1075</v>
      </c>
      <c r="I23" s="347" t="s">
        <v>1453</v>
      </c>
      <c r="J23" s="24">
        <f ca="1">ROUND(J13*M23,0)</f>
        <v>0</v>
      </c>
      <c r="K23" s="1797" t="s">
        <v>1454</v>
      </c>
      <c r="L23" s="347" t="s">
        <v>1455</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3"/>
      <c r="H24" s="1339" t="s">
        <v>1393</v>
      </c>
      <c r="I24" s="1340" t="s">
        <v>1439</v>
      </c>
      <c r="J24" s="1341">
        <f ca="1">ROUND(J5*M24,0)</f>
        <v>0</v>
      </c>
      <c r="K24" s="1342" t="s">
        <v>1459</v>
      </c>
      <c r="L24" s="1340" t="s">
        <v>1455</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1460</v>
      </c>
      <c r="B25" s="347" t="s">
        <v>1461</v>
      </c>
      <c r="C25" s="24"/>
      <c r="D25" s="140" t="s">
        <v>1462</v>
      </c>
      <c r="E25" s="1817"/>
      <c r="F25" s="26"/>
      <c r="G25" s="1850"/>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50"/>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0"/>
      <c r="H27" s="349"/>
      <c r="I27" s="350"/>
      <c r="J27" s="351"/>
      <c r="K27" s="378" t="s">
        <v>1473</v>
      </c>
      <c r="L27" s="347" t="s">
        <v>1474</v>
      </c>
      <c r="M27" s="379">
        <f ca="1">INDIRECT("'数据-取费表'!ag"&amp;$G$1)</f>
        <v>0</v>
      </c>
    </row>
    <row r="28" spans="1:37" s="1857" customFormat="1" ht="18" customHeight="1">
      <c r="A28" s="1201" t="s">
        <v>1037</v>
      </c>
      <c r="B28" s="347" t="s">
        <v>1475</v>
      </c>
      <c r="C28" s="24">
        <f>ROUND(F28/(1+'数据-取费表'!C42),4)</f>
        <v>5.2400000000000002E-2</v>
      </c>
      <c r="D28" s="369" t="s">
        <v>1476</v>
      </c>
      <c r="E28" s="347" t="s">
        <v>1422</v>
      </c>
      <c r="F28" s="367">
        <f>'数据-取费表'!B41</f>
        <v>5.5000000000000007E-2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1478</v>
      </c>
      <c r="C29" s="1341">
        <f ca="1">ROUND((C19+C20+C23+C26)/(1-F21-C24-C27-C28),0)</f>
        <v>0</v>
      </c>
      <c r="D29" s="1342"/>
      <c r="E29" s="1340"/>
      <c r="F29" s="1343"/>
      <c r="G29" s="1853"/>
      <c r="H29" s="380" t="s">
        <v>1033</v>
      </c>
      <c r="I29" s="381" t="s">
        <v>1479</v>
      </c>
      <c r="J29" s="382">
        <f ca="1">ROUND(J26/(1+F40)^F41,0)</f>
        <v>0</v>
      </c>
      <c r="K29" s="383" t="s">
        <v>1480</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1424</v>
      </c>
      <c r="C30" s="355">
        <f ca="1">ROUND(C31+C36+C37+C38,0)</f>
        <v>0</v>
      </c>
      <c r="D30" s="1337" t="s">
        <v>1425</v>
      </c>
      <c r="E30" s="1338"/>
      <c r="F30" s="1294"/>
      <c r="G30" s="1850"/>
      <c r="H30" s="742"/>
      <c r="I30" s="743"/>
      <c r="J30" s="744"/>
      <c r="K30" s="745"/>
      <c r="L30" s="746"/>
      <c r="M30" s="747"/>
    </row>
    <row r="31" spans="1:37" ht="18" customHeight="1">
      <c r="A31" s="1201" t="s">
        <v>1035</v>
      </c>
      <c r="B31" s="347" t="s">
        <v>1429</v>
      </c>
      <c r="C31" s="24">
        <f ca="1">ROUND(IF(项目基本情况!B11="自然人",C5*F31,C32+C33+C34),0)</f>
        <v>0</v>
      </c>
      <c r="D31" s="1799" t="s">
        <v>1430</v>
      </c>
      <c r="E31" s="1797" t="s">
        <v>1481</v>
      </c>
      <c r="F31" s="368" t="str">
        <f ca="1">IF(项目基本情况!B11="企业","",IF(INDIRECT("'数据-取费表'!c"&amp;$G$1)="住宅",5%,IF(F6*F7*F8/12/(1+'数据-取费表'!C42)&gt;20000,12%,7%)))</f>
        <v/>
      </c>
      <c r="G31" s="1850"/>
      <c r="H31" s="742"/>
      <c r="I31" s="743"/>
      <c r="J31" s="744"/>
      <c r="K31" s="745"/>
      <c r="L31" s="746"/>
      <c r="M31" s="747"/>
    </row>
    <row r="32" spans="1:37" ht="18" customHeight="1">
      <c r="A32" s="1201" t="s">
        <v>1034</v>
      </c>
      <c r="B32" s="347" t="s">
        <v>1433</v>
      </c>
      <c r="C32" s="24">
        <f ca="1">IF(项目基本情况!B11="自然人","——",ROUND(C5*F32/(1+'数据-取费表'!C42),0))</f>
        <v>0</v>
      </c>
      <c r="D32" s="1797" t="s">
        <v>1434</v>
      </c>
      <c r="E32" s="347" t="s">
        <v>1422</v>
      </c>
      <c r="F32" s="377">
        <f>'数据-取费表'!B41</f>
        <v>5.5000000000000007E-2</v>
      </c>
      <c r="G32" s="1850"/>
      <c r="H32" s="742"/>
      <c r="I32" s="743"/>
      <c r="J32" s="744"/>
      <c r="K32" s="745"/>
      <c r="L32" s="746"/>
      <c r="M32" s="747"/>
    </row>
    <row r="33" spans="1:18" ht="18" customHeight="1">
      <c r="A33" s="1201" t="s">
        <v>1036</v>
      </c>
      <c r="B33" s="347" t="s">
        <v>1437</v>
      </c>
      <c r="C33" s="24">
        <f ca="1">IF(项目基本情况!B11="自然人","——",IF(D33="按租金收入计税",ROUND(C5*F33,0),IF(D33="按房产原值计税",ROUND(C29*F33*0.7,0),INDIRECT("'数据-取费表'!Aj"&amp;$G$1))))</f>
        <v>0</v>
      </c>
      <c r="D33" s="1827" t="s">
        <v>1438</v>
      </c>
      <c r="E33" s="347" t="s">
        <v>1422</v>
      </c>
      <c r="F33" s="367">
        <f>IF(D33="按票据","——",IF(D33="按租金收入计税",'数据-取费表'!B51,'数据-取费表'!B50))</f>
        <v>1.2E-2</v>
      </c>
      <c r="G33" s="1850"/>
      <c r="H33" s="1858"/>
      <c r="I33" s="1859"/>
      <c r="J33" s="1860"/>
      <c r="K33" s="1861"/>
      <c r="L33" s="1858"/>
      <c r="M33" s="1858"/>
    </row>
    <row r="34" spans="1:18" ht="18" customHeight="1">
      <c r="A34" s="1291" t="s">
        <v>1389</v>
      </c>
      <c r="B34" s="164" t="s">
        <v>1441</v>
      </c>
      <c r="C34" s="25">
        <f ca="1">IF(项目基本情况!B11="自然人","——",ROUND(F34*F35,))</f>
        <v>0</v>
      </c>
      <c r="D34" s="370" t="s">
        <v>1442</v>
      </c>
      <c r="E34" s="347" t="s">
        <v>1443</v>
      </c>
      <c r="F34" s="371">
        <f>'数据-取费表'!B52</f>
        <v>1.5</v>
      </c>
      <c r="G34" s="1850"/>
      <c r="H34" s="742"/>
      <c r="I34" s="1859"/>
      <c r="J34" s="1860"/>
      <c r="K34" s="1862"/>
      <c r="L34" s="1863"/>
      <c r="M34" s="1863"/>
    </row>
    <row r="35" spans="1:18" ht="18" customHeight="1">
      <c r="A35" s="1353"/>
      <c r="B35" s="1351"/>
      <c r="C35" s="29"/>
      <c r="D35" s="373"/>
      <c r="E35" s="347" t="s">
        <v>1447</v>
      </c>
      <c r="F35" s="348">
        <f ca="1">INDIRECT("'数据-取费表'!r"&amp;$G$1)</f>
        <v>0</v>
      </c>
      <c r="G35" s="1850"/>
      <c r="H35" s="742"/>
      <c r="I35" s="1859"/>
      <c r="J35" s="1860"/>
      <c r="K35" s="1861"/>
      <c r="L35" s="1858"/>
      <c r="M35" s="1858"/>
    </row>
    <row r="36" spans="1:18" ht="18" customHeight="1">
      <c r="A36" s="1352" t="s">
        <v>1039</v>
      </c>
      <c r="B36" s="347" t="s">
        <v>1449</v>
      </c>
      <c r="C36" s="24">
        <f ca="1">ROUND(C29*F36,0)</f>
        <v>0</v>
      </c>
      <c r="D36" s="1797" t="s">
        <v>1482</v>
      </c>
      <c r="E36" s="347" t="s">
        <v>1422</v>
      </c>
      <c r="F36" s="374">
        <f ca="1">INDIRECT("'数据-取费表'!Ak"&amp;$G$1)</f>
        <v>0</v>
      </c>
      <c r="G36" s="1850"/>
      <c r="H36" s="1858"/>
      <c r="I36" s="1859"/>
      <c r="J36" s="1860"/>
      <c r="K36" s="748"/>
      <c r="L36" s="1858"/>
      <c r="M36" s="1858"/>
    </row>
    <row r="37" spans="1:18" ht="18" customHeight="1">
      <c r="A37" s="1201" t="s">
        <v>1075</v>
      </c>
      <c r="B37" s="347" t="s">
        <v>1453</v>
      </c>
      <c r="C37" s="24">
        <f ca="1">ROUND(C13*F37,0)</f>
        <v>0</v>
      </c>
      <c r="D37" s="1797" t="s">
        <v>1454</v>
      </c>
      <c r="E37" s="347" t="s">
        <v>1455</v>
      </c>
      <c r="F37" s="376">
        <f ca="1">INDIRECT("'数据-取费表'!Al"&amp;$G$1)</f>
        <v>0</v>
      </c>
      <c r="G37" s="1850"/>
      <c r="H37" s="1858"/>
      <c r="I37" s="1859"/>
      <c r="J37" s="1860"/>
      <c r="K37" s="748"/>
      <c r="L37" s="1858"/>
      <c r="M37" s="1858"/>
    </row>
    <row r="38" spans="1:18" ht="18" customHeight="1" thickBot="1">
      <c r="A38" s="1339" t="s">
        <v>1393</v>
      </c>
      <c r="B38" s="1340" t="s">
        <v>1439</v>
      </c>
      <c r="C38" s="1341">
        <f ca="1">ROUND(C5*F38,1)</f>
        <v>0</v>
      </c>
      <c r="D38" s="1342" t="s">
        <v>1459</v>
      </c>
      <c r="E38" s="1340" t="s">
        <v>1455</v>
      </c>
      <c r="F38" s="1336">
        <f ca="1">INDIRECT("'数据-取费表'!Am"&amp;$G$1)</f>
        <v>0</v>
      </c>
      <c r="G38" s="1850"/>
      <c r="H38" s="1858"/>
      <c r="I38" s="1859"/>
      <c r="J38" s="1860"/>
      <c r="K38" s="1864"/>
      <c r="L38" s="1858"/>
      <c r="M38" s="1858"/>
    </row>
    <row r="39" spans="1:18" ht="24.6" customHeight="1" thickTop="1">
      <c r="A39" s="1329" t="s">
        <v>1031</v>
      </c>
      <c r="B39" s="1344" t="s">
        <v>1483</v>
      </c>
      <c r="C39" s="355">
        <f ca="1">C5-C30</f>
        <v>0</v>
      </c>
      <c r="D39" s="1345" t="s">
        <v>1484</v>
      </c>
      <c r="E39" s="1346"/>
      <c r="F39" s="1347"/>
      <c r="G39" s="1850"/>
      <c r="H39" s="1858"/>
      <c r="I39" s="1859"/>
      <c r="J39" s="1860"/>
      <c r="K39" s="1864"/>
      <c r="L39" s="1858"/>
      <c r="M39" s="1858"/>
    </row>
    <row r="40" spans="1:18" ht="18" customHeight="1">
      <c r="A40" s="344" t="s">
        <v>1032</v>
      </c>
      <c r="B40" s="345" t="s">
        <v>1485</v>
      </c>
      <c r="C40" s="346" t="e">
        <f ca="1">ROUND(C39*(1-((1+F42)/(1+F40))^F41)/(F40-F42),0)</f>
        <v>#DIV/0!</v>
      </c>
      <c r="D40" s="370" t="s">
        <v>1469</v>
      </c>
      <c r="E40" s="347" t="s">
        <v>1470</v>
      </c>
      <c r="F40" s="357">
        <f ca="1">INDIRECT("'数据-取费表'!I"&amp;$G$1)</f>
        <v>0</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0</v>
      </c>
      <c r="G41" s="1850"/>
      <c r="H41" s="729"/>
      <c r="I41" s="1859"/>
      <c r="J41" s="1860"/>
      <c r="K41" s="748"/>
      <c r="L41" s="729"/>
      <c r="M41" s="729"/>
    </row>
    <row r="42" spans="1:18" ht="18" customHeight="1">
      <c r="A42" s="353"/>
      <c r="B42" s="354"/>
      <c r="C42" s="355"/>
      <c r="D42" s="373"/>
      <c r="E42" s="347" t="s">
        <v>1477</v>
      </c>
      <c r="F42" s="357">
        <f ca="1">INDIRECT("'数据-取费表'!v"&amp;$G$1)</f>
        <v>0</v>
      </c>
      <c r="G42" s="1850"/>
      <c r="H42" s="729"/>
      <c r="I42" s="1859"/>
      <c r="J42" s="1860"/>
      <c r="K42" s="748"/>
      <c r="L42" s="729"/>
      <c r="M42" s="729"/>
    </row>
    <row r="43" spans="1:18" ht="18" customHeight="1" thickBot="1">
      <c r="A43" s="380" t="s">
        <v>1033</v>
      </c>
      <c r="B43" s="381" t="s">
        <v>1487</v>
      </c>
      <c r="C43" s="382" t="e">
        <f ca="1">ROUND(C40/F43,0)</f>
        <v>#DIV/0!</v>
      </c>
      <c r="D43" s="383" t="s">
        <v>1488</v>
      </c>
      <c r="E43" s="384" t="s">
        <v>1489</v>
      </c>
      <c r="F43" s="385">
        <f ca="1">INDIRECT("'数据-取费表'!k"&amp;$G$1)</f>
        <v>0</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1604</v>
      </c>
      <c r="E45" s="1865"/>
      <c r="F45" s="1865"/>
      <c r="O45" s="1868" t="s">
        <v>1519</v>
      </c>
      <c r="P45" s="1838"/>
      <c r="Q45" s="1838"/>
      <c r="R45" s="1838"/>
    </row>
    <row r="46" spans="1:18" s="1841" customFormat="1" ht="13.5" thickBot="1">
      <c r="A46" s="1869" t="s">
        <v>1520</v>
      </c>
      <c r="C46" s="1870" t="e">
        <f ca="1">ROUND(C45/10000,0)</f>
        <v>#DIV/0!</v>
      </c>
      <c r="D46" s="1871" t="str">
        <f>C2</f>
        <v>万元</v>
      </c>
      <c r="I46" s="1872" t="s">
        <v>1521</v>
      </c>
      <c r="J46" s="1873"/>
      <c r="K46" s="1874"/>
      <c r="L46" s="1875" t="e">
        <f ca="1">IF(M47="住宅",0,IF(L48&gt;J51,L60,J60))</f>
        <v>#DIV/0!</v>
      </c>
      <c r="O46" s="1876" t="s">
        <v>1522</v>
      </c>
      <c r="P46" s="1877" t="s">
        <v>1523</v>
      </c>
      <c r="Q46" s="1878" t="s">
        <v>1524</v>
      </c>
      <c r="R46" s="1878" t="s">
        <v>1525</v>
      </c>
    </row>
    <row r="47" spans="1:18" s="1841" customFormat="1" ht="13.5" thickBot="1">
      <c r="A47" s="1165" t="s">
        <v>1396</v>
      </c>
      <c r="B47" s="1197" t="s">
        <v>1397</v>
      </c>
      <c r="C47" s="1197" t="s">
        <v>1398</v>
      </c>
      <c r="D47" s="1197" t="s">
        <v>1399</v>
      </c>
      <c r="E47" s="1279" t="s">
        <v>1400</v>
      </c>
      <c r="F47" s="1280"/>
      <c r="G47" s="789"/>
      <c r="I47" s="1879" t="s">
        <v>1526</v>
      </c>
      <c r="J47" s="1880"/>
      <c r="K47" s="1881" t="s">
        <v>1527</v>
      </c>
      <c r="L47" s="1882">
        <f ca="1">INDIRECT("'数据-取费表'!d"&amp;$G$1)</f>
        <v>0</v>
      </c>
      <c r="M47" s="1837" t="str">
        <f>IF(ISNUMBER(FIND("住宅",C1)),"住宅","非住宅")</f>
        <v>非住宅</v>
      </c>
      <c r="O47" s="1883" t="s">
        <v>1040</v>
      </c>
      <c r="P47" s="1884" t="s">
        <v>1528</v>
      </c>
      <c r="Q47" s="1885" t="e">
        <f ca="1">C40+J29</f>
        <v>#DIV/0!</v>
      </c>
      <c r="R47" s="1885" t="s">
        <v>1529</v>
      </c>
    </row>
    <row r="48" spans="1:18" s="1841" customFormat="1" ht="28.5" thickBot="1">
      <c r="A48" s="1360" t="s">
        <v>1135</v>
      </c>
      <c r="B48" s="345" t="s">
        <v>1401</v>
      </c>
      <c r="C48" s="1816">
        <f ca="1">C49+C53+C55</f>
        <v>0</v>
      </c>
      <c r="D48" s="1362"/>
      <c r="E48" s="1363"/>
      <c r="F48" s="1181"/>
      <c r="G48" s="789"/>
      <c r="H48" s="790"/>
      <c r="I48" s="1886" t="s">
        <v>1530</v>
      </c>
      <c r="J48" s="1887"/>
      <c r="K48" s="1888" t="s">
        <v>1531</v>
      </c>
      <c r="L48" s="1889">
        <f ca="1">INDIRECT("'数据-取费表'!f"&amp;$G$1)</f>
        <v>0</v>
      </c>
      <c r="O48" s="1883" t="s">
        <v>1041</v>
      </c>
      <c r="P48" s="1884" t="s">
        <v>1532</v>
      </c>
      <c r="Q48" s="1885" t="e">
        <f ca="1">J60</f>
        <v>#DIV/0!</v>
      </c>
      <c r="R48" s="1885" t="s">
        <v>1533</v>
      </c>
    </row>
    <row r="49" spans="1:18" s="1841" customFormat="1" ht="13.5" thickBot="1">
      <c r="A49" s="1194" t="s">
        <v>1136</v>
      </c>
      <c r="B49" s="1828" t="s">
        <v>1490</v>
      </c>
      <c r="C49" s="1364">
        <f ca="1">ROUND(F49*F51*F50*(1-F52),0)</f>
        <v>0</v>
      </c>
      <c r="D49" s="1276" t="s">
        <v>1404</v>
      </c>
      <c r="E49" s="1829" t="s">
        <v>1491</v>
      </c>
      <c r="F49" s="1281"/>
      <c r="G49" s="1890"/>
      <c r="H49" s="790"/>
      <c r="I49" s="1886" t="s">
        <v>1534</v>
      </c>
      <c r="J49" s="1891"/>
      <c r="K49" s="1888" t="s">
        <v>1535</v>
      </c>
      <c r="L49" s="1892"/>
      <c r="O49" s="1893" t="s">
        <v>1042</v>
      </c>
      <c r="P49" s="1884" t="s">
        <v>1536</v>
      </c>
      <c r="Q49" s="1885">
        <f ca="1">C29</f>
        <v>0</v>
      </c>
      <c r="R49" s="1885" t="s">
        <v>1529</v>
      </c>
    </row>
    <row r="50" spans="1:18" s="1841" customFormat="1" ht="13.5" thickBot="1">
      <c r="A50" s="1195"/>
      <c r="B50" s="1198"/>
      <c r="C50" s="1199"/>
      <c r="D50" s="1172"/>
      <c r="E50" s="1277" t="s">
        <v>1406</v>
      </c>
      <c r="F50" s="1278">
        <f ca="1">F7</f>
        <v>0</v>
      </c>
      <c r="H50" s="790"/>
      <c r="I50" s="1886" t="s">
        <v>1537</v>
      </c>
      <c r="J50" s="1894">
        <f>SUMPRODUCT((I63:I65=J47)*(J62:L62=J48)*(J63:L65))</f>
        <v>0</v>
      </c>
      <c r="K50" s="1888" t="s">
        <v>1538</v>
      </c>
      <c r="L50" s="1892"/>
      <c r="M50" s="1895"/>
      <c r="O50" s="1893" t="s">
        <v>1043</v>
      </c>
      <c r="P50" s="1884" t="s">
        <v>1539</v>
      </c>
      <c r="Q50" s="1896" t="e">
        <f ca="1">J58</f>
        <v>#DIV/0!</v>
      </c>
      <c r="R50" s="1885"/>
    </row>
    <row r="51" spans="1:18" s="1841" customFormat="1" ht="13.5" thickBot="1">
      <c r="A51" s="1196"/>
      <c r="B51" s="1198"/>
      <c r="C51" s="1199"/>
      <c r="D51" s="1172"/>
      <c r="E51" s="1200" t="s">
        <v>1407</v>
      </c>
      <c r="F51" s="348">
        <f ca="1">F8</f>
        <v>0</v>
      </c>
      <c r="I51" s="1897" t="s">
        <v>1540</v>
      </c>
      <c r="J51" s="1898">
        <f>IF(J49="",J50,J49+J50-YEAR('数据-取费表'!B2))</f>
        <v>0</v>
      </c>
      <c r="K51" s="1899" t="s">
        <v>1541</v>
      </c>
      <c r="L51" s="1900">
        <f ca="1">ROUND(-PV(INDIRECT("'数据-取费表'!h"&amp;$G$1),L48,(C39-C13*C76),0),0)</f>
        <v>0</v>
      </c>
      <c r="M51" s="1901"/>
      <c r="O51" s="1893" t="s">
        <v>1044</v>
      </c>
      <c r="P51" s="1884" t="s">
        <v>1542</v>
      </c>
      <c r="Q51" s="1896">
        <f>J52</f>
        <v>0</v>
      </c>
      <c r="R51" s="1885"/>
    </row>
    <row r="52" spans="1:18" s="1841" customFormat="1" ht="13.5" thickBot="1">
      <c r="A52" s="1196"/>
      <c r="B52" s="1198"/>
      <c r="C52" s="1199"/>
      <c r="D52" s="1172"/>
      <c r="E52" s="1200" t="s">
        <v>1408</v>
      </c>
      <c r="F52" s="1275"/>
      <c r="I52" s="1902" t="s">
        <v>1543</v>
      </c>
      <c r="J52" s="1903"/>
      <c r="K52" s="1902" t="s">
        <v>1544</v>
      </c>
      <c r="L52" s="1903"/>
      <c r="O52" s="1893" t="s">
        <v>1045</v>
      </c>
      <c r="P52" s="1884" t="s">
        <v>1545</v>
      </c>
      <c r="Q52" s="1885" t="b">
        <f>J53</f>
        <v>0</v>
      </c>
      <c r="R52" s="1885" t="s">
        <v>1546</v>
      </c>
    </row>
    <row r="53" spans="1:18" s="1841" customFormat="1" ht="30.75" customHeight="1" thickBot="1">
      <c r="A53" s="1361" t="s">
        <v>1137</v>
      </c>
      <c r="B53" s="369" t="s">
        <v>1409</v>
      </c>
      <c r="C53" s="361">
        <f ca="1">ROUND(IF(F53="押一",C49/12*F11,IF(F53="押二",C49/12*2*F11,IF(F53="押三",C49/12*3*F11,C54*F11))),0)</f>
        <v>0</v>
      </c>
      <c r="D53" s="1823" t="s">
        <v>3031</v>
      </c>
      <c r="E53" s="358" t="s">
        <v>1410</v>
      </c>
      <c r="F53" s="1366"/>
      <c r="I53" s="1904" t="s">
        <v>1547</v>
      </c>
      <c r="J53" s="1905" t="b">
        <f>IF(M47="住宅",IF(D1="——",MAX(J51,L48),IF(D1="在建（套用方法）",MAX(J51,L48-'数据-取费表'!B24),MAX(J51,L48-'数据-取费表'!B20))),IF(D1="——",MIN(J51,L48),IF(D1="在建（套用方法）",MIN(J51,L48-'数据-取费表'!B24),IF(D1="土地（套用方法）",MIN(J51,L48-'数据-取费表'!B20)))))</f>
        <v>0</v>
      </c>
      <c r="K53" s="3164" t="s">
        <v>1548</v>
      </c>
      <c r="L53" s="3165"/>
      <c r="O53" s="1883" t="s">
        <v>1046</v>
      </c>
      <c r="P53" s="1884" t="s">
        <v>1549</v>
      </c>
      <c r="Q53" s="1885" t="e">
        <f ca="1">Q47+Q48</f>
        <v>#DIV/0!</v>
      </c>
      <c r="R53" s="1885" t="s">
        <v>1047</v>
      </c>
    </row>
    <row r="54" spans="1:18" s="1841" customFormat="1" ht="13.5" thickBot="1">
      <c r="A54" s="1194"/>
      <c r="B54" s="1940" t="s">
        <v>1603</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1550</v>
      </c>
      <c r="P54" s="1838"/>
      <c r="Q54" s="1838"/>
      <c r="R54" s="1838"/>
    </row>
    <row r="55" spans="1:18" s="1841" customFormat="1" ht="13.5" thickBot="1">
      <c r="A55" s="1333" t="s">
        <v>1075</v>
      </c>
      <c r="B55" s="1826" t="s">
        <v>1413</v>
      </c>
      <c r="C55" s="1334"/>
      <c r="D55" s="1823"/>
      <c r="E55" s="1831"/>
      <c r="F55" s="1906"/>
      <c r="I55" s="1909" t="s">
        <v>1551</v>
      </c>
      <c r="J55" s="1910" t="e">
        <f ca="1">ROUND(IF(J47="钢混",J57/J50,1-(1-2%)*(J50-J57)/J50),3)</f>
        <v>#DIV/0!</v>
      </c>
      <c r="K55" s="1911" t="s">
        <v>1552</v>
      </c>
      <c r="L55" s="1912"/>
      <c r="O55" s="1876" t="s">
        <v>1522</v>
      </c>
      <c r="P55" s="1877" t="s">
        <v>1523</v>
      </c>
      <c r="Q55" s="1878" t="s">
        <v>1524</v>
      </c>
      <c r="R55" s="1878" t="s">
        <v>1525</v>
      </c>
    </row>
    <row r="56" spans="1:18" s="1841" customFormat="1" ht="36" customHeight="1" thickTop="1" thickBot="1">
      <c r="A56" s="1176">
        <v>2</v>
      </c>
      <c r="B56" s="1177" t="s">
        <v>1414</v>
      </c>
      <c r="C56" s="276">
        <f ca="1">C13</f>
        <v>0</v>
      </c>
      <c r="D56" s="1913"/>
      <c r="E56" s="1914"/>
      <c r="F56" s="1906"/>
      <c r="I56" s="1915" t="s">
        <v>1554</v>
      </c>
      <c r="J56" s="1916"/>
      <c r="K56" s="1886" t="s">
        <v>1555</v>
      </c>
      <c r="L56" s="1889">
        <f ca="1">IF(L48&lt;J51,"——",L48-J51)</f>
        <v>0</v>
      </c>
      <c r="O56" s="1883" t="s">
        <v>1040</v>
      </c>
      <c r="P56" s="1884" t="s">
        <v>1528</v>
      </c>
      <c r="Q56" s="1885" t="e">
        <f ca="1">C40+J29</f>
        <v>#DIV/0!</v>
      </c>
      <c r="R56" s="1885" t="s">
        <v>1529</v>
      </c>
    </row>
    <row r="57" spans="1:18" s="1841" customFormat="1" ht="24.75" thickBot="1">
      <c r="A57" s="1917"/>
      <c r="B57" s="1169" t="s">
        <v>1478</v>
      </c>
      <c r="C57" s="282">
        <f ca="1">C29</f>
        <v>0</v>
      </c>
      <c r="D57" s="1918"/>
      <c r="E57" s="1919"/>
      <c r="F57" s="1920"/>
      <c r="I57" s="1921" t="s">
        <v>1556</v>
      </c>
      <c r="J57" s="1922">
        <f ca="1">IF(OR(M47="住宅",J51&lt;L48,J56="是"),"——",J51-L48)</f>
        <v>0</v>
      </c>
      <c r="K57" s="1886" t="s">
        <v>1605</v>
      </c>
      <c r="L57" s="1889">
        <f ca="1">IF(L48&lt;J51,"——",IF(L55="比较法",L49,IF(L55="基准地价",L50,L51)))</f>
        <v>0</v>
      </c>
      <c r="O57" s="1883" t="s">
        <v>1041</v>
      </c>
      <c r="P57" s="1884" t="s">
        <v>1606</v>
      </c>
      <c r="Q57" s="1885" t="e">
        <f ca="1">L60</f>
        <v>#DIV/0!</v>
      </c>
      <c r="R57" s="1885" t="s">
        <v>1607</v>
      </c>
    </row>
    <row r="58" spans="1:18" s="1841" customFormat="1" ht="24.75" thickBot="1">
      <c r="A58" s="360" t="s">
        <v>1030</v>
      </c>
      <c r="B58" s="1177" t="s">
        <v>1424</v>
      </c>
      <c r="C58" s="361">
        <f ca="1">ROUND(C59+C64+C65+C66,0)</f>
        <v>0</v>
      </c>
      <c r="D58" s="1179" t="s">
        <v>1425</v>
      </c>
      <c r="E58" s="1180"/>
      <c r="F58" s="1181"/>
      <c r="I58" s="1921" t="s">
        <v>1560</v>
      </c>
      <c r="J58" s="1923" t="e">
        <f ca="1">IF(J55&lt;0.4,0.4,J55)</f>
        <v>#DIV/0!</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1" t="s">
        <v>1563</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5" thickBot="1">
      <c r="A60" s="1201" t="s">
        <v>1034</v>
      </c>
      <c r="B60" s="1169" t="s">
        <v>1433</v>
      </c>
      <c r="C60" s="24">
        <f ca="1">IF(项目基本情况!B11="自然人","——",ROUND(C48*F60/(1+'数据-取费表'!C42),0))</f>
        <v>0</v>
      </c>
      <c r="D60" s="1183" t="s">
        <v>1434</v>
      </c>
      <c r="E60" s="1169" t="s">
        <v>1422</v>
      </c>
      <c r="F60" s="377">
        <f t="shared" ref="F60:F66" si="0">F32</f>
        <v>5.5000000000000007E-2</v>
      </c>
      <c r="I60" s="1924" t="s">
        <v>1565</v>
      </c>
      <c r="J60" s="1925" t="e">
        <f ca="1">IF(OR(M47="住宅",J51&lt;L48,J56="是"),"0",ROUND(J59/(1+J52)^J53,0))</f>
        <v>#DIV/0!</v>
      </c>
      <c r="K60" s="1926" t="s">
        <v>1566</v>
      </c>
      <c r="L60" s="1925" t="e">
        <f ca="1">IF(OR(M47="住宅",L48&lt;J51),0,ROUND(L57*(L58/L59-1),0))</f>
        <v>#DIV/0!</v>
      </c>
      <c r="O60" s="1893" t="s">
        <v>1044</v>
      </c>
      <c r="P60" s="1884" t="s">
        <v>1567</v>
      </c>
      <c r="Q60" s="1885" t="e">
        <f ca="1">L58</f>
        <v>#DIV/0!</v>
      </c>
      <c r="R60" s="1885" t="s">
        <v>1568</v>
      </c>
    </row>
    <row r="61" spans="1:18" s="1841" customFormat="1" ht="13.5" thickBot="1">
      <c r="A61" s="1201" t="s">
        <v>1492</v>
      </c>
      <c r="B61" s="1169" t="s">
        <v>1493</v>
      </c>
      <c r="C61" s="24">
        <f ca="1">IF(项目基本情况!B11="自然人","——",IF(D61="按租金收入计税",ROUND(C48*F61,0),IF(D61="按房产原值计税",ROUND(C57*F61*0.7,0),INDIRECT("'数据-取费表'!Aj"&amp;$G$1))))</f>
        <v>0</v>
      </c>
      <c r="D61" s="1827" t="s">
        <v>1438</v>
      </c>
      <c r="E61" s="1169" t="s">
        <v>1494</v>
      </c>
      <c r="F61" s="367">
        <f t="shared" si="0"/>
        <v>1.2E-2</v>
      </c>
      <c r="I61" s="1927"/>
      <c r="J61" s="1927"/>
      <c r="K61" s="1927"/>
      <c r="L61" s="1927"/>
      <c r="O61" s="1893" t="s">
        <v>1045</v>
      </c>
      <c r="P61" s="1884" t="str">
        <f>K59</f>
        <v>建设期及建筑物耐用年限下的土地年期修正系数Kn</v>
      </c>
      <c r="Q61" s="1885" t="e">
        <f ca="1">L59</f>
        <v>#DIV/0!</v>
      </c>
      <c r="R61" s="1885" t="s">
        <v>1569</v>
      </c>
    </row>
    <row r="62" spans="1:18" s="1841" customFormat="1" ht="13.5" thickBot="1">
      <c r="A62" s="1201" t="s">
        <v>1495</v>
      </c>
      <c r="B62" s="1168" t="s">
        <v>1496</v>
      </c>
      <c r="C62" s="25">
        <f ca="1">IF(项目基本情况!B11="自然人","——",ROUND(F62*F63,0))</f>
        <v>0</v>
      </c>
      <c r="D62" s="1184" t="s">
        <v>1497</v>
      </c>
      <c r="E62" s="1169" t="s">
        <v>1498</v>
      </c>
      <c r="F62" s="371">
        <f t="shared" si="0"/>
        <v>1.5</v>
      </c>
      <c r="I62" s="1928" t="s">
        <v>1570</v>
      </c>
      <c r="J62" s="1929" t="s">
        <v>1571</v>
      </c>
      <c r="K62" s="1929" t="s">
        <v>1572</v>
      </c>
      <c r="L62" s="1929" t="s">
        <v>1573</v>
      </c>
      <c r="M62" s="1930" t="s">
        <v>1574</v>
      </c>
      <c r="O62" s="1883" t="s">
        <v>1046</v>
      </c>
      <c r="P62" s="1884" t="s">
        <v>1575</v>
      </c>
      <c r="Q62" s="1885" t="e">
        <f ca="1">Q56+Q57</f>
        <v>#DIV/0!</v>
      </c>
      <c r="R62" s="1885" t="s">
        <v>1047</v>
      </c>
    </row>
    <row r="63" spans="1:18" s="1841" customFormat="1" ht="13.5" thickBot="1">
      <c r="A63" s="372"/>
      <c r="B63" s="1175"/>
      <c r="C63" s="29"/>
      <c r="D63" s="1185"/>
      <c r="E63" s="1169"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1" t="s">
        <v>1500</v>
      </c>
      <c r="B64" s="1169" t="s">
        <v>1501</v>
      </c>
      <c r="C64" s="24">
        <f ca="1">ROUND(C57*F64,0)</f>
        <v>0</v>
      </c>
      <c r="D64" s="1183" t="s">
        <v>1502</v>
      </c>
      <c r="E64" s="1169" t="s">
        <v>1494</v>
      </c>
      <c r="F64" s="374">
        <f t="shared" ca="1" si="0"/>
        <v>0</v>
      </c>
      <c r="I64" s="1928" t="s">
        <v>1578</v>
      </c>
      <c r="J64" s="1929">
        <v>50</v>
      </c>
      <c r="K64" s="1929">
        <v>35</v>
      </c>
      <c r="L64" s="1929">
        <v>60</v>
      </c>
      <c r="M64" s="1930">
        <v>0</v>
      </c>
      <c r="O64" s="1876" t="s">
        <v>1522</v>
      </c>
      <c r="P64" s="1877" t="s">
        <v>1523</v>
      </c>
      <c r="Q64" s="1878" t="s">
        <v>1524</v>
      </c>
      <c r="R64" s="1878" t="s">
        <v>1525</v>
      </c>
    </row>
    <row r="65" spans="1:18" s="1841" customFormat="1" ht="13.5" thickBot="1">
      <c r="A65" s="1201" t="s">
        <v>1503</v>
      </c>
      <c r="B65" s="1169" t="s">
        <v>1453</v>
      </c>
      <c r="C65" s="24">
        <f ca="1">ROUND(C56*F65,0)</f>
        <v>0</v>
      </c>
      <c r="D65" s="1183" t="s">
        <v>1454</v>
      </c>
      <c r="E65" s="1169" t="s">
        <v>1455</v>
      </c>
      <c r="F65" s="376">
        <f t="shared" ca="1" si="0"/>
        <v>0</v>
      </c>
      <c r="I65" s="1928" t="s">
        <v>1579</v>
      </c>
      <c r="J65" s="1929">
        <v>40</v>
      </c>
      <c r="K65" s="1929">
        <v>30</v>
      </c>
      <c r="L65" s="1929">
        <v>50</v>
      </c>
      <c r="M65" s="1931">
        <v>0.02</v>
      </c>
      <c r="O65" s="1883" t="s">
        <v>1040</v>
      </c>
      <c r="P65" s="1884" t="s">
        <v>1580</v>
      </c>
      <c r="Q65" s="1885" t="e">
        <f ca="1">C40+J29</f>
        <v>#DIV/0!</v>
      </c>
      <c r="R65" s="1885" t="s">
        <v>1529</v>
      </c>
    </row>
    <row r="66" spans="1:18" s="1841" customFormat="1" ht="16.5" thickBot="1">
      <c r="A66" s="1201" t="s">
        <v>1504</v>
      </c>
      <c r="B66" s="1169" t="s">
        <v>1439</v>
      </c>
      <c r="C66" s="24">
        <f ca="1">ROUND(C48*F66,0)</f>
        <v>0</v>
      </c>
      <c r="D66" s="1183" t="s">
        <v>1505</v>
      </c>
      <c r="E66" s="1169" t="s">
        <v>1422</v>
      </c>
      <c r="F66" s="357">
        <f t="shared" ca="1" si="0"/>
        <v>0</v>
      </c>
      <c r="O66" s="1883" t="s">
        <v>1041</v>
      </c>
      <c r="P66" s="1884" t="s">
        <v>1558</v>
      </c>
      <c r="Q66" s="1885" t="e">
        <f ca="1">L60</f>
        <v>#DIV/0!</v>
      </c>
      <c r="R66" s="1885" t="s">
        <v>1581</v>
      </c>
    </row>
    <row r="67" spans="1:18" s="1841" customFormat="1" ht="16.5" thickBot="1">
      <c r="A67" s="1176" t="s">
        <v>1031</v>
      </c>
      <c r="B67" s="1186" t="s">
        <v>1463</v>
      </c>
      <c r="C67" s="361">
        <f ca="1">C48-C58</f>
        <v>0</v>
      </c>
      <c r="D67" s="1182" t="s">
        <v>1464</v>
      </c>
      <c r="E67" s="1187"/>
      <c r="F67" s="1188"/>
      <c r="O67" s="1893" t="s">
        <v>1042</v>
      </c>
      <c r="P67" s="1884" t="s">
        <v>1562</v>
      </c>
      <c r="Q67" s="1932">
        <f ca="1">L51</f>
        <v>0</v>
      </c>
      <c r="R67" s="1885" t="s">
        <v>1582</v>
      </c>
    </row>
    <row r="68" spans="1:18" s="1841" customFormat="1" ht="16.5" thickBot="1">
      <c r="A68" s="1166" t="s">
        <v>1032</v>
      </c>
      <c r="B68" s="1167" t="s">
        <v>1485</v>
      </c>
      <c r="C68" s="346" t="e">
        <f ca="1">ROUND(C67*(1-((1+F70)/(1+F68))^F69)/(F68-F70),0)</f>
        <v>#DIV/0!</v>
      </c>
      <c r="D68" s="1184" t="s">
        <v>1469</v>
      </c>
      <c r="E68" s="1169" t="s">
        <v>1470</v>
      </c>
      <c r="F68" s="357">
        <f ca="1">F40</f>
        <v>0</v>
      </c>
      <c r="O68" s="1893" t="s">
        <v>1043</v>
      </c>
      <c r="P68" s="1933" t="s">
        <v>1583</v>
      </c>
      <c r="Q68" s="1885">
        <f ca="1">ROUND(Q69-Q70*Q71,0)</f>
        <v>0</v>
      </c>
      <c r="R68" s="1885" t="s">
        <v>1051</v>
      </c>
    </row>
    <row r="69" spans="1:18" s="1841" customFormat="1" ht="13.5" thickBot="1">
      <c r="A69" s="1170"/>
      <c r="B69" s="1171"/>
      <c r="C69" s="351"/>
      <c r="D69" s="1189" t="s">
        <v>1473</v>
      </c>
      <c r="E69" s="1169" t="s">
        <v>1474</v>
      </c>
      <c r="F69" s="379">
        <f ca="1">F41</f>
        <v>0</v>
      </c>
      <c r="O69" s="1893" t="s">
        <v>1048</v>
      </c>
      <c r="P69" s="1933" t="s">
        <v>1584</v>
      </c>
      <c r="Q69" s="1885">
        <f ca="1">C39</f>
        <v>0</v>
      </c>
      <c r="R69" s="1885" t="s">
        <v>1529</v>
      </c>
    </row>
    <row r="70" spans="1:18" s="1841" customFormat="1" ht="13.5" thickBot="1">
      <c r="A70" s="1173"/>
      <c r="B70" s="1174"/>
      <c r="C70" s="355"/>
      <c r="D70" s="1185"/>
      <c r="E70" s="1169" t="s">
        <v>1477</v>
      </c>
      <c r="F70" s="1275">
        <f ca="1">F42</f>
        <v>0</v>
      </c>
      <c r="O70" s="1893" t="s">
        <v>1049</v>
      </c>
      <c r="P70" s="1933" t="s">
        <v>1585</v>
      </c>
      <c r="Q70" s="1885">
        <f ca="1">C13</f>
        <v>0</v>
      </c>
      <c r="R70" s="1885" t="s">
        <v>1529</v>
      </c>
    </row>
    <row r="71" spans="1:18" s="1841" customFormat="1" ht="13.5" thickBot="1">
      <c r="A71" s="1190" t="s">
        <v>1033</v>
      </c>
      <c r="B71" s="1191" t="s">
        <v>1487</v>
      </c>
      <c r="C71" s="382" t="e">
        <f ca="1">ROUND(C68/F71,0)</f>
        <v>#DIV/0!</v>
      </c>
      <c r="D71" s="1192" t="s">
        <v>1488</v>
      </c>
      <c r="E71" s="1193" t="s">
        <v>1489</v>
      </c>
      <c r="F71" s="385">
        <f ca="1">F43</f>
        <v>0</v>
      </c>
      <c r="O71" s="1893" t="s">
        <v>1050</v>
      </c>
      <c r="P71" s="1933" t="s">
        <v>1586</v>
      </c>
      <c r="Q71" s="1896">
        <f ca="1">C76</f>
        <v>0</v>
      </c>
      <c r="R71" s="1885"/>
    </row>
    <row r="72" spans="1:18" s="1841" customFormat="1" ht="13.5" thickBot="1">
      <c r="B72" s="793"/>
      <c r="C72" s="793"/>
      <c r="O72" s="1893" t="s">
        <v>1044</v>
      </c>
      <c r="P72" s="1884" t="s">
        <v>1564</v>
      </c>
      <c r="Q72" s="1896">
        <f>L52</f>
        <v>0</v>
      </c>
      <c r="R72" s="1885"/>
    </row>
    <row r="73" spans="1:18" ht="16.5" thickBot="1">
      <c r="A73" s="1841"/>
      <c r="B73" s="793"/>
      <c r="C73" s="793"/>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建设期及建筑物耐用年限下的土地年期修正系数Kn</v>
      </c>
      <c r="Q74" s="1885" t="e">
        <f ca="1">L59</f>
        <v>#DIV/0!</v>
      </c>
      <c r="R74" s="1885" t="s">
        <v>1569</v>
      </c>
    </row>
    <row r="75" spans="1:18" ht="13.5" thickBot="1">
      <c r="A75" s="1841"/>
      <c r="B75" s="386" t="s">
        <v>1506</v>
      </c>
      <c r="C75" s="387">
        <f ca="1">ROUND(C13*C76,0)</f>
        <v>0</v>
      </c>
      <c r="D75" s="1841"/>
      <c r="E75" s="1841"/>
      <c r="F75" s="1841"/>
      <c r="K75" s="1867"/>
      <c r="L75" s="1841"/>
      <c r="O75" s="1883" t="s">
        <v>1046</v>
      </c>
      <c r="P75" s="1884" t="s">
        <v>1549</v>
      </c>
      <c r="Q75" s="1885" t="e">
        <f ca="1">Q65+Q66</f>
        <v>#DIV/0!</v>
      </c>
      <c r="R75" s="1885" t="s">
        <v>1047</v>
      </c>
    </row>
    <row r="76" spans="1:18">
      <c r="B76" s="388" t="s">
        <v>1507</v>
      </c>
      <c r="C76" s="389">
        <f ca="1">INDIRECT("'数据-取费表'!j"&amp;$G$1)</f>
        <v>0</v>
      </c>
      <c r="I76" s="1841"/>
      <c r="J76" s="1841"/>
      <c r="K76" s="1867"/>
      <c r="L76" s="1841"/>
    </row>
    <row r="77" spans="1:18">
      <c r="B77" s="390" t="s">
        <v>1508</v>
      </c>
      <c r="C77" s="391"/>
      <c r="I77" s="1841"/>
      <c r="J77" s="1841"/>
      <c r="K77" s="1867"/>
      <c r="L77" s="1841"/>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5" sqref="H25"/>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2521</v>
      </c>
      <c r="B1" s="2558"/>
      <c r="C1" s="2558"/>
      <c r="D1" s="2558"/>
      <c r="E1" s="2559"/>
    </row>
    <row r="2" spans="1:6" ht="15.75">
      <c r="A2" s="2560" t="s">
        <v>1394</v>
      </c>
      <c r="B2" s="2561">
        <f ca="1">SUMIF(B6:B13,"&lt;&gt;#ref!",B6:B13)</f>
        <v>90017</v>
      </c>
      <c r="C2" s="2562" t="s">
        <v>2514</v>
      </c>
      <c r="D2" s="2563" t="s">
        <v>2515</v>
      </c>
      <c r="E2" s="2564">
        <f>SUM(E6:E13)</f>
        <v>25398.790000000005</v>
      </c>
    </row>
    <row r="3" spans="1:6" ht="15.75">
      <c r="A3" s="2560" t="s">
        <v>1395</v>
      </c>
      <c r="B3" s="2561">
        <f ca="1">ROUND(B2*10000/E2,0)</f>
        <v>35441</v>
      </c>
      <c r="C3" s="2562" t="s">
        <v>2522</v>
      </c>
      <c r="D3" s="2565"/>
      <c r="E3" s="2566"/>
    </row>
    <row r="4" spans="1:6" ht="15.75">
      <c r="A4" s="2567"/>
      <c r="B4" s="2565"/>
      <c r="C4" s="2565"/>
      <c r="D4" s="2565"/>
      <c r="E4" s="2566"/>
    </row>
    <row r="5" spans="1:6" ht="15">
      <c r="A5" s="2568" t="s">
        <v>2516</v>
      </c>
      <c r="B5" s="3166" t="s">
        <v>2517</v>
      </c>
      <c r="C5" s="3166"/>
      <c r="D5" s="2569"/>
      <c r="E5" s="2570" t="s">
        <v>2518</v>
      </c>
      <c r="F5" s="2571" t="s">
        <v>2519</v>
      </c>
    </row>
    <row r="6" spans="1:6">
      <c r="A6" s="2572" t="s">
        <v>3473</v>
      </c>
      <c r="B6" s="2571">
        <f>'典型户型修正-商住'!B20</f>
        <v>76377</v>
      </c>
      <c r="C6" s="2562" t="s">
        <v>2514</v>
      </c>
      <c r="D6" s="2565"/>
      <c r="E6" s="2573">
        <f>IF(OR(A6=0,F6="否"),0,'数据-取费表'!K6+'数据-取费表'!S6)</f>
        <v>21431.910000000003</v>
      </c>
      <c r="F6" s="2574" t="s">
        <v>2520</v>
      </c>
    </row>
    <row r="7" spans="1:6">
      <c r="A7" s="2572" t="s">
        <v>3474</v>
      </c>
      <c r="B7" s="2571">
        <f>'典型户型修正-底商'!B20</f>
        <v>13640</v>
      </c>
      <c r="C7" s="2562" t="s">
        <v>2514</v>
      </c>
      <c r="D7" s="2565"/>
      <c r="E7" s="2573">
        <f>IF(OR(A7=0,F7="否"),0,'数据-取费表'!K7+'数据-取费表'!S7)</f>
        <v>3966.8800000000006</v>
      </c>
      <c r="F7" s="2574" t="s">
        <v>2520</v>
      </c>
    </row>
    <row r="8" spans="1:6">
      <c r="A8" s="2572">
        <f>'数据-取费表'!AN8</f>
        <v>0</v>
      </c>
      <c r="B8" s="2571" t="e">
        <f ca="1">IF(F8="是",'数据-取费表'!AO8,0)</f>
        <v>#REF!</v>
      </c>
      <c r="C8" s="2562" t="s">
        <v>2514</v>
      </c>
      <c r="D8" s="2565"/>
      <c r="E8" s="2573">
        <f>IF(OR(A8=0,F8="否"),0,'数据-取费表'!K8+'数据-取费表'!S8)</f>
        <v>0</v>
      </c>
      <c r="F8" s="2574" t="s">
        <v>2520</v>
      </c>
    </row>
    <row r="9" spans="1:6">
      <c r="A9" s="2572">
        <f>'数据-取费表'!AN9</f>
        <v>0</v>
      </c>
      <c r="B9" s="2571" t="e">
        <f ca="1">IF(F9="是",'数据-取费表'!AO9,0)</f>
        <v>#REF!</v>
      </c>
      <c r="C9" s="2562" t="s">
        <v>2514</v>
      </c>
      <c r="D9" s="2565"/>
      <c r="E9" s="2573">
        <f>IF(OR(A9=0,F9="否"),0,'数据-取费表'!K9+'数据-取费表'!S9)</f>
        <v>0</v>
      </c>
      <c r="F9" s="2574" t="s">
        <v>2520</v>
      </c>
    </row>
    <row r="10" spans="1:6">
      <c r="A10" s="2572">
        <f>'数据-取费表'!AN10</f>
        <v>0</v>
      </c>
      <c r="B10" s="2571" t="e">
        <f ca="1">IF(F10="是",'数据-取费表'!AO10,0)</f>
        <v>#REF!</v>
      </c>
      <c r="C10" s="2562" t="s">
        <v>2514</v>
      </c>
      <c r="D10" s="2565"/>
      <c r="E10" s="2573">
        <f>IF(OR(A10=0,F10="否"),0,'数据-取费表'!K10+'数据-取费表'!S10)</f>
        <v>0</v>
      </c>
      <c r="F10" s="2574" t="s">
        <v>2520</v>
      </c>
    </row>
    <row r="11" spans="1:6">
      <c r="A11" s="2572">
        <f>'数据-取费表'!AN11</f>
        <v>0</v>
      </c>
      <c r="B11" s="2571" t="e">
        <f ca="1">IF(F11="是",'数据-取费表'!AO11,0)</f>
        <v>#REF!</v>
      </c>
      <c r="C11" s="2562" t="s">
        <v>2514</v>
      </c>
      <c r="D11" s="2565"/>
      <c r="E11" s="2573">
        <f>IF(OR(A11=0,F11="否"),0,'数据-取费表'!K11+'数据-取费表'!S11)</f>
        <v>0</v>
      </c>
      <c r="F11" s="2574" t="s">
        <v>2520</v>
      </c>
    </row>
    <row r="12" spans="1:6">
      <c r="A12" s="2572">
        <f>'数据-取费表'!AN12</f>
        <v>0</v>
      </c>
      <c r="B12" s="2571" t="e">
        <f ca="1">IF(F12="是",'数据-取费表'!AO12,0)</f>
        <v>#REF!</v>
      </c>
      <c r="C12" s="2562" t="s">
        <v>2514</v>
      </c>
      <c r="D12" s="2565"/>
      <c r="E12" s="2573">
        <f>IF(OR(A12=0,F12="否"),0,'数据-取费表'!K12+'数据-取费表'!S12)</f>
        <v>0</v>
      </c>
      <c r="F12" s="2574" t="s">
        <v>2520</v>
      </c>
    </row>
    <row r="13" spans="1:6" ht="15" thickBot="1">
      <c r="A13" s="2575">
        <f>'数据-取费表'!AN13</f>
        <v>0</v>
      </c>
      <c r="B13" s="2571" t="e">
        <f ca="1">IF(F13="是",'数据-取费表'!AO13,0)</f>
        <v>#REF!</v>
      </c>
      <c r="C13" s="2576" t="s">
        <v>2514</v>
      </c>
      <c r="D13" s="2577"/>
      <c r="E13" s="2573">
        <f>IF(OR(A13=0,F13="否"),0,'数据-取费表'!K13+'数据-取费表'!S13)</f>
        <v>0</v>
      </c>
      <c r="F13" s="2574" t="s">
        <v>2520</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0" sqref="F20"/>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2521</v>
      </c>
      <c r="B1" s="2558"/>
      <c r="C1" s="2558"/>
      <c r="D1" s="2558"/>
      <c r="E1" s="2559"/>
    </row>
    <row r="2" spans="1:6" ht="15.75">
      <c r="A2" s="2560" t="s">
        <v>2322</v>
      </c>
      <c r="B2" s="2561">
        <f ca="1">SUMIF(B6:B13,"&lt;&gt;#ref!",B6:B13)</f>
        <v>25906</v>
      </c>
      <c r="C2" s="2562" t="s">
        <v>2514</v>
      </c>
      <c r="D2" s="2563" t="s">
        <v>2515</v>
      </c>
      <c r="E2" s="2564">
        <f>SUM(E6:E13)</f>
        <v>25398.790000000005</v>
      </c>
    </row>
    <row r="3" spans="1:6" ht="15.75">
      <c r="A3" s="2560" t="s">
        <v>1395</v>
      </c>
      <c r="B3" s="2561">
        <f ca="1">ROUND(B2*10000/E2,0)</f>
        <v>10200</v>
      </c>
      <c r="C3" s="2562" t="s">
        <v>2522</v>
      </c>
      <c r="D3" s="2565"/>
      <c r="E3" s="2566"/>
    </row>
    <row r="4" spans="1:6" ht="15.75">
      <c r="A4" s="2567"/>
      <c r="B4" s="2565"/>
      <c r="C4" s="2565"/>
      <c r="D4" s="2565"/>
      <c r="E4" s="2566"/>
    </row>
    <row r="5" spans="1:6" ht="15">
      <c r="A5" s="2568" t="s">
        <v>2516</v>
      </c>
      <c r="B5" s="3166" t="s">
        <v>2517</v>
      </c>
      <c r="C5" s="3166"/>
      <c r="D5" s="2569"/>
      <c r="E5" s="2570" t="s">
        <v>2518</v>
      </c>
      <c r="F5" s="2571" t="s">
        <v>2519</v>
      </c>
    </row>
    <row r="6" spans="1:6">
      <c r="A6" s="2572" t="str">
        <f>'数据-取费表'!AN6</f>
        <v>收益法-商住</v>
      </c>
      <c r="B6" s="2571">
        <f ca="1">IF(F6="是",'数据-取费表'!AO6,0)</f>
        <v>21552</v>
      </c>
      <c r="C6" s="2562" t="s">
        <v>2514</v>
      </c>
      <c r="D6" s="2565"/>
      <c r="E6" s="2573">
        <f>IF(OR(A6=0,F6="否"),0,'数据-取费表'!K6+'数据-取费表'!S6)</f>
        <v>21431.910000000003</v>
      </c>
      <c r="F6" s="2574" t="s">
        <v>2520</v>
      </c>
    </row>
    <row r="7" spans="1:6">
      <c r="A7" s="2572" t="str">
        <f>'数据-取费表'!AN7</f>
        <v>收益法-底商</v>
      </c>
      <c r="B7" s="2571">
        <f ca="1">IF(F7="是",'数据-取费表'!AO7,0)</f>
        <v>4354</v>
      </c>
      <c r="C7" s="2562" t="s">
        <v>2514</v>
      </c>
      <c r="D7" s="2565"/>
      <c r="E7" s="2573">
        <f>IF(OR(A7=0,F7="否"),0,'数据-取费表'!K7+'数据-取费表'!S7)</f>
        <v>3966.8800000000006</v>
      </c>
      <c r="F7" s="2574" t="s">
        <v>2520</v>
      </c>
    </row>
    <row r="8" spans="1:6">
      <c r="A8" s="2572">
        <f>'数据-取费表'!AN8</f>
        <v>0</v>
      </c>
      <c r="B8" s="2571" t="e">
        <f ca="1">IF(F8="是",'数据-取费表'!AO8,0)</f>
        <v>#REF!</v>
      </c>
      <c r="C8" s="2562" t="s">
        <v>2514</v>
      </c>
      <c r="D8" s="2565"/>
      <c r="E8" s="2573">
        <f>IF(OR(A8=0,F8="否"),0,'数据-取费表'!K8+'数据-取费表'!S8)</f>
        <v>0</v>
      </c>
      <c r="F8" s="2574" t="s">
        <v>2520</v>
      </c>
    </row>
    <row r="9" spans="1:6">
      <c r="A9" s="2572">
        <f>'数据-取费表'!AN9</f>
        <v>0</v>
      </c>
      <c r="B9" s="2571" t="e">
        <f ca="1">IF(F9="是",'数据-取费表'!AO9,0)</f>
        <v>#REF!</v>
      </c>
      <c r="C9" s="2562" t="s">
        <v>2514</v>
      </c>
      <c r="D9" s="2565"/>
      <c r="E9" s="2573">
        <f>IF(OR(A9=0,F9="否"),0,'数据-取费表'!K9+'数据-取费表'!S9)</f>
        <v>0</v>
      </c>
      <c r="F9" s="2574" t="s">
        <v>2520</v>
      </c>
    </row>
    <row r="10" spans="1:6">
      <c r="A10" s="2572">
        <f>'数据-取费表'!AN10</f>
        <v>0</v>
      </c>
      <c r="B10" s="2571" t="e">
        <f ca="1">IF(F10="是",'数据-取费表'!AO10,0)</f>
        <v>#REF!</v>
      </c>
      <c r="C10" s="2562" t="s">
        <v>2514</v>
      </c>
      <c r="D10" s="2565"/>
      <c r="E10" s="2573">
        <f>IF(OR(A10=0,F10="否"),0,'数据-取费表'!K10+'数据-取费表'!S10)</f>
        <v>0</v>
      </c>
      <c r="F10" s="2574" t="s">
        <v>2520</v>
      </c>
    </row>
    <row r="11" spans="1:6">
      <c r="A11" s="2572">
        <f>'数据-取费表'!AN11</f>
        <v>0</v>
      </c>
      <c r="B11" s="2571" t="e">
        <f ca="1">IF(F11="是",'数据-取费表'!AO11,0)</f>
        <v>#REF!</v>
      </c>
      <c r="C11" s="2562" t="s">
        <v>2514</v>
      </c>
      <c r="D11" s="2565"/>
      <c r="E11" s="2573">
        <f>IF(OR(A11=0,F11="否"),0,'数据-取费表'!K11+'数据-取费表'!S11)</f>
        <v>0</v>
      </c>
      <c r="F11" s="2574" t="s">
        <v>2520</v>
      </c>
    </row>
    <row r="12" spans="1:6">
      <c r="A12" s="2572">
        <f>'数据-取费表'!AN12</f>
        <v>0</v>
      </c>
      <c r="B12" s="2571" t="e">
        <f ca="1">IF(F12="是",'数据-取费表'!AO12,0)</f>
        <v>#REF!</v>
      </c>
      <c r="C12" s="2562" t="s">
        <v>2514</v>
      </c>
      <c r="D12" s="2565"/>
      <c r="E12" s="2573">
        <f>IF(OR(A12=0,F12="否"),0,'数据-取费表'!K12+'数据-取费表'!S12)</f>
        <v>0</v>
      </c>
      <c r="F12" s="2574" t="s">
        <v>2520</v>
      </c>
    </row>
    <row r="13" spans="1:6" ht="15" thickBot="1">
      <c r="A13" s="2575">
        <f>'数据-取费表'!AN13</f>
        <v>0</v>
      </c>
      <c r="B13" s="2571" t="e">
        <f ca="1">IF(F13="是",'数据-取费表'!AO13,0)</f>
        <v>#REF!</v>
      </c>
      <c r="C13" s="2576" t="s">
        <v>2514</v>
      </c>
      <c r="D13" s="2577"/>
      <c r="E13" s="2573">
        <f>IF(OR(A13=0,F13="否"),0,'数据-取费表'!K13+'数据-取费表'!S13)</f>
        <v>0</v>
      </c>
      <c r="F13" s="2574"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7" t="s">
        <v>1076</v>
      </c>
      <c r="B1" s="3168"/>
      <c r="C1" s="3169"/>
      <c r="D1" s="3170">
        <f>SUM(I10,I15,I20,I21,I23)</f>
        <v>0</v>
      </c>
      <c r="E1" s="3170"/>
      <c r="F1" s="3170"/>
      <c r="G1" s="3170"/>
      <c r="H1" s="3170"/>
      <c r="I1" s="3171"/>
    </row>
    <row r="2" spans="1:9">
      <c r="A2" s="3172" t="s">
        <v>1077</v>
      </c>
      <c r="B2" s="3173" t="s">
        <v>1078</v>
      </c>
      <c r="C2" s="3173"/>
      <c r="D2" s="1301" t="s">
        <v>1079</v>
      </c>
      <c r="E2" s="1301" t="s">
        <v>1080</v>
      </c>
      <c r="F2" s="1301" t="s">
        <v>1081</v>
      </c>
      <c r="G2" s="1301" t="s">
        <v>1082</v>
      </c>
      <c r="H2" s="1301" t="s">
        <v>1083</v>
      </c>
      <c r="I2" s="1302" t="s">
        <v>1084</v>
      </c>
    </row>
    <row r="3" spans="1:9">
      <c r="A3" s="3172"/>
      <c r="B3" s="3173" t="s">
        <v>1085</v>
      </c>
      <c r="C3" s="3173"/>
      <c r="D3" s="1303"/>
      <c r="E3" s="1301"/>
      <c r="F3" s="1304"/>
      <c r="G3" s="1304"/>
      <c r="H3" s="1305"/>
      <c r="I3" s="1306">
        <f>ROUND(D3*E3*F3*G3*H3/10000,0)</f>
        <v>0</v>
      </c>
    </row>
    <row r="4" spans="1:9">
      <c r="A4" s="3172"/>
      <c r="B4" s="3173" t="s">
        <v>1086</v>
      </c>
      <c r="C4" s="3173"/>
      <c r="D4" s="1303"/>
      <c r="E4" s="1301"/>
      <c r="F4" s="1304"/>
      <c r="G4" s="1304"/>
      <c r="H4" s="1305"/>
      <c r="I4" s="1306">
        <f t="shared" ref="I4:I9" si="0">ROUND(D4*E4*F4*G4*H4/10000,0)</f>
        <v>0</v>
      </c>
    </row>
    <row r="5" spans="1:9">
      <c r="A5" s="3172"/>
      <c r="B5" s="3173" t="s">
        <v>1087</v>
      </c>
      <c r="C5" s="3173"/>
      <c r="D5" s="1303"/>
      <c r="E5" s="1301"/>
      <c r="F5" s="1304"/>
      <c r="G5" s="1304"/>
      <c r="H5" s="1305"/>
      <c r="I5" s="1306">
        <f t="shared" si="0"/>
        <v>0</v>
      </c>
    </row>
    <row r="6" spans="1:9">
      <c r="A6" s="3172"/>
      <c r="B6" s="3173" t="s">
        <v>1088</v>
      </c>
      <c r="C6" s="3173"/>
      <c r="D6" s="1303"/>
      <c r="E6" s="1301"/>
      <c r="F6" s="1304"/>
      <c r="G6" s="1304"/>
      <c r="H6" s="1305"/>
      <c r="I6" s="1306">
        <f t="shared" si="0"/>
        <v>0</v>
      </c>
    </row>
    <row r="7" spans="1:9">
      <c r="A7" s="3172"/>
      <c r="B7" s="3173" t="s">
        <v>1089</v>
      </c>
      <c r="C7" s="3173"/>
      <c r="D7" s="1303"/>
      <c r="E7" s="1301"/>
      <c r="F7" s="1304"/>
      <c r="G7" s="1304"/>
      <c r="H7" s="1305"/>
      <c r="I7" s="1306">
        <f t="shared" si="0"/>
        <v>0</v>
      </c>
    </row>
    <row r="8" spans="1:9">
      <c r="A8" s="3172"/>
      <c r="B8" s="3173" t="s">
        <v>1090</v>
      </c>
      <c r="C8" s="3173"/>
      <c r="D8" s="1303"/>
      <c r="E8" s="1301"/>
      <c r="F8" s="1304"/>
      <c r="G8" s="1304"/>
      <c r="H8" s="1305"/>
      <c r="I8" s="1306">
        <f t="shared" si="0"/>
        <v>0</v>
      </c>
    </row>
    <row r="9" spans="1:9">
      <c r="A9" s="3172"/>
      <c r="B9" s="3173" t="s">
        <v>1091</v>
      </c>
      <c r="C9" s="3173"/>
      <c r="D9" s="1303"/>
      <c r="E9" s="1301"/>
      <c r="F9" s="1304"/>
      <c r="G9" s="1304"/>
      <c r="H9" s="1305"/>
      <c r="I9" s="1306">
        <f t="shared" si="0"/>
        <v>0</v>
      </c>
    </row>
    <row r="10" spans="1:9">
      <c r="A10" s="3172"/>
      <c r="B10" s="3174" t="s">
        <v>1092</v>
      </c>
      <c r="C10" s="3174"/>
      <c r="D10" s="1307"/>
      <c r="E10" s="1307" t="e">
        <f>ROUND(D1*10000/D10/H9,0)</f>
        <v>#DIV/0!</v>
      </c>
      <c r="F10" s="1308"/>
      <c r="G10" s="1308"/>
      <c r="H10" s="1309"/>
      <c r="I10" s="1310">
        <f>SUM(I3:I9)</f>
        <v>0</v>
      </c>
    </row>
    <row r="11" spans="1:9" ht="14.25">
      <c r="A11" s="3172" t="s">
        <v>1093</v>
      </c>
      <c r="B11" s="3173" t="s">
        <v>1094</v>
      </c>
      <c r="C11" s="3173"/>
      <c r="D11" s="1303" t="s">
        <v>1095</v>
      </c>
      <c r="E11" s="1303" t="s">
        <v>1096</v>
      </c>
      <c r="F11" s="1304" t="s">
        <v>1097</v>
      </c>
      <c r="G11" s="1304" t="s">
        <v>1083</v>
      </c>
      <c r="H11" s="1311" t="s">
        <v>1098</v>
      </c>
      <c r="I11" s="1302" t="s">
        <v>1084</v>
      </c>
    </row>
    <row r="12" spans="1:9">
      <c r="A12" s="3172"/>
      <c r="B12" s="3173" t="s">
        <v>1099</v>
      </c>
      <c r="C12" s="3173"/>
      <c r="D12" s="1303"/>
      <c r="E12" s="1303"/>
      <c r="F12" s="1304"/>
      <c r="G12" s="1305"/>
      <c r="H12" s="1312"/>
      <c r="I12" s="1302">
        <f>ROUND(D12*E12*F12*G12/10000,0)</f>
        <v>0</v>
      </c>
    </row>
    <row r="13" spans="1:9">
      <c r="A13" s="3172"/>
      <c r="B13" s="3173" t="s">
        <v>1100</v>
      </c>
      <c r="C13" s="3173"/>
      <c r="D13" s="1303"/>
      <c r="E13" s="1303"/>
      <c r="F13" s="1304"/>
      <c r="G13" s="1305"/>
      <c r="H13" s="1312"/>
      <c r="I13" s="1302">
        <f>ROUND(D13*E13*F13*G13/10000,0)</f>
        <v>0</v>
      </c>
    </row>
    <row r="14" spans="1:9">
      <c r="A14" s="3172"/>
      <c r="B14" s="3173" t="s">
        <v>1101</v>
      </c>
      <c r="C14" s="3173"/>
      <c r="D14" s="1303"/>
      <c r="E14" s="1303"/>
      <c r="F14" s="1304"/>
      <c r="G14" s="1305"/>
      <c r="H14" s="1312"/>
      <c r="I14" s="1302">
        <f>ROUND(D14*E14*F14*G14/10000,0)</f>
        <v>0</v>
      </c>
    </row>
    <row r="15" spans="1:9">
      <c r="A15" s="3172"/>
      <c r="B15" s="3174" t="s">
        <v>1092</v>
      </c>
      <c r="C15" s="3174"/>
      <c r="D15" s="1307"/>
      <c r="E15" s="1307">
        <f>SUM(E12:E14)</f>
        <v>0</v>
      </c>
      <c r="F15" s="1308"/>
      <c r="G15" s="1305"/>
      <c r="H15" s="1312"/>
      <c r="I15" s="1313">
        <f>SUM(I12:I14)</f>
        <v>0</v>
      </c>
    </row>
    <row r="16" spans="1:9" ht="24">
      <c r="A16" s="3172" t="s">
        <v>1102</v>
      </c>
      <c r="B16" s="3173" t="s">
        <v>1103</v>
      </c>
      <c r="C16" s="3173"/>
      <c r="D16" s="1303" t="s">
        <v>1079</v>
      </c>
      <c r="E16" s="1314" t="s">
        <v>1104</v>
      </c>
      <c r="F16" s="1304" t="s">
        <v>1105</v>
      </c>
      <c r="G16" s="1305" t="s">
        <v>1083</v>
      </c>
      <c r="H16" s="1311" t="s">
        <v>1098</v>
      </c>
      <c r="I16" s="1302" t="s">
        <v>1084</v>
      </c>
    </row>
    <row r="17" spans="1:9" ht="14.25">
      <c r="A17" s="3172"/>
      <c r="B17" s="3173" t="s">
        <v>1106</v>
      </c>
      <c r="C17" s="3173"/>
      <c r="D17" s="1303"/>
      <c r="E17" s="1303"/>
      <c r="F17" s="1304"/>
      <c r="G17" s="1305"/>
      <c r="H17" s="1315"/>
      <c r="I17" s="1316">
        <f>ROUND(D17*E17*F17*G17/10000,0)</f>
        <v>0</v>
      </c>
    </row>
    <row r="18" spans="1:9" ht="14.25">
      <c r="A18" s="3172"/>
      <c r="B18" s="3173" t="s">
        <v>1107</v>
      </c>
      <c r="C18" s="3173"/>
      <c r="D18" s="1303"/>
      <c r="E18" s="1303"/>
      <c r="F18" s="1304"/>
      <c r="G18" s="1305"/>
      <c r="H18" s="1315"/>
      <c r="I18" s="1316">
        <f>ROUND(D18*E18*F18*G18/10000,0)</f>
        <v>0</v>
      </c>
    </row>
    <row r="19" spans="1:9" ht="14.25">
      <c r="A19" s="3172"/>
      <c r="B19" s="3173" t="s">
        <v>1108</v>
      </c>
      <c r="C19" s="3173"/>
      <c r="D19" s="1303"/>
      <c r="E19" s="1303"/>
      <c r="F19" s="1304"/>
      <c r="G19" s="1305"/>
      <c r="H19" s="1315"/>
      <c r="I19" s="1316">
        <f>ROUND(D19*E19*F19*G19/10000,0)</f>
        <v>0</v>
      </c>
    </row>
    <row r="20" spans="1:9">
      <c r="A20" s="3172"/>
      <c r="B20" s="3174" t="s">
        <v>1092</v>
      </c>
      <c r="C20" s="3174"/>
      <c r="D20" s="1307">
        <f>SUM(D17:D19)</f>
        <v>0</v>
      </c>
      <c r="E20" s="1307"/>
      <c r="F20" s="1308"/>
      <c r="G20" s="1305"/>
      <c r="H20" s="1312"/>
      <c r="I20" s="1313">
        <f>SUM(I17:I19)</f>
        <v>0</v>
      </c>
    </row>
    <row r="21" spans="1:9">
      <c r="A21" s="3172" t="s">
        <v>1109</v>
      </c>
      <c r="B21" s="3176"/>
      <c r="C21" s="3176"/>
      <c r="D21" s="3176"/>
      <c r="E21" s="3176"/>
      <c r="F21" s="3176"/>
      <c r="G21" s="3176"/>
      <c r="H21" s="1765">
        <v>0.1</v>
      </c>
      <c r="I21" s="1310">
        <f>ROUND(I10*H21,0)</f>
        <v>0</v>
      </c>
    </row>
    <row r="22" spans="1:9" ht="14.25">
      <c r="A22" s="3177" t="s">
        <v>1110</v>
      </c>
      <c r="B22" s="3178"/>
      <c r="C22" s="3179"/>
      <c r="D22" s="1317" t="s">
        <v>1111</v>
      </c>
      <c r="E22" s="1317" t="s">
        <v>1112</v>
      </c>
      <c r="F22" s="1318" t="s">
        <v>1113</v>
      </c>
      <c r="G22" s="1318" t="s">
        <v>1114</v>
      </c>
      <c r="H22" s="1311" t="s">
        <v>1115</v>
      </c>
      <c r="I22" s="1302" t="s">
        <v>1116</v>
      </c>
    </row>
    <row r="23" spans="1:9" ht="14.25" thickBot="1">
      <c r="A23" s="3180"/>
      <c r="B23" s="3181"/>
      <c r="C23" s="3182"/>
      <c r="D23" s="1319"/>
      <c r="E23" s="1319"/>
      <c r="F23" s="1319"/>
      <c r="G23" s="1320"/>
      <c r="H23" s="1321"/>
      <c r="I23" s="1322">
        <f>ROUND(E23*D23*F23*(1-G23)/10000,0)</f>
        <v>0</v>
      </c>
    </row>
    <row r="26" spans="1:9">
      <c r="A26" s="1323" t="s">
        <v>1117</v>
      </c>
      <c r="B26" s="1323"/>
      <c r="C26" s="1323"/>
      <c r="D26" s="1323"/>
      <c r="E26" s="3183">
        <f>C27-C30-C31-C32</f>
        <v>0</v>
      </c>
      <c r="F26" s="3183"/>
      <c r="G26" s="3183"/>
      <c r="H26" s="1737" t="s">
        <v>1340</v>
      </c>
    </row>
    <row r="27" spans="1:9">
      <c r="A27" s="1324">
        <v>1</v>
      </c>
      <c r="B27" s="1325" t="s">
        <v>1118</v>
      </c>
      <c r="C27" s="1325">
        <f>C28+C29</f>
        <v>0</v>
      </c>
      <c r="D27" s="1325"/>
      <c r="E27" s="3184"/>
      <c r="F27" s="3184"/>
      <c r="G27" s="3184"/>
    </row>
    <row r="28" spans="1:9">
      <c r="A28" s="1326" t="s">
        <v>1119</v>
      </c>
      <c r="B28" s="1325" t="s">
        <v>1120</v>
      </c>
      <c r="C28" s="1325"/>
      <c r="D28" s="1325"/>
      <c r="E28" s="3184"/>
      <c r="F28" s="3184"/>
      <c r="G28" s="3184"/>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75"/>
      <c r="F32" s="3175"/>
      <c r="G32" s="3175"/>
    </row>
    <row r="33" spans="1:7" hidden="1">
      <c r="A33" s="3185" t="s">
        <v>1129</v>
      </c>
      <c r="B33" s="3186"/>
      <c r="C33" s="3186"/>
      <c r="D33" s="3187"/>
      <c r="E33" s="3183"/>
      <c r="F33" s="3183"/>
      <c r="G33" s="3183"/>
    </row>
    <row r="34" spans="1:7" hidden="1">
      <c r="A34" s="1328">
        <v>1</v>
      </c>
      <c r="B34" s="1325" t="s">
        <v>1130</v>
      </c>
      <c r="C34" s="1325"/>
      <c r="D34" s="1325"/>
      <c r="E34" s="3184"/>
      <c r="F34" s="3184"/>
      <c r="G34" s="3184"/>
    </row>
    <row r="35" spans="1:7" hidden="1">
      <c r="A35" s="1328">
        <v>2</v>
      </c>
      <c r="B35" s="1325" t="s">
        <v>1131</v>
      </c>
      <c r="C35" s="1325"/>
      <c r="D35" s="1325"/>
      <c r="E35" s="3184"/>
      <c r="F35" s="3184"/>
      <c r="G35" s="3184"/>
    </row>
    <row r="36" spans="1:7" hidden="1">
      <c r="A36" s="1328">
        <v>3</v>
      </c>
      <c r="B36" s="1325" t="s">
        <v>1132</v>
      </c>
      <c r="C36" s="1325"/>
      <c r="D36" s="1325"/>
      <c r="E36" s="3184"/>
      <c r="F36" s="3184"/>
      <c r="G36" s="3184"/>
    </row>
    <row r="37" spans="1:7" hidden="1">
      <c r="A37" s="1328">
        <v>4</v>
      </c>
      <c r="B37" s="1325" t="s">
        <v>1133</v>
      </c>
      <c r="C37" s="1325"/>
      <c r="D37" s="1325"/>
      <c r="E37" s="3184"/>
      <c r="F37" s="3184"/>
      <c r="G37" s="3184"/>
    </row>
    <row r="38" spans="1:7" hidden="1">
      <c r="A38" s="3185" t="s">
        <v>1134</v>
      </c>
      <c r="B38" s="3186"/>
      <c r="C38" s="3186"/>
      <c r="D38" s="3187"/>
      <c r="E38" s="3183"/>
      <c r="F38" s="3183"/>
      <c r="G38" s="31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97" zoomScale="90" zoomScaleNormal="90" workbookViewId="0">
      <selection activeCell="C103" sqref="C103:F10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8" t="s">
        <v>2524</v>
      </c>
      <c r="C1" s="1634" t="s">
        <v>2525</v>
      </c>
      <c r="D1" s="1621" t="s">
        <v>3343</v>
      </c>
      <c r="E1" s="2579"/>
      <c r="F1" s="2580" t="s">
        <v>2526</v>
      </c>
      <c r="G1" s="1631" t="s">
        <v>2527</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1394</v>
      </c>
      <c r="B2" s="1418">
        <f>IF(C2="——",ROUND(C49*D3/10000,0),ROUND(C49*D3/10000,0)-D2)</f>
        <v>75502</v>
      </c>
      <c r="C2" s="2582" t="s">
        <v>70</v>
      </c>
      <c r="D2" s="1365" t="e">
        <f ca="1">SUMIF(INDIRECT("'"&amp;F2&amp;"'"&amp;"!A:A"),"承租人权益价值",INDIRECT("'"&amp;F2&amp;"'"&amp;"!c:c"))</f>
        <v>#REF!</v>
      </c>
      <c r="E2" s="2583" t="s">
        <v>2528</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f>IF(C2="——",C49,ROUND(B2*10000/D3,0))</f>
        <v>35229</v>
      </c>
      <c r="C3" s="400" t="s">
        <v>2529</v>
      </c>
      <c r="D3" s="399">
        <f>IF(D1="",'数据-汇总表'!E3,SUMIF('数据-汇总表'!$C19:$C33,D1,'数据-汇总表'!$E19:$E33))</f>
        <v>21431.910000000003</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2530</v>
      </c>
      <c r="B4" s="402"/>
      <c r="C4" s="3206" t="s">
        <v>2531</v>
      </c>
      <c r="D4" s="3207"/>
      <c r="E4" s="3208" t="s">
        <v>2532</v>
      </c>
      <c r="F4" s="3209"/>
      <c r="G4" s="3206" t="s">
        <v>2533</v>
      </c>
      <c r="H4" s="3207"/>
      <c r="I4" s="3206" t="s">
        <v>2534</v>
      </c>
      <c r="J4" s="3207"/>
      <c r="K4" s="2592" t="s">
        <v>2535</v>
      </c>
      <c r="L4" s="1130"/>
      <c r="M4" s="1131"/>
      <c r="N4" s="1131"/>
      <c r="O4" s="1131"/>
      <c r="P4" s="3210" t="s">
        <v>2536</v>
      </c>
      <c r="Q4" s="3211"/>
      <c r="R4" s="3193" t="s">
        <v>2532</v>
      </c>
      <c r="S4" s="3194"/>
      <c r="T4" s="3193" t="s">
        <v>2533</v>
      </c>
      <c r="U4" s="3194"/>
      <c r="V4" s="3218" t="s">
        <v>2534</v>
      </c>
      <c r="W4" s="3218"/>
      <c r="X4" s="1812"/>
      <c r="Y4" s="3193" t="s">
        <v>2536</v>
      </c>
      <c r="Z4" s="3194"/>
      <c r="AA4" s="3188" t="s">
        <v>2532</v>
      </c>
      <c r="AB4" s="3188" t="s">
        <v>2533</v>
      </c>
      <c r="AC4" s="3188" t="s">
        <v>2534</v>
      </c>
    </row>
    <row r="5" spans="1:29" ht="15">
      <c r="A5" s="404"/>
      <c r="B5" s="405"/>
      <c r="C5" s="3199" t="s">
        <v>3403</v>
      </c>
      <c r="D5" s="3200"/>
      <c r="E5" s="3197" t="s">
        <v>3402</v>
      </c>
      <c r="F5" s="3198"/>
      <c r="G5" s="3219" t="str">
        <f>C5</f>
        <v>四季悦城</v>
      </c>
      <c r="H5" s="3200"/>
      <c r="I5" s="3199" t="s">
        <v>3405</v>
      </c>
      <c r="J5" s="3200"/>
      <c r="K5" s="2593"/>
      <c r="L5" s="1130"/>
      <c r="M5" s="1131"/>
      <c r="N5" s="1131"/>
      <c r="O5" s="1131"/>
      <c r="P5" s="3212"/>
      <c r="Q5" s="3213"/>
      <c r="R5" s="3195"/>
      <c r="S5" s="3196"/>
      <c r="T5" s="3195"/>
      <c r="U5" s="3196"/>
      <c r="V5" s="3218"/>
      <c r="W5" s="3218"/>
      <c r="X5" s="1812"/>
      <c r="Y5" s="3195"/>
      <c r="Z5" s="3196"/>
      <c r="AA5" s="3189"/>
      <c r="AB5" s="3189"/>
      <c r="AC5" s="3189"/>
    </row>
    <row r="6" spans="1:29" ht="15.75" thickBot="1">
      <c r="A6" s="406"/>
      <c r="B6" s="407"/>
      <c r="C6" s="3201" t="s">
        <v>2541</v>
      </c>
      <c r="D6" s="3202"/>
      <c r="E6" s="3203" t="s">
        <v>2541</v>
      </c>
      <c r="F6" s="3204"/>
      <c r="G6" s="3201" t="s">
        <v>2541</v>
      </c>
      <c r="H6" s="3202"/>
      <c r="I6" s="3201" t="s">
        <v>2541</v>
      </c>
      <c r="J6" s="3202"/>
      <c r="K6" s="2593" t="s">
        <v>2542</v>
      </c>
      <c r="L6" s="1130"/>
      <c r="M6" s="1131"/>
      <c r="N6" s="1131"/>
      <c r="O6" s="1131"/>
      <c r="P6" s="3214"/>
      <c r="Q6" s="3215"/>
      <c r="R6" s="3195"/>
      <c r="S6" s="3196"/>
      <c r="T6" s="3216"/>
      <c r="U6" s="3217"/>
      <c r="V6" s="3218"/>
      <c r="W6" s="3218"/>
      <c r="X6" s="1812"/>
      <c r="Y6" s="3216"/>
      <c r="Z6" s="3217"/>
      <c r="AA6" s="3190"/>
      <c r="AB6" s="3190"/>
      <c r="AC6" s="3190"/>
    </row>
    <row r="7" spans="1:29" s="117" customFormat="1" ht="15.75" thickBot="1">
      <c r="A7" s="408" t="s">
        <v>2543</v>
      </c>
      <c r="B7" s="409"/>
      <c r="C7" s="410">
        <f>'数据-取费表'!B2</f>
        <v>43335</v>
      </c>
      <c r="D7" s="411">
        <v>100</v>
      </c>
      <c r="E7" s="412">
        <v>43196</v>
      </c>
      <c r="F7" s="413">
        <f>SUMIF(58:58,YEAR(E7)&amp;"-"&amp;MONTH(E7),59:59)</f>
        <v>99.5</v>
      </c>
      <c r="G7" s="412">
        <v>43300</v>
      </c>
      <c r="H7" s="411">
        <f>SUMIF(58:58,YEAR(G7)&amp;"-"&amp;MONTH(G7),59:59)</f>
        <v>100</v>
      </c>
      <c r="I7" s="412">
        <v>43313</v>
      </c>
      <c r="J7" s="411">
        <f>SUMIF(58:58,YEAR(I7)&amp;"-"&amp;MONTH(I7),59:59)</f>
        <v>100</v>
      </c>
      <c r="K7" s="2594"/>
      <c r="L7" s="1132"/>
      <c r="M7" s="1133"/>
      <c r="N7" s="1133"/>
      <c r="O7" s="1133"/>
      <c r="P7" s="3191" t="s">
        <v>2544</v>
      </c>
      <c r="Q7" s="3220"/>
      <c r="R7" s="767" t="s">
        <v>23</v>
      </c>
      <c r="S7" s="768">
        <f t="shared" ref="S7:S15" si="0">F7</f>
        <v>99.5</v>
      </c>
      <c r="T7" s="767" t="s">
        <v>23</v>
      </c>
      <c r="U7" s="768">
        <f t="shared" ref="U7:U15" si="1">H7</f>
        <v>100</v>
      </c>
      <c r="V7" s="767" t="s">
        <v>23</v>
      </c>
      <c r="W7" s="768">
        <f t="shared" ref="W7:W15" si="2">J7</f>
        <v>100</v>
      </c>
      <c r="X7" s="769"/>
      <c r="Y7" s="3191" t="s">
        <v>2544</v>
      </c>
      <c r="Z7" s="3192"/>
      <c r="AA7" s="770">
        <f>D7/F7</f>
        <v>1.0050251256281406</v>
      </c>
      <c r="AB7" s="770">
        <f>D7/H7</f>
        <v>1</v>
      </c>
      <c r="AC7" s="770">
        <f>D7/J7</f>
        <v>1</v>
      </c>
    </row>
    <row r="8" spans="1:29" s="117" customFormat="1" ht="15.75" thickBot="1">
      <c r="A8" s="408" t="s">
        <v>2545</v>
      </c>
      <c r="B8" s="409"/>
      <c r="C8" s="414" t="s">
        <v>2546</v>
      </c>
      <c r="D8" s="411">
        <v>100</v>
      </c>
      <c r="E8" s="2595" t="s">
        <v>3361</v>
      </c>
      <c r="F8" s="413">
        <f>SUMIF(61:61,E8,62:62)-SUMIF(61:61,C8,62:62)+100</f>
        <v>100</v>
      </c>
      <c r="G8" s="414" t="s">
        <v>3361</v>
      </c>
      <c r="H8" s="411">
        <f>SUMIF(61:61,G8,62:62)-SUMIF(61:61,C8,62:62)+100</f>
        <v>100</v>
      </c>
      <c r="I8" s="2595" t="s">
        <v>3361</v>
      </c>
      <c r="J8" s="411">
        <f>SUMIF(61:61,I8,62:62)-SUMIF(61:61,C8,62:62)+100</f>
        <v>100</v>
      </c>
      <c r="K8" s="2594"/>
      <c r="L8" s="1132"/>
      <c r="M8" s="1133"/>
      <c r="N8" s="1133"/>
      <c r="O8" s="1133"/>
      <c r="P8" s="3191" t="s">
        <v>2547</v>
      </c>
      <c r="Q8" s="3192"/>
      <c r="R8" s="767" t="s">
        <v>23</v>
      </c>
      <c r="S8" s="768">
        <f t="shared" si="0"/>
        <v>100</v>
      </c>
      <c r="T8" s="767" t="s">
        <v>23</v>
      </c>
      <c r="U8" s="768">
        <f t="shared" si="1"/>
        <v>100</v>
      </c>
      <c r="V8" s="767" t="s">
        <v>23</v>
      </c>
      <c r="W8" s="768">
        <f t="shared" si="2"/>
        <v>100</v>
      </c>
      <c r="X8" s="769"/>
      <c r="Y8" s="3191" t="s">
        <v>2547</v>
      </c>
      <c r="Z8" s="3192"/>
      <c r="AA8" s="770">
        <f t="shared" ref="AA8:AA19" si="3">D8/F8</f>
        <v>1</v>
      </c>
      <c r="AB8" s="770">
        <f t="shared" ref="AB8:AB19" si="4">D8/H8</f>
        <v>1</v>
      </c>
      <c r="AC8" s="770">
        <f t="shared" ref="AC8:AC19" si="5">D8/J8</f>
        <v>1</v>
      </c>
    </row>
    <row r="9" spans="1:29" s="117" customFormat="1">
      <c r="A9" s="415" t="s">
        <v>2548</v>
      </c>
      <c r="B9" s="71" t="s">
        <v>2549</v>
      </c>
      <c r="C9" s="2954" t="s">
        <v>3364</v>
      </c>
      <c r="D9" s="135">
        <v>100</v>
      </c>
      <c r="E9" s="417" t="s">
        <v>27</v>
      </c>
      <c r="F9" s="418">
        <f>SUMIF(63:63,E9,64:64)-SUMIF(63:63,C9,64:64)+100</f>
        <v>100</v>
      </c>
      <c r="G9" s="417" t="s">
        <v>27</v>
      </c>
      <c r="H9" s="135">
        <f>SUMIF(63:63,G9,64:64)-SUMIF(63:63,C9,64:64)+100</f>
        <v>100</v>
      </c>
      <c r="I9" s="417" t="s">
        <v>27</v>
      </c>
      <c r="J9" s="135">
        <f>SUMIF(63:63,I9,64:64)-SUMIF(63:63,C9,64:64)+100</f>
        <v>100</v>
      </c>
      <c r="K9" s="2594"/>
      <c r="L9" s="1132"/>
      <c r="M9" s="1133"/>
      <c r="N9" s="1133"/>
      <c r="O9" s="1133"/>
      <c r="P9" s="3205" t="s">
        <v>2550</v>
      </c>
      <c r="Q9" s="1794" t="str">
        <f t="shared" ref="Q9:Q15" si="6">B9</f>
        <v>用途</v>
      </c>
      <c r="R9" s="767" t="s">
        <v>17</v>
      </c>
      <c r="S9" s="768">
        <f t="shared" si="0"/>
        <v>100</v>
      </c>
      <c r="T9" s="767" t="s">
        <v>17</v>
      </c>
      <c r="U9" s="768">
        <f t="shared" si="1"/>
        <v>100</v>
      </c>
      <c r="V9" s="767" t="s">
        <v>17</v>
      </c>
      <c r="W9" s="768">
        <f t="shared" si="2"/>
        <v>100</v>
      </c>
      <c r="X9" s="769"/>
      <c r="Y9" s="3038" t="s">
        <v>2551</v>
      </c>
      <c r="Z9" s="55" t="str">
        <f t="shared" ref="Z9:Z15" si="7">Q9</f>
        <v>用途</v>
      </c>
      <c r="AA9" s="770">
        <f t="shared" si="3"/>
        <v>1</v>
      </c>
      <c r="AB9" s="770">
        <f t="shared" si="4"/>
        <v>1</v>
      </c>
      <c r="AC9" s="770">
        <f t="shared" si="5"/>
        <v>1</v>
      </c>
    </row>
    <row r="10" spans="1:29" s="427" customFormat="1" ht="27.75" thickBot="1">
      <c r="A10" s="421"/>
      <c r="B10" s="422" t="s">
        <v>2552</v>
      </c>
      <c r="C10" s="423" t="s">
        <v>3360</v>
      </c>
      <c r="D10" s="136">
        <v>100</v>
      </c>
      <c r="E10" s="424" t="s">
        <v>3360</v>
      </c>
      <c r="F10" s="425">
        <f>SUMIF(65:65,E10,66:66)-SUMIF(65:65,C10,66:66)+100</f>
        <v>100</v>
      </c>
      <c r="G10" s="423" t="s">
        <v>3360</v>
      </c>
      <c r="H10" s="136">
        <f>SUMIF(65:65,G10,66:66)-SUMIF(65:65,C10,66:66)+100</f>
        <v>100</v>
      </c>
      <c r="I10" s="423" t="s">
        <v>3360</v>
      </c>
      <c r="J10" s="136">
        <f>SUMIF(65:65,I10,66:66)-SUMIF(65:65,C10,66:66)+100</f>
        <v>100</v>
      </c>
      <c r="K10" s="426">
        <v>2</v>
      </c>
      <c r="L10" s="1135"/>
      <c r="M10" s="1136"/>
      <c r="N10" s="1136"/>
      <c r="O10" s="1136"/>
      <c r="P10" s="3205"/>
      <c r="Q10" s="1794" t="str">
        <f t="shared" si="6"/>
        <v>土地使用年限（年）</v>
      </c>
      <c r="R10" s="767" t="s">
        <v>17</v>
      </c>
      <c r="S10" s="768">
        <f t="shared" si="0"/>
        <v>100</v>
      </c>
      <c r="T10" s="767" t="s">
        <v>17</v>
      </c>
      <c r="U10" s="768">
        <f t="shared" si="1"/>
        <v>100</v>
      </c>
      <c r="V10" s="767" t="s">
        <v>17</v>
      </c>
      <c r="W10" s="768">
        <f t="shared" si="2"/>
        <v>100</v>
      </c>
      <c r="X10" s="769"/>
      <c r="Y10" s="3038"/>
      <c r="Z10" s="55" t="str">
        <f t="shared" si="7"/>
        <v>土地使用年限（年）</v>
      </c>
      <c r="AA10" s="770">
        <f t="shared" si="3"/>
        <v>1</v>
      </c>
      <c r="AB10" s="770">
        <f t="shared" si="4"/>
        <v>1</v>
      </c>
      <c r="AC10" s="770">
        <f t="shared" si="5"/>
        <v>1</v>
      </c>
    </row>
    <row r="11" spans="1:29" ht="15.75" hidden="1" thickBot="1">
      <c r="A11" s="428"/>
      <c r="B11" s="422" t="s">
        <v>2553</v>
      </c>
      <c r="C11" s="429"/>
      <c r="D11" s="136">
        <v>100</v>
      </c>
      <c r="E11" s="430"/>
      <c r="F11" s="425">
        <f>LOOKUP(E11,68:68,69:69)-LOOKUP(C11,68:68,69:69)+100</f>
        <v>100</v>
      </c>
      <c r="G11" s="429"/>
      <c r="H11" s="136">
        <f>LOOKUP(G11,68:68,69:69)-LOOKUP(C11,68:68,69:69)+100</f>
        <v>100</v>
      </c>
      <c r="I11" s="429"/>
      <c r="J11" s="136">
        <f>LOOKUP(I11,68:68,69:69)-LOOKUP(C11,68:68,69:69)+100</f>
        <v>100</v>
      </c>
      <c r="K11" s="426"/>
      <c r="L11" s="1138"/>
      <c r="M11" s="1131"/>
      <c r="N11" s="1131"/>
      <c r="O11" s="1131"/>
      <c r="P11" s="3205"/>
      <c r="Q11" s="1794" t="str">
        <f t="shared" si="6"/>
        <v>容积率</v>
      </c>
      <c r="R11" s="767" t="s">
        <v>21</v>
      </c>
      <c r="S11" s="768">
        <f t="shared" si="0"/>
        <v>100</v>
      </c>
      <c r="T11" s="767" t="s">
        <v>21</v>
      </c>
      <c r="U11" s="768">
        <f t="shared" si="1"/>
        <v>100</v>
      </c>
      <c r="V11" s="767" t="s">
        <v>21</v>
      </c>
      <c r="W11" s="768">
        <f t="shared" si="2"/>
        <v>100</v>
      </c>
      <c r="X11" s="769"/>
      <c r="Y11" s="3038"/>
      <c r="Z11" s="55" t="str">
        <f t="shared" si="7"/>
        <v>容积率</v>
      </c>
      <c r="AA11" s="770">
        <f t="shared" si="3"/>
        <v>1</v>
      </c>
      <c r="AB11" s="770">
        <f t="shared" si="4"/>
        <v>1</v>
      </c>
      <c r="AC11" s="770">
        <f t="shared" si="5"/>
        <v>1</v>
      </c>
    </row>
    <row r="12" spans="1:29" s="117" customFormat="1" ht="15" hidden="1">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05"/>
      <c r="Q12" s="1794">
        <f t="shared" si="6"/>
        <v>111</v>
      </c>
      <c r="R12" s="767" t="s">
        <v>21</v>
      </c>
      <c r="S12" s="768">
        <f t="shared" si="0"/>
        <v>100</v>
      </c>
      <c r="T12" s="767" t="s">
        <v>21</v>
      </c>
      <c r="U12" s="768">
        <f t="shared" si="1"/>
        <v>100</v>
      </c>
      <c r="V12" s="767" t="s">
        <v>21</v>
      </c>
      <c r="W12" s="768">
        <f t="shared" si="2"/>
        <v>100</v>
      </c>
      <c r="X12" s="769"/>
      <c r="Y12" s="3038"/>
      <c r="Z12" s="55">
        <f t="shared" si="7"/>
        <v>111</v>
      </c>
      <c r="AA12" s="770">
        <f>D12/F12</f>
        <v>1</v>
      </c>
      <c r="AB12" s="770">
        <f>D12/H12</f>
        <v>1</v>
      </c>
      <c r="AC12" s="770">
        <f>D12/J12</f>
        <v>1</v>
      </c>
    </row>
    <row r="13" spans="1:29" ht="15" hidden="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05"/>
      <c r="Q13" s="1794">
        <f t="shared" si="6"/>
        <v>111</v>
      </c>
      <c r="R13" s="767" t="s">
        <v>21</v>
      </c>
      <c r="S13" s="768">
        <f t="shared" si="0"/>
        <v>100</v>
      </c>
      <c r="T13" s="767" t="s">
        <v>21</v>
      </c>
      <c r="U13" s="768">
        <f t="shared" si="1"/>
        <v>100</v>
      </c>
      <c r="V13" s="767" t="s">
        <v>21</v>
      </c>
      <c r="W13" s="768">
        <f t="shared" si="2"/>
        <v>100</v>
      </c>
      <c r="X13" s="769"/>
      <c r="Y13" s="3038"/>
      <c r="Z13" s="55">
        <f t="shared" si="7"/>
        <v>111</v>
      </c>
      <c r="AA13" s="770">
        <f t="shared" si="3"/>
        <v>1</v>
      </c>
      <c r="AB13" s="770">
        <f t="shared" si="4"/>
        <v>1</v>
      </c>
      <c r="AC13" s="770">
        <f t="shared" si="5"/>
        <v>1</v>
      </c>
    </row>
    <row r="14" spans="1:29" ht="15.75" hidden="1"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05"/>
      <c r="Q14" s="1794">
        <f t="shared" si="6"/>
        <v>111</v>
      </c>
      <c r="R14" s="767" t="s">
        <v>21</v>
      </c>
      <c r="S14" s="768">
        <f t="shared" si="0"/>
        <v>100</v>
      </c>
      <c r="T14" s="767" t="s">
        <v>21</v>
      </c>
      <c r="U14" s="768">
        <f t="shared" si="1"/>
        <v>100</v>
      </c>
      <c r="V14" s="767" t="s">
        <v>21</v>
      </c>
      <c r="W14" s="768">
        <f t="shared" si="2"/>
        <v>100</v>
      </c>
      <c r="X14" s="769"/>
      <c r="Y14" s="3038"/>
      <c r="Z14" s="55">
        <f t="shared" si="7"/>
        <v>111</v>
      </c>
      <c r="AA14" s="770">
        <f t="shared" si="3"/>
        <v>1</v>
      </c>
      <c r="AB14" s="770">
        <f t="shared" si="4"/>
        <v>1</v>
      </c>
      <c r="AC14" s="770">
        <f t="shared" si="5"/>
        <v>1</v>
      </c>
    </row>
    <row r="15" spans="1:29" ht="71.25">
      <c r="A15" s="440" t="s">
        <v>2554</v>
      </c>
      <c r="B15" s="69" t="s">
        <v>2085</v>
      </c>
      <c r="C15" s="2599" t="str">
        <f>估价对象房地状况!C3</f>
        <v>估价对象周围有星悦国际小区、首开国风美仑等住宅小区，居住社区成熟度一般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233" t="s">
        <v>2555</v>
      </c>
      <c r="Q15" s="1809" t="str">
        <f t="shared" si="6"/>
        <v>居住社区成熟度</v>
      </c>
      <c r="R15" s="771" t="s">
        <v>21</v>
      </c>
      <c r="S15" s="772">
        <f t="shared" si="0"/>
        <v>100</v>
      </c>
      <c r="T15" s="771" t="s">
        <v>21</v>
      </c>
      <c r="U15" s="772">
        <f t="shared" si="1"/>
        <v>100</v>
      </c>
      <c r="V15" s="771" t="s">
        <v>21</v>
      </c>
      <c r="W15" s="772">
        <f t="shared" si="2"/>
        <v>100</v>
      </c>
      <c r="X15" s="1812"/>
      <c r="Y15" s="3226" t="s">
        <v>2555</v>
      </c>
      <c r="Z15" s="1813" t="str">
        <f t="shared" si="7"/>
        <v>居住社区成熟度</v>
      </c>
      <c r="AA15" s="1810">
        <f t="shared" si="3"/>
        <v>1</v>
      </c>
      <c r="AB15" s="1810">
        <f t="shared" si="4"/>
        <v>1</v>
      </c>
      <c r="AC15" s="1810">
        <f t="shared" si="5"/>
        <v>1</v>
      </c>
    </row>
    <row r="16" spans="1:29" ht="15">
      <c r="A16" s="428"/>
      <c r="B16" s="446"/>
      <c r="C16" s="447" t="s">
        <v>3365</v>
      </c>
      <c r="D16" s="448"/>
      <c r="E16" s="2600" t="s">
        <v>3365</v>
      </c>
      <c r="F16" s="448"/>
      <c r="G16" s="2600" t="s">
        <v>3365</v>
      </c>
      <c r="H16" s="450"/>
      <c r="I16" s="2600" t="s">
        <v>3365</v>
      </c>
      <c r="J16" s="448"/>
      <c r="K16" s="2602"/>
      <c r="L16" s="1140"/>
      <c r="M16" s="1131"/>
      <c r="N16" s="1131"/>
      <c r="O16" s="1131"/>
      <c r="P16" s="3234"/>
      <c r="Q16" s="1809"/>
      <c r="R16" s="771"/>
      <c r="S16" s="772"/>
      <c r="T16" s="771"/>
      <c r="U16" s="772"/>
      <c r="V16" s="771"/>
      <c r="W16" s="772"/>
      <c r="X16" s="1812"/>
      <c r="Y16" s="3227"/>
      <c r="Z16" s="1813"/>
      <c r="AA16" s="1810">
        <v>1</v>
      </c>
      <c r="AB16" s="1810">
        <v>1</v>
      </c>
      <c r="AC16" s="1810">
        <v>1</v>
      </c>
    </row>
    <row r="17" spans="1:29" ht="85.5">
      <c r="A17" s="428"/>
      <c r="B17" s="451" t="s">
        <v>2094</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234"/>
      <c r="Q17" s="1809" t="str">
        <f>B17</f>
        <v>交通便捷度</v>
      </c>
      <c r="R17" s="771" t="s">
        <v>21</v>
      </c>
      <c r="S17" s="772">
        <f>F17</f>
        <v>100</v>
      </c>
      <c r="T17" s="771" t="s">
        <v>21</v>
      </c>
      <c r="U17" s="772">
        <f>H17</f>
        <v>100</v>
      </c>
      <c r="V17" s="771" t="s">
        <v>21</v>
      </c>
      <c r="W17" s="772">
        <f>J17</f>
        <v>100</v>
      </c>
      <c r="X17" s="1812"/>
      <c r="Y17" s="3227"/>
      <c r="Z17" s="1813" t="str">
        <f>Q17</f>
        <v>交通便捷度</v>
      </c>
      <c r="AA17" s="1810">
        <f t="shared" si="3"/>
        <v>1</v>
      </c>
      <c r="AB17" s="1810">
        <f t="shared" si="4"/>
        <v>1</v>
      </c>
      <c r="AC17" s="1810">
        <f t="shared" si="5"/>
        <v>1</v>
      </c>
    </row>
    <row r="18" spans="1:29" ht="15">
      <c r="A18" s="428"/>
      <c r="B18" s="456"/>
      <c r="C18" s="2604" t="s">
        <v>3366</v>
      </c>
      <c r="D18" s="450"/>
      <c r="E18" s="2605" t="s">
        <v>3366</v>
      </c>
      <c r="F18" s="450"/>
      <c r="G18" s="2606" t="s">
        <v>3366</v>
      </c>
      <c r="H18" s="448"/>
      <c r="I18" s="2606" t="s">
        <v>3366</v>
      </c>
      <c r="J18" s="448"/>
      <c r="K18" s="2602"/>
      <c r="L18" s="1140"/>
      <c r="M18" s="1131"/>
      <c r="N18" s="1131"/>
      <c r="O18" s="1131"/>
      <c r="P18" s="3234"/>
      <c r="Q18" s="1809"/>
      <c r="R18" s="771"/>
      <c r="S18" s="772"/>
      <c r="T18" s="771"/>
      <c r="U18" s="772"/>
      <c r="V18" s="771"/>
      <c r="W18" s="772"/>
      <c r="X18" s="1812"/>
      <c r="Y18" s="3227"/>
      <c r="Z18" s="1813"/>
      <c r="AA18" s="1810">
        <v>1</v>
      </c>
      <c r="AB18" s="1810">
        <v>1</v>
      </c>
      <c r="AC18" s="1810">
        <v>1</v>
      </c>
    </row>
    <row r="19" spans="1:29" ht="42.75">
      <c r="A19" s="428"/>
      <c r="B19" s="451" t="s">
        <v>2092</v>
      </c>
      <c r="C19" s="2603"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v>1</v>
      </c>
      <c r="L19" s="1140"/>
      <c r="M19" s="1131"/>
      <c r="N19" s="1131"/>
      <c r="O19" s="1131"/>
      <c r="P19" s="3234"/>
      <c r="Q19" s="1809" t="str">
        <f>B19</f>
        <v>公共配套设施</v>
      </c>
      <c r="R19" s="771" t="s">
        <v>21</v>
      </c>
      <c r="S19" s="772">
        <f>F19</f>
        <v>100</v>
      </c>
      <c r="T19" s="771" t="s">
        <v>21</v>
      </c>
      <c r="U19" s="772">
        <f>H19</f>
        <v>100</v>
      </c>
      <c r="V19" s="771" t="s">
        <v>21</v>
      </c>
      <c r="W19" s="772">
        <f>J19</f>
        <v>100</v>
      </c>
      <c r="X19" s="1812"/>
      <c r="Y19" s="3227"/>
      <c r="Z19" s="1813" t="str">
        <f>Q19</f>
        <v>公共配套设施</v>
      </c>
      <c r="AA19" s="1810">
        <f t="shared" si="3"/>
        <v>1</v>
      </c>
      <c r="AB19" s="1810">
        <f t="shared" si="4"/>
        <v>1</v>
      </c>
      <c r="AC19" s="1810">
        <f t="shared" si="5"/>
        <v>1</v>
      </c>
    </row>
    <row r="20" spans="1:29" ht="15">
      <c r="A20" s="428"/>
      <c r="B20" s="456"/>
      <c r="C20" s="447" t="s">
        <v>3365</v>
      </c>
      <c r="D20" s="448"/>
      <c r="E20" s="2600" t="s">
        <v>3365</v>
      </c>
      <c r="F20" s="448"/>
      <c r="G20" s="2601" t="s">
        <v>3365</v>
      </c>
      <c r="H20" s="448"/>
      <c r="I20" s="2601" t="s">
        <v>3365</v>
      </c>
      <c r="J20" s="448"/>
      <c r="K20" s="2602"/>
      <c r="L20" s="1140"/>
      <c r="M20" s="1131"/>
      <c r="N20" s="1131"/>
      <c r="O20" s="1131"/>
      <c r="P20" s="3234"/>
      <c r="Q20" s="1809"/>
      <c r="R20" s="771"/>
      <c r="S20" s="772"/>
      <c r="T20" s="771"/>
      <c r="U20" s="772"/>
      <c r="V20" s="771"/>
      <c r="W20" s="772"/>
      <c r="X20" s="1812"/>
      <c r="Y20" s="3227"/>
      <c r="Z20" s="1813"/>
      <c r="AA20" s="1810">
        <v>1</v>
      </c>
      <c r="AB20" s="1810">
        <v>1</v>
      </c>
      <c r="AC20" s="1810">
        <v>1</v>
      </c>
    </row>
    <row r="21" spans="1:29" ht="42.75">
      <c r="A21" s="428"/>
      <c r="B21" s="1384" t="s">
        <v>2095</v>
      </c>
      <c r="C21" s="2603"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v>2</v>
      </c>
      <c r="L21" s="1140"/>
      <c r="M21" s="1131"/>
      <c r="N21" s="1131"/>
      <c r="O21" s="1131"/>
      <c r="P21" s="3234"/>
      <c r="Q21" s="1809" t="str">
        <f>B21</f>
        <v>基础设施水平</v>
      </c>
      <c r="R21" s="771" t="s">
        <v>17</v>
      </c>
      <c r="S21" s="772">
        <f>F21</f>
        <v>100</v>
      </c>
      <c r="T21" s="771" t="s">
        <v>17</v>
      </c>
      <c r="U21" s="772">
        <f>H21</f>
        <v>100</v>
      </c>
      <c r="V21" s="771" t="s">
        <v>17</v>
      </c>
      <c r="W21" s="772">
        <f>J21</f>
        <v>100</v>
      </c>
      <c r="X21" s="1812"/>
      <c r="Y21" s="3227"/>
      <c r="Z21" s="1813" t="str">
        <f>Q21</f>
        <v>基础设施水平</v>
      </c>
      <c r="AA21" s="1810">
        <f t="shared" ref="AA21" si="8">D21/F21</f>
        <v>1</v>
      </c>
      <c r="AB21" s="1810">
        <f t="shared" ref="AB21" si="9">D21/H21</f>
        <v>1</v>
      </c>
      <c r="AC21" s="1810">
        <f t="shared" ref="AC21" si="10">D21/J21</f>
        <v>1</v>
      </c>
    </row>
    <row r="22" spans="1:29" ht="15">
      <c r="A22" s="428"/>
      <c r="B22" s="1384"/>
      <c r="C22" s="2604" t="s">
        <v>3367</v>
      </c>
      <c r="D22" s="448"/>
      <c r="E22" s="447" t="s">
        <v>3367</v>
      </c>
      <c r="F22" s="448"/>
      <c r="G22" s="2607" t="s">
        <v>3367</v>
      </c>
      <c r="H22" s="448"/>
      <c r="I22" s="447" t="s">
        <v>3367</v>
      </c>
      <c r="J22" s="448"/>
      <c r="K22" s="2608"/>
      <c r="L22" s="1140"/>
      <c r="M22" s="1131"/>
      <c r="N22" s="1131"/>
      <c r="O22" s="1131"/>
      <c r="P22" s="3234"/>
      <c r="Q22" s="1809"/>
      <c r="R22" s="771"/>
      <c r="S22" s="772"/>
      <c r="T22" s="771"/>
      <c r="U22" s="772"/>
      <c r="V22" s="771"/>
      <c r="W22" s="772"/>
      <c r="X22" s="1812"/>
      <c r="Y22" s="3227"/>
      <c r="Z22" s="1813"/>
      <c r="AA22" s="1810">
        <v>1</v>
      </c>
      <c r="AB22" s="1810">
        <v>1</v>
      </c>
      <c r="AC22" s="1810">
        <v>1</v>
      </c>
    </row>
    <row r="23" spans="1:29" ht="71.25">
      <c r="A23" s="428"/>
      <c r="B23" s="451" t="s">
        <v>2099</v>
      </c>
      <c r="C23" s="2603" t="str">
        <f>估价对象房地状况!C9</f>
        <v>区域自然环境：凉水河；人文环境：无高等院校等；综合评价环境状况一般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0"/>
      <c r="M23" s="1131"/>
      <c r="N23" s="1131"/>
      <c r="O23" s="1131"/>
      <c r="P23" s="3234"/>
      <c r="Q23" s="1809" t="str">
        <f>B23</f>
        <v>自然及人文环境</v>
      </c>
      <c r="R23" s="771" t="s">
        <v>21</v>
      </c>
      <c r="S23" s="772">
        <f>F23</f>
        <v>100</v>
      </c>
      <c r="T23" s="771" t="s">
        <v>21</v>
      </c>
      <c r="U23" s="772">
        <f>H23</f>
        <v>100</v>
      </c>
      <c r="V23" s="771" t="s">
        <v>21</v>
      </c>
      <c r="W23" s="772">
        <f>J23</f>
        <v>100</v>
      </c>
      <c r="X23" s="1812"/>
      <c r="Y23" s="3227"/>
      <c r="Z23" s="1813" t="str">
        <f>Q23</f>
        <v>自然及人文环境</v>
      </c>
      <c r="AA23" s="1810">
        <f>D23/F23</f>
        <v>1</v>
      </c>
      <c r="AB23" s="1810">
        <f>D23/H23</f>
        <v>1</v>
      </c>
      <c r="AC23" s="1810">
        <f>D23/J23</f>
        <v>1</v>
      </c>
    </row>
    <row r="24" spans="1:29" ht="15">
      <c r="A24" s="428"/>
      <c r="B24" s="456"/>
      <c r="C24" s="447" t="s">
        <v>3365</v>
      </c>
      <c r="D24" s="448"/>
      <c r="E24" s="2600" t="s">
        <v>3365</v>
      </c>
      <c r="F24" s="448"/>
      <c r="G24" s="2601" t="s">
        <v>3365</v>
      </c>
      <c r="H24" s="448"/>
      <c r="I24" s="2601" t="s">
        <v>3365</v>
      </c>
      <c r="J24" s="448"/>
      <c r="K24" s="2602"/>
      <c r="L24" s="1140"/>
      <c r="M24" s="1131"/>
      <c r="N24" s="1131"/>
      <c r="O24" s="1131"/>
      <c r="P24" s="3234"/>
      <c r="Q24" s="1809"/>
      <c r="R24" s="771"/>
      <c r="S24" s="772"/>
      <c r="T24" s="771"/>
      <c r="U24" s="772"/>
      <c r="V24" s="771"/>
      <c r="W24" s="772"/>
      <c r="X24" s="1812"/>
      <c r="Y24" s="3227"/>
      <c r="Z24" s="1813"/>
      <c r="AA24" s="1810">
        <v>1</v>
      </c>
      <c r="AB24" s="1810">
        <v>1</v>
      </c>
      <c r="AC24" s="1810">
        <v>1</v>
      </c>
    </row>
    <row r="25" spans="1:29" ht="15" hidden="1">
      <c r="A25" s="428"/>
      <c r="B25" s="422" t="s">
        <v>2556</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34"/>
      <c r="Q25" s="1809" t="str">
        <f t="shared" ref="Q25:Q46" si="11">B25</f>
        <v>楼层-1</v>
      </c>
      <c r="R25" s="771" t="s">
        <v>21</v>
      </c>
      <c r="S25" s="772">
        <f t="shared" ref="S25:S46" si="12">F25</f>
        <v>100</v>
      </c>
      <c r="T25" s="771" t="s">
        <v>21</v>
      </c>
      <c r="U25" s="772">
        <f t="shared" ref="U25:U46" si="13">H25</f>
        <v>100</v>
      </c>
      <c r="V25" s="771" t="s">
        <v>21</v>
      </c>
      <c r="W25" s="772">
        <f t="shared" ref="W25:W46" si="14">J25</f>
        <v>100</v>
      </c>
      <c r="X25" s="1812"/>
      <c r="Y25" s="3227"/>
      <c r="Z25" s="1813" t="str">
        <f>Q25</f>
        <v>楼层-1</v>
      </c>
      <c r="AA25" s="1810">
        <f t="shared" ref="AA25:AA46" si="15">D25/F25</f>
        <v>1</v>
      </c>
      <c r="AB25" s="1810">
        <f t="shared" ref="AB25:AB46" si="16">D25/H25</f>
        <v>1</v>
      </c>
      <c r="AC25" s="1810">
        <f t="shared" ref="AC25:AC46" si="17">D25/J25</f>
        <v>1</v>
      </c>
    </row>
    <row r="26" spans="1:29" ht="15" hidden="1">
      <c r="A26" s="428"/>
      <c r="B26" s="422" t="s">
        <v>2557</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34"/>
      <c r="Q26" s="1809" t="str">
        <f t="shared" si="11"/>
        <v>朝向</v>
      </c>
      <c r="R26" s="771" t="s">
        <v>21</v>
      </c>
      <c r="S26" s="772">
        <f t="shared" si="12"/>
        <v>100</v>
      </c>
      <c r="T26" s="771" t="s">
        <v>21</v>
      </c>
      <c r="U26" s="772">
        <f t="shared" si="13"/>
        <v>100</v>
      </c>
      <c r="V26" s="771" t="s">
        <v>21</v>
      </c>
      <c r="W26" s="772">
        <f t="shared" si="14"/>
        <v>100</v>
      </c>
      <c r="X26" s="1812"/>
      <c r="Y26" s="3227"/>
      <c r="Z26" s="1813" t="str">
        <f>Q26</f>
        <v>朝向</v>
      </c>
      <c r="AA26" s="1810">
        <f t="shared" si="15"/>
        <v>1</v>
      </c>
      <c r="AB26" s="1810">
        <f t="shared" si="16"/>
        <v>1</v>
      </c>
      <c r="AC26" s="1810">
        <f t="shared" si="17"/>
        <v>1</v>
      </c>
    </row>
    <row r="27" spans="1:29" s="117" customFormat="1" ht="15">
      <c r="A27" s="431"/>
      <c r="B27" s="2596" t="s">
        <v>3379</v>
      </c>
      <c r="C27" s="2958" t="s">
        <v>3398</v>
      </c>
      <c r="D27" s="462">
        <v>100</v>
      </c>
      <c r="E27" s="2959" t="s">
        <v>3399</v>
      </c>
      <c r="F27" s="462">
        <f>SUMIF(90:90,E27,91:91)-SUMIF(90:90,C27,91:91)+100</f>
        <v>101</v>
      </c>
      <c r="G27" s="2962" t="s">
        <v>3398</v>
      </c>
      <c r="H27" s="462">
        <f>SUMIF(90:90,G27,91:91)-SUMIF(90:90,C27,91:91)+100</f>
        <v>100</v>
      </c>
      <c r="I27" s="2968" t="s">
        <v>3398</v>
      </c>
      <c r="J27" s="462">
        <f>SUMIF(90:90,I27,91:91)-SUMIF(90:90,C27,91:91)+100</f>
        <v>100</v>
      </c>
      <c r="K27" s="2597"/>
      <c r="L27" s="1132"/>
      <c r="M27" s="1133"/>
      <c r="N27" s="1133"/>
      <c r="O27" s="1133"/>
      <c r="P27" s="3234"/>
      <c r="Q27" s="1794" t="str">
        <f t="shared" si="11"/>
        <v>道路级别</v>
      </c>
      <c r="R27" s="767" t="s">
        <v>21</v>
      </c>
      <c r="S27" s="768">
        <f t="shared" si="12"/>
        <v>101</v>
      </c>
      <c r="T27" s="767" t="s">
        <v>21</v>
      </c>
      <c r="U27" s="768">
        <f t="shared" si="13"/>
        <v>100</v>
      </c>
      <c r="V27" s="767" t="s">
        <v>21</v>
      </c>
      <c r="W27" s="768">
        <f t="shared" si="14"/>
        <v>100</v>
      </c>
      <c r="X27" s="769"/>
      <c r="Y27" s="3227"/>
      <c r="Z27" s="55" t="str">
        <f>Q27</f>
        <v>道路级别</v>
      </c>
      <c r="AA27" s="1810">
        <f t="shared" si="15"/>
        <v>0.99009900990099009</v>
      </c>
      <c r="AB27" s="1810">
        <f t="shared" si="16"/>
        <v>1</v>
      </c>
      <c r="AC27" s="1810">
        <f t="shared" si="17"/>
        <v>1</v>
      </c>
    </row>
    <row r="28" spans="1:29" ht="15">
      <c r="A28" s="428"/>
      <c r="B28" s="2957" t="s">
        <v>3380</v>
      </c>
      <c r="C28" s="2960" t="s">
        <v>3401</v>
      </c>
      <c r="D28" s="435">
        <v>100</v>
      </c>
      <c r="E28" s="2960" t="s">
        <v>3400</v>
      </c>
      <c r="F28" s="435">
        <f>SUMIF(92:92,E28,93:93)-SUMIF(92:92,C28,93:93)+100</f>
        <v>104</v>
      </c>
      <c r="G28" s="2961" t="s">
        <v>3404</v>
      </c>
      <c r="H28" s="435">
        <f>SUMIF(92:92,G28,93:93)-SUMIF(92:92,C28,93:93)+100</f>
        <v>102</v>
      </c>
      <c r="I28" s="2960" t="s">
        <v>3401</v>
      </c>
      <c r="J28" s="435">
        <f>SUMIF(92:92,I28,93:93)-SUMIF(92:92,C28,93:93)+100</f>
        <v>100</v>
      </c>
      <c r="K28" s="2597"/>
      <c r="L28" s="1140"/>
      <c r="M28" s="1131"/>
      <c r="N28" s="1131"/>
      <c r="O28" s="1131"/>
      <c r="P28" s="3234"/>
      <c r="Q28" s="1809" t="str">
        <f t="shared" si="11"/>
        <v>楼层</v>
      </c>
      <c r="R28" s="771" t="s">
        <v>21</v>
      </c>
      <c r="S28" s="772">
        <f t="shared" si="12"/>
        <v>104</v>
      </c>
      <c r="T28" s="771" t="s">
        <v>21</v>
      </c>
      <c r="U28" s="772">
        <f t="shared" si="13"/>
        <v>102</v>
      </c>
      <c r="V28" s="771" t="s">
        <v>21</v>
      </c>
      <c r="W28" s="772">
        <f t="shared" si="14"/>
        <v>100</v>
      </c>
      <c r="X28" s="1812"/>
      <c r="Y28" s="3227"/>
      <c r="Z28" s="1813" t="str">
        <f t="shared" ref="Z28:Z46" si="18">Q28</f>
        <v>楼层</v>
      </c>
      <c r="AA28" s="1810">
        <f t="shared" si="15"/>
        <v>0.96153846153846156</v>
      </c>
      <c r="AB28" s="1810">
        <f t="shared" si="16"/>
        <v>0.98039215686274506</v>
      </c>
      <c r="AC28" s="1810">
        <f t="shared" si="17"/>
        <v>1</v>
      </c>
    </row>
    <row r="29" spans="1:29" ht="15" hidden="1">
      <c r="A29" s="428"/>
      <c r="B29" s="1386"/>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34"/>
      <c r="Q29" s="1809">
        <f t="shared" si="11"/>
        <v>0</v>
      </c>
      <c r="R29" s="771" t="s">
        <v>21</v>
      </c>
      <c r="S29" s="772">
        <f t="shared" si="12"/>
        <v>100</v>
      </c>
      <c r="T29" s="771" t="s">
        <v>21</v>
      </c>
      <c r="U29" s="772">
        <f t="shared" si="13"/>
        <v>100</v>
      </c>
      <c r="V29" s="771" t="s">
        <v>21</v>
      </c>
      <c r="W29" s="772">
        <f t="shared" si="14"/>
        <v>100</v>
      </c>
      <c r="X29" s="1812"/>
      <c r="Y29" s="3227"/>
      <c r="Z29" s="1813">
        <f t="shared" si="18"/>
        <v>0</v>
      </c>
      <c r="AA29" s="1810">
        <f t="shared" si="15"/>
        <v>1</v>
      </c>
      <c r="AB29" s="1810">
        <f t="shared" si="16"/>
        <v>1</v>
      </c>
      <c r="AC29" s="1810">
        <f t="shared" si="17"/>
        <v>1</v>
      </c>
    </row>
    <row r="30" spans="1:29" ht="15" hidden="1">
      <c r="A30" s="428"/>
      <c r="B30" s="1386"/>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34"/>
      <c r="Q30" s="1809">
        <f t="shared" si="11"/>
        <v>0</v>
      </c>
      <c r="R30" s="771" t="s">
        <v>21</v>
      </c>
      <c r="S30" s="772">
        <f t="shared" si="12"/>
        <v>100</v>
      </c>
      <c r="T30" s="771" t="s">
        <v>21</v>
      </c>
      <c r="U30" s="772">
        <f t="shared" si="13"/>
        <v>100</v>
      </c>
      <c r="V30" s="771" t="s">
        <v>21</v>
      </c>
      <c r="W30" s="772">
        <f t="shared" si="14"/>
        <v>100</v>
      </c>
      <c r="X30" s="1812"/>
      <c r="Y30" s="3227"/>
      <c r="Z30" s="1813">
        <f t="shared" si="18"/>
        <v>0</v>
      </c>
      <c r="AA30" s="1810">
        <f t="shared" si="15"/>
        <v>1</v>
      </c>
      <c r="AB30" s="1810">
        <f t="shared" si="16"/>
        <v>1</v>
      </c>
      <c r="AC30" s="1810">
        <f t="shared" si="17"/>
        <v>1</v>
      </c>
    </row>
    <row r="31" spans="1:29" ht="15.75" hidden="1" thickBot="1">
      <c r="A31" s="436"/>
      <c r="B31" s="1386"/>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34"/>
      <c r="Q31" s="1809">
        <f t="shared" si="11"/>
        <v>0</v>
      </c>
      <c r="R31" s="771" t="s">
        <v>21</v>
      </c>
      <c r="S31" s="772">
        <f t="shared" si="12"/>
        <v>100</v>
      </c>
      <c r="T31" s="771" t="s">
        <v>21</v>
      </c>
      <c r="U31" s="772">
        <f t="shared" si="13"/>
        <v>100</v>
      </c>
      <c r="V31" s="771" t="s">
        <v>21</v>
      </c>
      <c r="W31" s="772">
        <f t="shared" si="14"/>
        <v>100</v>
      </c>
      <c r="X31" s="1812"/>
      <c r="Y31" s="3227"/>
      <c r="Z31" s="1813">
        <f t="shared" si="18"/>
        <v>0</v>
      </c>
      <c r="AA31" s="1810">
        <f t="shared" si="15"/>
        <v>1</v>
      </c>
      <c r="AB31" s="1810">
        <f t="shared" si="16"/>
        <v>1</v>
      </c>
      <c r="AC31" s="1810">
        <f t="shared" si="17"/>
        <v>1</v>
      </c>
    </row>
    <row r="32" spans="1:29" ht="15" hidden="1">
      <c r="A32" s="440" t="s">
        <v>2558</v>
      </c>
      <c r="B32" s="71" t="s">
        <v>2559</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28" t="s">
        <v>2560</v>
      </c>
      <c r="Q32" s="1809" t="str">
        <f t="shared" si="11"/>
        <v>建筑类型</v>
      </c>
      <c r="R32" s="771" t="s">
        <v>21</v>
      </c>
      <c r="S32" s="772">
        <f t="shared" si="12"/>
        <v>100</v>
      </c>
      <c r="T32" s="771" t="s">
        <v>21</v>
      </c>
      <c r="U32" s="772">
        <f t="shared" si="13"/>
        <v>100</v>
      </c>
      <c r="V32" s="771" t="s">
        <v>21</v>
      </c>
      <c r="W32" s="772">
        <f t="shared" si="14"/>
        <v>100</v>
      </c>
      <c r="X32" s="1812"/>
      <c r="Y32" s="3231" t="s">
        <v>2560</v>
      </c>
      <c r="Z32" s="1813" t="str">
        <f t="shared" si="18"/>
        <v>建筑类型</v>
      </c>
      <c r="AA32" s="1810">
        <f t="shared" si="15"/>
        <v>1</v>
      </c>
      <c r="AB32" s="1810">
        <f t="shared" si="16"/>
        <v>1</v>
      </c>
      <c r="AC32" s="1810">
        <f t="shared" si="17"/>
        <v>1</v>
      </c>
    </row>
    <row r="33" spans="1:29" s="471" customFormat="1" ht="15">
      <c r="A33" s="468"/>
      <c r="B33" s="422" t="s">
        <v>2561</v>
      </c>
      <c r="C33" s="469">
        <f>'数据-基础表'!I13</f>
        <v>65.97</v>
      </c>
      <c r="D33" s="136">
        <v>100</v>
      </c>
      <c r="E33" s="430">
        <v>64.319999999999993</v>
      </c>
      <c r="F33" s="425">
        <f>LOOKUP(E33,103:103,104:104)-LOOKUP(C33,103:103,104:104)+100</f>
        <v>100</v>
      </c>
      <c r="G33" s="429">
        <v>91.85</v>
      </c>
      <c r="H33" s="136">
        <f>LOOKUP(G33,103:103,104:104)-LOOKUP(C33,103:103,104:104)+100</f>
        <v>100</v>
      </c>
      <c r="I33" s="477">
        <v>39.39</v>
      </c>
      <c r="J33" s="136">
        <f>LOOKUP(I33,103:103,104:104)-LOOKUP(C33,103:103,104:104)+100</f>
        <v>99</v>
      </c>
      <c r="K33" s="2597"/>
      <c r="L33" s="1138"/>
      <c r="M33" s="1141"/>
      <c r="N33" s="1141"/>
      <c r="O33" s="1141"/>
      <c r="P33" s="3229"/>
      <c r="Q33" s="773" t="str">
        <f t="shared" si="11"/>
        <v>项目建筑规模</v>
      </c>
      <c r="R33" s="774" t="s">
        <v>21</v>
      </c>
      <c r="S33" s="775">
        <f t="shared" si="12"/>
        <v>100</v>
      </c>
      <c r="T33" s="774" t="s">
        <v>21</v>
      </c>
      <c r="U33" s="775">
        <f t="shared" si="13"/>
        <v>100</v>
      </c>
      <c r="V33" s="774" t="s">
        <v>21</v>
      </c>
      <c r="W33" s="775">
        <f t="shared" si="14"/>
        <v>99</v>
      </c>
      <c r="X33" s="776"/>
      <c r="Y33" s="3231"/>
      <c r="Z33" s="777" t="str">
        <f t="shared" si="18"/>
        <v>项目建筑规模</v>
      </c>
      <c r="AA33" s="1810">
        <f t="shared" si="15"/>
        <v>1</v>
      </c>
      <c r="AB33" s="1810">
        <f t="shared" si="16"/>
        <v>1</v>
      </c>
      <c r="AC33" s="1810">
        <f t="shared" si="17"/>
        <v>1.0101010101010102</v>
      </c>
    </row>
    <row r="34" spans="1:29" ht="15">
      <c r="A34" s="472"/>
      <c r="B34" s="422" t="s">
        <v>2562</v>
      </c>
      <c r="C34" s="2615" t="s">
        <v>3382</v>
      </c>
      <c r="D34" s="435">
        <v>100</v>
      </c>
      <c r="E34" s="2615" t="s">
        <v>3382</v>
      </c>
      <c r="F34" s="461">
        <f>SUMIF(105:105,E34,106:106)-SUMIF(105:105,C34,106:106)+100</f>
        <v>100</v>
      </c>
      <c r="G34" s="2615" t="s">
        <v>3382</v>
      </c>
      <c r="H34" s="435">
        <f>SUMIF(105:105,G34,106:106)-SUMIF(105:105,C34,106:106)+100</f>
        <v>100</v>
      </c>
      <c r="I34" s="2615" t="s">
        <v>3382</v>
      </c>
      <c r="J34" s="435">
        <f>SUMIF(105:105,I34,106:106)-SUMIF(105:105,C34,106:106)+100</f>
        <v>100</v>
      </c>
      <c r="K34" s="426">
        <v>2</v>
      </c>
      <c r="L34" s="1140"/>
      <c r="M34" s="1131"/>
      <c r="N34" s="1131"/>
      <c r="O34" s="1131"/>
      <c r="P34" s="3229"/>
      <c r="Q34" s="1809" t="str">
        <f t="shared" si="11"/>
        <v>建筑结构</v>
      </c>
      <c r="R34" s="771" t="s">
        <v>21</v>
      </c>
      <c r="S34" s="772">
        <f t="shared" si="12"/>
        <v>100</v>
      </c>
      <c r="T34" s="771" t="s">
        <v>21</v>
      </c>
      <c r="U34" s="772">
        <f t="shared" si="13"/>
        <v>100</v>
      </c>
      <c r="V34" s="771" t="s">
        <v>21</v>
      </c>
      <c r="W34" s="772">
        <f t="shared" si="14"/>
        <v>100</v>
      </c>
      <c r="X34" s="1812"/>
      <c r="Y34" s="3231"/>
      <c r="Z34" s="1813" t="str">
        <f t="shared" si="18"/>
        <v>建筑结构</v>
      </c>
      <c r="AA34" s="1810">
        <f t="shared" si="15"/>
        <v>1</v>
      </c>
      <c r="AB34" s="1810">
        <f t="shared" si="16"/>
        <v>1</v>
      </c>
      <c r="AC34" s="1810">
        <f t="shared" si="17"/>
        <v>1</v>
      </c>
    </row>
    <row r="35" spans="1:29" ht="15">
      <c r="A35" s="472"/>
      <c r="B35" s="422" t="s">
        <v>2563</v>
      </c>
      <c r="C35" s="2609" t="s">
        <v>3389</v>
      </c>
      <c r="D35" s="435">
        <v>100</v>
      </c>
      <c r="E35" s="2609" t="s">
        <v>3389</v>
      </c>
      <c r="F35" s="461">
        <f>SUMIF(107:107,E35,108:108)-SUMIF(107:107,C35,108:108)+100</f>
        <v>100</v>
      </c>
      <c r="G35" s="2609" t="s">
        <v>3389</v>
      </c>
      <c r="H35" s="435">
        <f>SUMIF(107:107,G35,108:108)-SUMIF(107:107,C35,108:108)+100</f>
        <v>100</v>
      </c>
      <c r="I35" s="2609" t="s">
        <v>3389</v>
      </c>
      <c r="J35" s="435">
        <f>SUMIF(107:107,I35,108:108)-SUMIF(107:107,C35,108:108)+100</f>
        <v>100</v>
      </c>
      <c r="K35" s="426">
        <v>1</v>
      </c>
      <c r="L35" s="1140"/>
      <c r="M35" s="1131"/>
      <c r="N35" s="1131"/>
      <c r="O35" s="1131"/>
      <c r="P35" s="3229"/>
      <c r="Q35" s="1809" t="str">
        <f t="shared" si="11"/>
        <v>建筑品质</v>
      </c>
      <c r="R35" s="771" t="s">
        <v>21</v>
      </c>
      <c r="S35" s="772">
        <f t="shared" si="12"/>
        <v>100</v>
      </c>
      <c r="T35" s="771" t="s">
        <v>21</v>
      </c>
      <c r="U35" s="772">
        <f t="shared" si="13"/>
        <v>100</v>
      </c>
      <c r="V35" s="771" t="s">
        <v>21</v>
      </c>
      <c r="W35" s="772">
        <f t="shared" si="14"/>
        <v>100</v>
      </c>
      <c r="X35" s="1812"/>
      <c r="Y35" s="3231"/>
      <c r="Z35" s="1813" t="str">
        <f t="shared" si="18"/>
        <v>建筑品质</v>
      </c>
      <c r="AA35" s="1810">
        <f t="shared" si="15"/>
        <v>1</v>
      </c>
      <c r="AB35" s="1810">
        <f t="shared" si="16"/>
        <v>1</v>
      </c>
      <c r="AC35" s="1810">
        <f t="shared" si="17"/>
        <v>1</v>
      </c>
    </row>
    <row r="36" spans="1:29" ht="15">
      <c r="A36" s="472"/>
      <c r="B36" s="422" t="s">
        <v>2564</v>
      </c>
      <c r="C36" s="2609" t="s">
        <v>3384</v>
      </c>
      <c r="D36" s="435">
        <v>100</v>
      </c>
      <c r="E36" s="2609" t="s">
        <v>3384</v>
      </c>
      <c r="F36" s="461">
        <f>SUMIF(109:109,E36,110:110)-SUMIF(109:109,C36,110:110)+100</f>
        <v>100</v>
      </c>
      <c r="G36" s="2609" t="s">
        <v>3384</v>
      </c>
      <c r="H36" s="435">
        <f>SUMIF(109:109,G36,110:110)-SUMIF(109:109,C36,110:110)+100</f>
        <v>100</v>
      </c>
      <c r="I36" s="2609" t="s">
        <v>3384</v>
      </c>
      <c r="J36" s="435">
        <f>SUMIF(109:109,I36,110:110)-SUMIF(109:109,C36,110:110)+100</f>
        <v>100</v>
      </c>
      <c r="K36" s="426">
        <v>2</v>
      </c>
      <c r="L36" s="1140"/>
      <c r="M36" s="1131"/>
      <c r="N36" s="1131"/>
      <c r="O36" s="1131"/>
      <c r="P36" s="3229"/>
      <c r="Q36" s="1809" t="str">
        <f t="shared" si="11"/>
        <v>公共部分装修</v>
      </c>
      <c r="R36" s="771" t="s">
        <v>21</v>
      </c>
      <c r="S36" s="772">
        <f t="shared" si="12"/>
        <v>100</v>
      </c>
      <c r="T36" s="771" t="s">
        <v>21</v>
      </c>
      <c r="U36" s="772">
        <f t="shared" si="13"/>
        <v>100</v>
      </c>
      <c r="V36" s="771" t="s">
        <v>21</v>
      </c>
      <c r="W36" s="772">
        <f t="shared" si="14"/>
        <v>100</v>
      </c>
      <c r="X36" s="1812"/>
      <c r="Y36" s="3231"/>
      <c r="Z36" s="1813" t="str">
        <f t="shared" si="18"/>
        <v>公共部分装修</v>
      </c>
      <c r="AA36" s="1810">
        <f t="shared" si="15"/>
        <v>1</v>
      </c>
      <c r="AB36" s="1810">
        <f t="shared" si="16"/>
        <v>1</v>
      </c>
      <c r="AC36" s="1810">
        <f t="shared" si="17"/>
        <v>1</v>
      </c>
    </row>
    <row r="37" spans="1:29" s="117" customFormat="1" ht="15">
      <c r="A37" s="473"/>
      <c r="B37" s="422" t="s">
        <v>2565</v>
      </c>
      <c r="C37" s="474">
        <f>'数据-取费表'!N6</f>
        <v>0.93</v>
      </c>
      <c r="D37" s="136">
        <v>100</v>
      </c>
      <c r="E37" s="474">
        <f>ROUND(1-(2018-2017)/60,2)</f>
        <v>0.98</v>
      </c>
      <c r="F37" s="425">
        <f>LOOKUP(E37,112:112,113:113)-LOOKUP(C37,112:112,113:113)+100</f>
        <v>100</v>
      </c>
      <c r="G37" s="476">
        <f>C37</f>
        <v>0.93</v>
      </c>
      <c r="H37" s="136">
        <f>LOOKUP(G37,112:112,113:113)-LOOKUP(C37,112:112,113:113)+100</f>
        <v>100</v>
      </c>
      <c r="I37" s="2969">
        <v>1</v>
      </c>
      <c r="J37" s="136">
        <f>LOOKUP(I37,112:112,113:113)-LOOKUP(C37,112:112,113:113)+100</f>
        <v>100</v>
      </c>
      <c r="K37" s="426">
        <v>2</v>
      </c>
      <c r="L37" s="1132"/>
      <c r="M37" s="1133"/>
      <c r="N37" s="1133"/>
      <c r="O37" s="1133"/>
      <c r="P37" s="3229"/>
      <c r="Q37" s="1794" t="str">
        <f t="shared" si="11"/>
        <v>成新度</v>
      </c>
      <c r="R37" s="767" t="s">
        <v>21</v>
      </c>
      <c r="S37" s="768">
        <f t="shared" si="12"/>
        <v>100</v>
      </c>
      <c r="T37" s="767" t="s">
        <v>21</v>
      </c>
      <c r="U37" s="768">
        <f t="shared" si="13"/>
        <v>100</v>
      </c>
      <c r="V37" s="767" t="s">
        <v>21</v>
      </c>
      <c r="W37" s="768">
        <f t="shared" si="14"/>
        <v>100</v>
      </c>
      <c r="X37" s="769"/>
      <c r="Y37" s="3231"/>
      <c r="Z37" s="55" t="str">
        <f t="shared" si="18"/>
        <v>成新度</v>
      </c>
      <c r="AA37" s="770">
        <f t="shared" si="15"/>
        <v>1</v>
      </c>
      <c r="AB37" s="770">
        <f t="shared" si="16"/>
        <v>1</v>
      </c>
      <c r="AC37" s="770">
        <f t="shared" si="17"/>
        <v>1</v>
      </c>
    </row>
    <row r="38" spans="1:29" ht="15">
      <c r="A38" s="472"/>
      <c r="B38" s="422" t="s">
        <v>2566</v>
      </c>
      <c r="C38" s="2609" t="s">
        <v>3390</v>
      </c>
      <c r="D38" s="435">
        <v>100</v>
      </c>
      <c r="E38" s="2609" t="s">
        <v>3390</v>
      </c>
      <c r="F38" s="461">
        <f>SUMIF(114:114,E38,115:115)-SUMIF(114:114,C38,115:115)+100</f>
        <v>100</v>
      </c>
      <c r="G38" s="2609" t="s">
        <v>3390</v>
      </c>
      <c r="H38" s="435">
        <f>SUMIF(114:114,G38,115:115)-SUMIF(114:114,C38,115:115)+100</f>
        <v>100</v>
      </c>
      <c r="I38" s="2609" t="s">
        <v>3390</v>
      </c>
      <c r="J38" s="435">
        <f>SUMIF(114:114,I38,115:115)-SUMIF(114:114,C38,115:115)+100</f>
        <v>100</v>
      </c>
      <c r="K38" s="426">
        <v>1</v>
      </c>
      <c r="L38" s="1140"/>
      <c r="M38" s="1131"/>
      <c r="N38" s="1131"/>
      <c r="O38" s="1131"/>
      <c r="P38" s="3229" t="s">
        <v>2560</v>
      </c>
      <c r="Q38" s="1809" t="str">
        <f t="shared" si="11"/>
        <v>物业管理</v>
      </c>
      <c r="R38" s="771" t="s">
        <v>21</v>
      </c>
      <c r="S38" s="772">
        <f t="shared" si="12"/>
        <v>100</v>
      </c>
      <c r="T38" s="771" t="s">
        <v>21</v>
      </c>
      <c r="U38" s="772">
        <f t="shared" si="13"/>
        <v>100</v>
      </c>
      <c r="V38" s="771" t="s">
        <v>21</v>
      </c>
      <c r="W38" s="772">
        <f t="shared" si="14"/>
        <v>100</v>
      </c>
      <c r="X38" s="1812"/>
      <c r="Y38" s="3231" t="s">
        <v>2560</v>
      </c>
      <c r="Z38" s="1813" t="str">
        <f t="shared" si="18"/>
        <v>物业管理</v>
      </c>
      <c r="AA38" s="1810">
        <f t="shared" si="15"/>
        <v>1</v>
      </c>
      <c r="AB38" s="1810">
        <f t="shared" si="16"/>
        <v>1</v>
      </c>
      <c r="AC38" s="1810">
        <f t="shared" si="17"/>
        <v>1</v>
      </c>
    </row>
    <row r="39" spans="1:29" ht="15">
      <c r="A39" s="472"/>
      <c r="B39" s="422" t="s">
        <v>2567</v>
      </c>
      <c r="C39" s="2609" t="s">
        <v>3367</v>
      </c>
      <c r="D39" s="435">
        <v>100</v>
      </c>
      <c r="E39" s="2609" t="s">
        <v>3367</v>
      </c>
      <c r="F39" s="461">
        <f>SUMIF(116:116,E39,117:117)-SUMIF(116:116,C39,117:117)+100</f>
        <v>100</v>
      </c>
      <c r="G39" s="2609" t="s">
        <v>3367</v>
      </c>
      <c r="H39" s="435">
        <f>SUMIF(116:116,G39,117:117)-SUMIF(116:116,C39,117:117)+100</f>
        <v>100</v>
      </c>
      <c r="I39" s="2609" t="s">
        <v>3367</v>
      </c>
      <c r="J39" s="435">
        <f>SUMIF(116:116,I39,117:117)-SUMIF(116:116,C39,117:117)+100</f>
        <v>100</v>
      </c>
      <c r="K39" s="426">
        <v>2</v>
      </c>
      <c r="L39" s="1140"/>
      <c r="M39" s="1131"/>
      <c r="N39" s="1131"/>
      <c r="O39" s="1131"/>
      <c r="P39" s="3229"/>
      <c r="Q39" s="1809" t="str">
        <f t="shared" si="11"/>
        <v>市政基础设施</v>
      </c>
      <c r="R39" s="771" t="s">
        <v>21</v>
      </c>
      <c r="S39" s="772">
        <f t="shared" si="12"/>
        <v>100</v>
      </c>
      <c r="T39" s="771" t="s">
        <v>21</v>
      </c>
      <c r="U39" s="772">
        <f t="shared" si="13"/>
        <v>100</v>
      </c>
      <c r="V39" s="771" t="s">
        <v>21</v>
      </c>
      <c r="W39" s="772">
        <f t="shared" si="14"/>
        <v>100</v>
      </c>
      <c r="X39" s="1812"/>
      <c r="Y39" s="3231"/>
      <c r="Z39" s="1813" t="str">
        <f t="shared" si="18"/>
        <v>市政基础设施</v>
      </c>
      <c r="AA39" s="1810">
        <f t="shared" si="15"/>
        <v>1</v>
      </c>
      <c r="AB39" s="1810">
        <f t="shared" si="16"/>
        <v>1</v>
      </c>
      <c r="AC39" s="1810">
        <f t="shared" si="17"/>
        <v>1</v>
      </c>
    </row>
    <row r="40" spans="1:29" ht="15">
      <c r="A40" s="472"/>
      <c r="B40" s="422" t="s">
        <v>2568</v>
      </c>
      <c r="C40" s="2609" t="s">
        <v>3396</v>
      </c>
      <c r="D40" s="435">
        <v>100</v>
      </c>
      <c r="E40" s="2609" t="s">
        <v>3396</v>
      </c>
      <c r="F40" s="461">
        <f>SUMIF(118:118,E40,119:119)-SUMIF(118:118,C40,119:119)+100</f>
        <v>100</v>
      </c>
      <c r="G40" s="2609" t="s">
        <v>3396</v>
      </c>
      <c r="H40" s="435">
        <f>SUMIF(118:118,G40,119:119)-SUMIF(118:118,C40,119:119)+100</f>
        <v>100</v>
      </c>
      <c r="I40" s="2609" t="s">
        <v>3396</v>
      </c>
      <c r="J40" s="435">
        <f>SUMIF(118:118,I40,119:119)-SUMIF(118:118,C40,119:119)+100</f>
        <v>100</v>
      </c>
      <c r="K40" s="426">
        <v>5</v>
      </c>
      <c r="L40" s="1140"/>
      <c r="M40" s="1131"/>
      <c r="N40" s="1131"/>
      <c r="O40" s="1131"/>
      <c r="P40" s="3229"/>
      <c r="Q40" s="1809" t="str">
        <f t="shared" si="11"/>
        <v>房型</v>
      </c>
      <c r="R40" s="771" t="s">
        <v>21</v>
      </c>
      <c r="S40" s="772">
        <f t="shared" si="12"/>
        <v>100</v>
      </c>
      <c r="T40" s="771" t="s">
        <v>21</v>
      </c>
      <c r="U40" s="772">
        <f t="shared" si="13"/>
        <v>100</v>
      </c>
      <c r="V40" s="771" t="s">
        <v>21</v>
      </c>
      <c r="W40" s="772">
        <f t="shared" si="14"/>
        <v>100</v>
      </c>
      <c r="X40" s="1812"/>
      <c r="Y40" s="3231"/>
      <c r="Z40" s="1813" t="str">
        <f t="shared" si="18"/>
        <v>房型</v>
      </c>
      <c r="AA40" s="1810">
        <f t="shared" si="15"/>
        <v>1</v>
      </c>
      <c r="AB40" s="1810">
        <f t="shared" si="16"/>
        <v>1</v>
      </c>
      <c r="AC40" s="1810">
        <f t="shared" si="17"/>
        <v>1</v>
      </c>
    </row>
    <row r="41" spans="1:29" s="471" customFormat="1" ht="28.5" hidden="1">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29"/>
      <c r="Q41" s="773" t="str">
        <f t="shared" si="11"/>
        <v>单套/主力户型建筑面积</v>
      </c>
      <c r="R41" s="774" t="s">
        <v>21</v>
      </c>
      <c r="S41" s="775">
        <f t="shared" si="12"/>
        <v>100</v>
      </c>
      <c r="T41" s="774" t="s">
        <v>21</v>
      </c>
      <c r="U41" s="775">
        <f t="shared" si="13"/>
        <v>100</v>
      </c>
      <c r="V41" s="774" t="s">
        <v>21</v>
      </c>
      <c r="W41" s="775">
        <f t="shared" si="14"/>
        <v>100</v>
      </c>
      <c r="X41" s="776"/>
      <c r="Y41" s="3231"/>
      <c r="Z41" s="777" t="str">
        <f t="shared" si="18"/>
        <v>单套/主力户型建筑面积</v>
      </c>
      <c r="AA41" s="1810">
        <f t="shared" si="15"/>
        <v>1</v>
      </c>
      <c r="AB41" s="1810">
        <f t="shared" si="16"/>
        <v>1</v>
      </c>
      <c r="AC41" s="1810">
        <f t="shared" si="17"/>
        <v>1</v>
      </c>
    </row>
    <row r="42" spans="1:29" ht="15">
      <c r="A42" s="472"/>
      <c r="B42" s="422" t="s">
        <v>2570</v>
      </c>
      <c r="C42" s="2609" t="s">
        <v>3384</v>
      </c>
      <c r="D42" s="435">
        <v>100</v>
      </c>
      <c r="E42" s="2609" t="s">
        <v>3384</v>
      </c>
      <c r="F42" s="461">
        <f>SUMIF(122:122,E42,123:123)-SUMIF(122:122,C42,123:123)+100</f>
        <v>100</v>
      </c>
      <c r="G42" s="2609" t="s">
        <v>3384</v>
      </c>
      <c r="H42" s="435">
        <f>SUMIF(122:122,G42,123:123)-SUMIF(122:122,C42,123:123)+100</f>
        <v>100</v>
      </c>
      <c r="I42" s="2609" t="s">
        <v>3387</v>
      </c>
      <c r="J42" s="435">
        <f>SUMIF(122:122,I42,123:123)-SUMIF(122:122,C42,123:123)+100</f>
        <v>94</v>
      </c>
      <c r="K42" s="426">
        <v>2</v>
      </c>
      <c r="L42" s="1140"/>
      <c r="M42" s="1131"/>
      <c r="N42" s="1131"/>
      <c r="O42" s="1131"/>
      <c r="P42" s="3229"/>
      <c r="Q42" s="1809" t="str">
        <f t="shared" si="11"/>
        <v>内部装修</v>
      </c>
      <c r="R42" s="771" t="s">
        <v>21</v>
      </c>
      <c r="S42" s="772">
        <f t="shared" si="12"/>
        <v>100</v>
      </c>
      <c r="T42" s="771" t="s">
        <v>21</v>
      </c>
      <c r="U42" s="772">
        <f t="shared" si="13"/>
        <v>100</v>
      </c>
      <c r="V42" s="771" t="s">
        <v>21</v>
      </c>
      <c r="W42" s="772">
        <f t="shared" si="14"/>
        <v>94</v>
      </c>
      <c r="X42" s="1812"/>
      <c r="Y42" s="3231"/>
      <c r="Z42" s="1813" t="str">
        <f t="shared" si="18"/>
        <v>内部装修</v>
      </c>
      <c r="AA42" s="1810">
        <f t="shared" si="15"/>
        <v>1</v>
      </c>
      <c r="AB42" s="1810">
        <f t="shared" si="16"/>
        <v>1</v>
      </c>
      <c r="AC42" s="1810">
        <f t="shared" si="17"/>
        <v>1.0638297872340425</v>
      </c>
    </row>
    <row r="43" spans="1:29" ht="15.75" thickBot="1">
      <c r="A43" s="472"/>
      <c r="B43" s="422" t="s">
        <v>2571</v>
      </c>
      <c r="C43" s="2609" t="s">
        <v>3366</v>
      </c>
      <c r="D43" s="435">
        <v>100</v>
      </c>
      <c r="E43" s="2609" t="s">
        <v>3366</v>
      </c>
      <c r="F43" s="461">
        <f>SUMIF(124:124,E43,125:125)-SUMIF(124:124,C43,125:125)+100</f>
        <v>100</v>
      </c>
      <c r="G43" s="2609" t="s">
        <v>3366</v>
      </c>
      <c r="H43" s="435">
        <f>SUMIF(124:124,G43,125:125)-SUMIF(124:124,C43,125:125)+100</f>
        <v>100</v>
      </c>
      <c r="I43" s="2609" t="s">
        <v>3366</v>
      </c>
      <c r="J43" s="435">
        <f>SUMIF(124:124,I43,125:125)-SUMIF(124:124,C43,125:125)+100</f>
        <v>100</v>
      </c>
      <c r="K43" s="426">
        <v>2</v>
      </c>
      <c r="L43" s="1140"/>
      <c r="M43" s="1131"/>
      <c r="N43" s="1131"/>
      <c r="O43" s="1131"/>
      <c r="P43" s="3229"/>
      <c r="Q43" s="1809" t="str">
        <f t="shared" si="11"/>
        <v>内部装修维护情况</v>
      </c>
      <c r="R43" s="771" t="s">
        <v>21</v>
      </c>
      <c r="S43" s="772">
        <f t="shared" si="12"/>
        <v>100</v>
      </c>
      <c r="T43" s="771" t="s">
        <v>21</v>
      </c>
      <c r="U43" s="772">
        <f t="shared" si="13"/>
        <v>100</v>
      </c>
      <c r="V43" s="771" t="s">
        <v>21</v>
      </c>
      <c r="W43" s="772">
        <f t="shared" si="14"/>
        <v>100</v>
      </c>
      <c r="X43" s="1812"/>
      <c r="Y43" s="3231"/>
      <c r="Z43" s="1813" t="str">
        <f t="shared" si="18"/>
        <v>内部装修维护情况</v>
      </c>
      <c r="AA43" s="1810">
        <f t="shared" si="15"/>
        <v>1</v>
      </c>
      <c r="AB43" s="1810">
        <f t="shared" si="16"/>
        <v>1</v>
      </c>
      <c r="AC43" s="1810">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34"/>
      <c r="J44" s="136">
        <f>SUMIF(126:126,I44,127:127)-SUMIF(126:126,C44,127:127)+100</f>
        <v>100</v>
      </c>
      <c r="K44" s="2597"/>
      <c r="L44" s="1132"/>
      <c r="M44" s="1133"/>
      <c r="N44" s="1133"/>
      <c r="O44" s="1133"/>
      <c r="P44" s="3229"/>
      <c r="Q44" s="1794">
        <f t="shared" si="11"/>
        <v>111</v>
      </c>
      <c r="R44" s="767" t="s">
        <v>21</v>
      </c>
      <c r="S44" s="768">
        <f t="shared" si="12"/>
        <v>100</v>
      </c>
      <c r="T44" s="767" t="s">
        <v>21</v>
      </c>
      <c r="U44" s="768">
        <f t="shared" si="13"/>
        <v>100</v>
      </c>
      <c r="V44" s="767" t="s">
        <v>21</v>
      </c>
      <c r="W44" s="768">
        <f t="shared" si="14"/>
        <v>100</v>
      </c>
      <c r="X44" s="769"/>
      <c r="Y44" s="3231"/>
      <c r="Z44" s="55">
        <f t="shared" si="18"/>
        <v>111</v>
      </c>
      <c r="AA44" s="770">
        <f t="shared" si="15"/>
        <v>1</v>
      </c>
      <c r="AB44" s="770">
        <f t="shared" si="16"/>
        <v>1</v>
      </c>
      <c r="AC44" s="770">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29"/>
      <c r="Q45" s="1809">
        <f t="shared" si="11"/>
        <v>111</v>
      </c>
      <c r="R45" s="771" t="s">
        <v>21</v>
      </c>
      <c r="S45" s="772">
        <f t="shared" si="12"/>
        <v>100</v>
      </c>
      <c r="T45" s="771" t="s">
        <v>21</v>
      </c>
      <c r="U45" s="772">
        <f t="shared" si="13"/>
        <v>100</v>
      </c>
      <c r="V45" s="771" t="s">
        <v>21</v>
      </c>
      <c r="W45" s="772">
        <f t="shared" si="14"/>
        <v>100</v>
      </c>
      <c r="X45" s="1812"/>
      <c r="Y45" s="3231"/>
      <c r="Z45" s="1813">
        <f t="shared" si="18"/>
        <v>111</v>
      </c>
      <c r="AA45" s="1810">
        <f t="shared" si="15"/>
        <v>1</v>
      </c>
      <c r="AB45" s="1810">
        <f t="shared" si="16"/>
        <v>1</v>
      </c>
      <c r="AC45" s="1810">
        <f t="shared" si="17"/>
        <v>1</v>
      </c>
    </row>
    <row r="46" spans="1:29" ht="15.75" hidden="1"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30"/>
      <c r="Q46" s="1809">
        <f t="shared" si="11"/>
        <v>111</v>
      </c>
      <c r="R46" s="771" t="s">
        <v>20</v>
      </c>
      <c r="S46" s="772">
        <f t="shared" si="12"/>
        <v>100</v>
      </c>
      <c r="T46" s="771" t="s">
        <v>20</v>
      </c>
      <c r="U46" s="772">
        <f t="shared" si="13"/>
        <v>100</v>
      </c>
      <c r="V46" s="771" t="s">
        <v>20</v>
      </c>
      <c r="W46" s="772">
        <f t="shared" si="14"/>
        <v>100</v>
      </c>
      <c r="X46" s="1812"/>
      <c r="Y46" s="3232"/>
      <c r="Z46" s="1813">
        <f t="shared" si="18"/>
        <v>111</v>
      </c>
      <c r="AA46" s="1810">
        <f t="shared" si="15"/>
        <v>1</v>
      </c>
      <c r="AB46" s="1810">
        <f t="shared" si="16"/>
        <v>1</v>
      </c>
      <c r="AC46" s="1810">
        <f t="shared" si="17"/>
        <v>1</v>
      </c>
    </row>
    <row r="47" spans="1:29" ht="15">
      <c r="A47" s="479" t="s">
        <v>2572</v>
      </c>
      <c r="B47" s="480"/>
      <c r="C47" s="1407" t="s">
        <v>19</v>
      </c>
      <c r="D47" s="1408"/>
      <c r="E47" s="1409">
        <f>ROUND(38869*H51,0)</f>
        <v>38092</v>
      </c>
      <c r="F47" s="1410"/>
      <c r="G47" s="1411">
        <f>ROUND(34800*H51,0)</f>
        <v>34104</v>
      </c>
      <c r="H47" s="1412"/>
      <c r="I47" s="1411">
        <f>ROUND(34000*H51,0)</f>
        <v>33320</v>
      </c>
      <c r="J47" s="1412"/>
      <c r="K47" s="2616"/>
      <c r="L47" s="1143"/>
      <c r="M47" s="1144"/>
      <c r="N47" s="1131"/>
      <c r="O47" s="1144"/>
      <c r="P47" s="3224" t="str">
        <f>A47</f>
        <v>成交单价（元/平方米）</v>
      </c>
      <c r="Q47" s="3224"/>
      <c r="R47" s="3225">
        <f>E47</f>
        <v>38092</v>
      </c>
      <c r="S47" s="3225"/>
      <c r="T47" s="3225">
        <f>G47</f>
        <v>34104</v>
      </c>
      <c r="U47" s="3225"/>
      <c r="V47" s="3225">
        <f>I47</f>
        <v>33320</v>
      </c>
      <c r="W47" s="3225"/>
      <c r="X47" s="756"/>
      <c r="Y47" s="778"/>
      <c r="Z47" s="756"/>
      <c r="AA47" s="756"/>
      <c r="AB47" s="756"/>
      <c r="AC47" s="756"/>
    </row>
    <row r="48" spans="1:29" ht="15.75" thickBot="1">
      <c r="A48" s="486" t="s">
        <v>2573</v>
      </c>
      <c r="B48" s="487"/>
      <c r="C48" s="1413">
        <f>R49</f>
        <v>35229</v>
      </c>
      <c r="D48" s="1414"/>
      <c r="E48" s="1415">
        <f>R48</f>
        <v>36447</v>
      </c>
      <c r="F48" s="1415"/>
      <c r="G48" s="1413">
        <f>T48</f>
        <v>33435</v>
      </c>
      <c r="H48" s="1414"/>
      <c r="I48" s="1415">
        <f>V48</f>
        <v>35805</v>
      </c>
      <c r="J48" s="1414"/>
      <c r="K48" s="2617"/>
      <c r="L48" s="1143"/>
      <c r="M48" s="1144"/>
      <c r="N48" s="1144"/>
      <c r="O48" s="1144"/>
      <c r="P48" s="3224" t="str">
        <f>A48</f>
        <v>比较价值（元/平方米）</v>
      </c>
      <c r="Q48" s="3224"/>
      <c r="R48" s="3225">
        <f>IF(F1="售价",ROUND(PRODUCT(R47,AA7:AA46),0),ROUND(PRODUCT(R47,AA7:AA46),1))</f>
        <v>36447</v>
      </c>
      <c r="S48" s="3225"/>
      <c r="T48" s="3225">
        <f>IF(F1="售价",ROUND(PRODUCT(T47,AB7:AB46),0),ROUND(PRODUCT(T47,AB7:AB46),1))</f>
        <v>33435</v>
      </c>
      <c r="U48" s="3225"/>
      <c r="V48" s="3225">
        <f>IF(F1="售价",ROUND(PRODUCT(V47,AC7:AC46),0),ROUND(PRODUCT(V47,AC7:AC46),1))</f>
        <v>35805</v>
      </c>
      <c r="W48" s="3225"/>
      <c r="X48" s="756"/>
      <c r="Y48" s="756"/>
      <c r="Z48" s="756"/>
      <c r="AA48" s="756"/>
      <c r="AB48" s="756"/>
      <c r="AC48" s="756"/>
    </row>
    <row r="49" spans="1:29" ht="15.75" thickBot="1">
      <c r="A49" s="492" t="s">
        <v>2574</v>
      </c>
      <c r="B49" s="493"/>
      <c r="C49" s="1416">
        <f>R49</f>
        <v>35229</v>
      </c>
      <c r="D49" s="1417"/>
      <c r="E49" s="1417"/>
      <c r="F49" s="1417"/>
      <c r="G49" s="1417"/>
      <c r="H49" s="1417"/>
      <c r="I49" s="1417"/>
      <c r="J49" s="1417"/>
      <c r="K49" s="2618"/>
      <c r="L49" s="1143"/>
      <c r="M49" s="1144"/>
      <c r="N49" s="1144"/>
      <c r="O49" s="1144"/>
      <c r="P49" s="3221" t="str">
        <f>A49</f>
        <v>估价对象XX用房的比较价值（楼面单价，元/平方米）</v>
      </c>
      <c r="Q49" s="3222"/>
      <c r="R49" s="3223">
        <f>IF(F1="售价",ROUND(AVERAGE(R48:V48),0),ROUND(AVERAGE(R48:V48),1))</f>
        <v>35229</v>
      </c>
      <c r="S49" s="3223"/>
      <c r="T49" s="3223"/>
      <c r="U49" s="3223"/>
      <c r="V49" s="3223"/>
      <c r="W49" s="3223"/>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v>0.98</v>
      </c>
      <c r="I51" s="1144"/>
      <c r="J51" s="1144"/>
      <c r="K51" s="1105"/>
      <c r="L51" s="1106"/>
      <c r="M51" s="1144"/>
      <c r="N51" s="1144"/>
      <c r="O51" s="1144"/>
    </row>
    <row r="52" spans="1:29" ht="13.5" customHeight="1">
      <c r="A52" s="1144"/>
      <c r="B52" s="1144"/>
      <c r="C52" s="497" t="s">
        <v>2575</v>
      </c>
      <c r="D52" s="498"/>
      <c r="E52" s="499">
        <f>IF(E47&lt;E48,E48/E47-1,E47/E48-1)</f>
        <v>4.513403023568463E-2</v>
      </c>
      <c r="F52" s="500" t="str">
        <f>IF(OR(E52&gt;=0.3,E52&lt;=-0.3),"超过30%","")</f>
        <v/>
      </c>
      <c r="G52" s="499">
        <f>IF(G47&lt;G48,G48/G47-1,G47/G48-1)</f>
        <v>2.0008972633468014E-2</v>
      </c>
      <c r="H52" s="500" t="str">
        <f>IF(OR(G52&gt;=0.3,G52&lt;=-0.3),"超过30%","")</f>
        <v/>
      </c>
      <c r="I52" s="499">
        <f>IF(I47&lt;I48,I48/I47-1,I47/I48-1)</f>
        <v>7.4579831932773066E-2</v>
      </c>
      <c r="J52" s="500" t="str">
        <f>IF(OR(I52&gt;=0.3,I52&lt;=-0.3),"超过30%","")</f>
        <v/>
      </c>
      <c r="K52" s="1105"/>
      <c r="L52" s="1106"/>
      <c r="M52" s="1144"/>
      <c r="N52" s="1144"/>
      <c r="O52" s="1144"/>
    </row>
    <row r="53" spans="1:29" ht="13.5" customHeight="1">
      <c r="A53" s="1144"/>
      <c r="B53" s="1144"/>
      <c r="C53" s="497" t="s">
        <v>2576</v>
      </c>
      <c r="D53" s="501"/>
      <c r="E53" s="499">
        <f>IF(E48&lt;G48,G48/E48-1,E48/G48-1)</f>
        <v>9.0085240017945267E-2</v>
      </c>
      <c r="F53" s="500" t="str">
        <f>IF(OR(E53&gt;=0.2,E53&lt;=-0.2),"超过20%","")</f>
        <v/>
      </c>
      <c r="G53" s="499">
        <f>IF(G48&lt;I48,I48/G48-1,G48/I48-1)</f>
        <v>7.0883804396590477E-2</v>
      </c>
      <c r="H53" s="500" t="str">
        <f>IF(OR(G53&gt;=0.2,G53&lt;=-0.2),"超过20%","")</f>
        <v/>
      </c>
      <c r="I53" s="499">
        <f>IF(I48&lt;E48,E48/I48-1,I48/E48-1)</f>
        <v>1.7930456640134151E-2</v>
      </c>
      <c r="J53" s="500" t="str">
        <f>IF(OR(I53&gt;=0.2,I53&lt;=-0.2),"超过20%","")</f>
        <v/>
      </c>
      <c r="K53" s="1105"/>
      <c r="L53" s="1106"/>
      <c r="M53" s="1144"/>
      <c r="N53" s="1144"/>
      <c r="O53" s="1144"/>
    </row>
    <row r="54" spans="1:29" s="502" customFormat="1" ht="13.5" customHeight="1">
      <c r="A54" s="1145"/>
      <c r="B54" s="1145"/>
      <c r="C54" s="497" t="s">
        <v>2577</v>
      </c>
      <c r="D54" s="501"/>
      <c r="E54" s="499">
        <f>IF(E47&lt;G47,G47/E47-1,E47/G47-1)</f>
        <v>0.11693642974431162</v>
      </c>
      <c r="F54" s="500" t="str">
        <f>IF(OR(E54&gt;=0.3,E54&lt;=-0.3),"超过30%","")</f>
        <v/>
      </c>
      <c r="G54" s="499">
        <f>IF(G47&lt;I47,I47/G47-1,G47/I47-1)</f>
        <v>2.3529411764705799E-2</v>
      </c>
      <c r="H54" s="500" t="str">
        <f>IF(OR(G54&gt;=0.3,G54&lt;=-0.3),"超过30%","")</f>
        <v/>
      </c>
      <c r="I54" s="499">
        <f>IF(I47&lt;E47,E47/I47-1,I47/E47-1)</f>
        <v>0.14321728691476587</v>
      </c>
      <c r="J54" s="500" t="str">
        <f>IF(OR(I54&gt;=0.3,I54&lt;=-0.3),"超过30%","")</f>
        <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1.75" thickBot="1">
      <c r="A57" s="760" t="s">
        <v>2578</v>
      </c>
      <c r="B57" s="756"/>
      <c r="C57" s="761"/>
      <c r="D57" s="761"/>
      <c r="E57" s="761"/>
      <c r="F57" s="762"/>
      <c r="G57" s="762"/>
      <c r="H57" s="761"/>
      <c r="I57" s="761"/>
      <c r="J57" s="761"/>
      <c r="K57" s="1160"/>
      <c r="L57" s="1161"/>
      <c r="M57" s="1159"/>
      <c r="N57" s="1159"/>
      <c r="O57" s="1159"/>
      <c r="P57" s="2621"/>
      <c r="Q57" s="504"/>
    </row>
    <row r="58" spans="1:29" s="508" customFormat="1" ht="15">
      <c r="A58" s="505" t="s">
        <v>2579</v>
      </c>
      <c r="B58" s="506"/>
      <c r="C58" s="1576" t="str">
        <f>YEAR(C7)&amp;"-"&amp;MONTH(C7)</f>
        <v>2018-8</v>
      </c>
      <c r="D58" s="1575">
        <f>EDATE(C58,-1)</f>
        <v>43282</v>
      </c>
      <c r="E58" s="1575">
        <f>EDATE(D58,-1)</f>
        <v>43252</v>
      </c>
      <c r="F58" s="1575">
        <f t="shared" ref="F58:O58" si="19">EDATE(E58,-1)</f>
        <v>43221</v>
      </c>
      <c r="G58" s="1575">
        <f t="shared" si="19"/>
        <v>43191</v>
      </c>
      <c r="H58" s="1575">
        <f t="shared" si="19"/>
        <v>43160</v>
      </c>
      <c r="I58" s="1575">
        <f t="shared" si="19"/>
        <v>43132</v>
      </c>
      <c r="J58" s="1575">
        <f t="shared" si="19"/>
        <v>43101</v>
      </c>
      <c r="K58" s="1575">
        <f t="shared" si="19"/>
        <v>43070</v>
      </c>
      <c r="L58" s="1575">
        <f t="shared" si="19"/>
        <v>43040</v>
      </c>
      <c r="M58" s="1575">
        <f t="shared" si="19"/>
        <v>43009</v>
      </c>
      <c r="N58" s="1575">
        <f t="shared" si="19"/>
        <v>42979</v>
      </c>
      <c r="O58" s="1575">
        <f t="shared" si="19"/>
        <v>42948</v>
      </c>
      <c r="P58" s="1570"/>
    </row>
    <row r="59" spans="1:29" s="117" customFormat="1" ht="15">
      <c r="A59" s="509"/>
      <c r="B59" s="2622"/>
      <c r="C59" s="1573">
        <v>100</v>
      </c>
      <c r="D59" s="511">
        <v>100</v>
      </c>
      <c r="E59" s="512">
        <v>99.5</v>
      </c>
      <c r="F59" s="512">
        <v>99.5</v>
      </c>
      <c r="G59" s="512">
        <v>99.5</v>
      </c>
      <c r="H59" s="512">
        <v>99</v>
      </c>
      <c r="I59" s="512">
        <v>99</v>
      </c>
      <c r="J59" s="512">
        <v>99</v>
      </c>
      <c r="K59" s="512">
        <v>98.5</v>
      </c>
      <c r="L59" s="512">
        <v>98.5</v>
      </c>
      <c r="M59" s="513">
        <v>98.5</v>
      </c>
      <c r="N59" s="512">
        <v>98</v>
      </c>
      <c r="O59" s="513"/>
      <c r="P59" s="2623"/>
    </row>
    <row r="60" spans="1:29" s="117" customFormat="1" ht="15.75" thickBot="1">
      <c r="A60" s="515" t="s">
        <v>2580</v>
      </c>
      <c r="B60" s="516"/>
      <c r="C60" s="517"/>
      <c r="D60" s="518"/>
      <c r="E60" s="518"/>
      <c r="F60" s="518"/>
      <c r="G60" s="518"/>
      <c r="H60" s="518"/>
      <c r="I60" s="518"/>
      <c r="J60" s="518"/>
      <c r="K60" s="518"/>
      <c r="L60" s="518"/>
      <c r="M60" s="519"/>
      <c r="N60" s="518"/>
      <c r="O60" s="519"/>
      <c r="P60" s="2623"/>
      <c r="Q60" s="504"/>
    </row>
    <row r="61" spans="1:29" s="117" customFormat="1" ht="15">
      <c r="A61" s="521" t="s">
        <v>2581</v>
      </c>
      <c r="B61" s="510"/>
      <c r="C61" s="522" t="s">
        <v>2582</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2583</v>
      </c>
      <c r="B63" s="528" t="s">
        <v>2549</v>
      </c>
      <c r="C63" s="529" t="str">
        <f>C9</f>
        <v>办公</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5"/>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3"/>
      <c r="O66" s="1153"/>
      <c r="P66" s="2625"/>
      <c r="Q66" s="504"/>
    </row>
    <row r="67" spans="1:17" ht="15.75" thickTop="1">
      <c r="A67" s="534"/>
      <c r="B67" s="546" t="s">
        <v>2553</v>
      </c>
      <c r="C67" s="547" t="str">
        <f>C68&amp;"（含）"&amp;"-"&amp;D68</f>
        <v>0（含）-1</v>
      </c>
      <c r="D67" s="547" t="str">
        <f t="shared" ref="D67:L67" si="21">D68&amp;"（含）"&amp;"-"&amp;E68</f>
        <v>1（含）-2</v>
      </c>
      <c r="E67" s="547" t="str">
        <f t="shared" si="21"/>
        <v>2（含）-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ht="15">
      <c r="A68" s="534"/>
      <c r="B68" s="548"/>
      <c r="C68" s="549">
        <v>0</v>
      </c>
      <c r="D68" s="549">
        <v>1</v>
      </c>
      <c r="E68" s="549">
        <v>2</v>
      </c>
      <c r="F68" s="549"/>
      <c r="G68" s="549"/>
      <c r="H68" s="549"/>
      <c r="I68" s="549"/>
      <c r="J68" s="549"/>
      <c r="K68" s="550"/>
      <c r="L68" s="551"/>
      <c r="M68" s="552"/>
      <c r="N68" s="1152"/>
      <c r="O68" s="1152"/>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60"/>
      <c r="E73" s="560"/>
      <c r="F73" s="560"/>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5"/>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5"/>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5"/>
      <c r="Q81" s="504"/>
    </row>
    <row r="82" spans="1:17" ht="15.75" thickTop="1">
      <c r="A82" s="534"/>
      <c r="B82" s="546" t="s">
        <v>2095</v>
      </c>
      <c r="C82" s="539" t="s">
        <v>2599</v>
      </c>
      <c r="D82" s="539" t="s">
        <v>2600</v>
      </c>
      <c r="E82" s="539" t="s">
        <v>2601</v>
      </c>
      <c r="F82" s="539" t="s">
        <v>2602</v>
      </c>
      <c r="G82" s="539" t="s">
        <v>2603</v>
      </c>
      <c r="H82" s="539"/>
      <c r="I82" s="539"/>
      <c r="J82" s="539"/>
      <c r="K82" s="539"/>
      <c r="L82" s="539"/>
      <c r="M82" s="1382"/>
      <c r="N82" s="1153"/>
      <c r="O82" s="1153"/>
      <c r="P82" s="2625"/>
      <c r="Q82" s="504"/>
    </row>
    <row r="83" spans="1:17" ht="15.75" thickBot="1">
      <c r="A83" s="534"/>
      <c r="B83" s="546"/>
      <c r="C83" s="659">
        <v>100</v>
      </c>
      <c r="D83" s="659">
        <f>C83-$K21</f>
        <v>98</v>
      </c>
      <c r="E83" s="659">
        <f t="shared" ref="E83:G83" si="23">D83-$K21</f>
        <v>96</v>
      </c>
      <c r="F83" s="659">
        <f t="shared" si="23"/>
        <v>94</v>
      </c>
      <c r="G83" s="659">
        <f t="shared" si="23"/>
        <v>92</v>
      </c>
      <c r="H83" s="659"/>
      <c r="I83" s="659"/>
      <c r="J83" s="659"/>
      <c r="K83" s="659"/>
      <c r="L83" s="659"/>
      <c r="M83" s="450"/>
      <c r="N83" s="1153"/>
      <c r="O83" s="1153"/>
      <c r="P83" s="2625"/>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2605</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75" thickTop="1">
      <c r="A88" s="579"/>
      <c r="B88" s="538" t="s">
        <v>2606</v>
      </c>
      <c r="C88" s="554"/>
      <c r="D88" s="554"/>
      <c r="E88" s="554"/>
      <c r="F88" s="2630"/>
      <c r="G88" s="554"/>
      <c r="H88" s="554"/>
      <c r="I88" s="554"/>
      <c r="J88" s="554"/>
      <c r="K88" s="554"/>
      <c r="L88" s="554"/>
      <c r="M88" s="581"/>
      <c r="N88" s="1151"/>
      <c r="O88" s="1151"/>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5"/>
      <c r="Q89" s="504"/>
    </row>
    <row r="90" spans="1:17" s="471" customFormat="1" ht="15.75" thickTop="1">
      <c r="A90" s="553"/>
      <c r="B90" s="538" t="str">
        <f>B27</f>
        <v>道路级别</v>
      </c>
      <c r="C90" s="554" t="s">
        <v>3371</v>
      </c>
      <c r="D90" s="554" t="s">
        <v>3372</v>
      </c>
      <c r="E90" s="554" t="s">
        <v>3373</v>
      </c>
      <c r="F90" s="554" t="s">
        <v>3374</v>
      </c>
      <c r="G90" s="554" t="s">
        <v>3375</v>
      </c>
      <c r="H90" s="555"/>
      <c r="I90" s="555"/>
      <c r="J90" s="555"/>
      <c r="K90" s="555"/>
      <c r="L90" s="556"/>
      <c r="M90" s="557"/>
      <c r="N90" s="1154"/>
      <c r="O90" s="1154"/>
      <c r="P90" s="2626"/>
      <c r="Q90" s="559"/>
    </row>
    <row r="91" spans="1:17" s="471" customFormat="1" ht="15.75" thickBot="1">
      <c r="A91" s="553"/>
      <c r="B91" s="543"/>
      <c r="C91" s="560">
        <v>100</v>
      </c>
      <c r="D91" s="560">
        <v>99</v>
      </c>
      <c r="E91" s="560">
        <v>98</v>
      </c>
      <c r="F91" s="560">
        <v>97</v>
      </c>
      <c r="G91" s="560">
        <v>96</v>
      </c>
      <c r="H91" s="562"/>
      <c r="I91" s="562"/>
      <c r="J91" s="562"/>
      <c r="K91" s="562"/>
      <c r="L91" s="562"/>
      <c r="M91" s="563"/>
      <c r="N91" s="1154"/>
      <c r="O91" s="1154"/>
      <c r="P91" s="2626"/>
      <c r="Q91" s="559"/>
    </row>
    <row r="92" spans="1:17" ht="15.75" thickTop="1">
      <c r="A92" s="534"/>
      <c r="B92" s="538" t="str">
        <f>B28</f>
        <v>楼层</v>
      </c>
      <c r="C92" s="2956" t="s">
        <v>3376</v>
      </c>
      <c r="D92" s="2956" t="s">
        <v>3377</v>
      </c>
      <c r="E92" s="2956" t="s">
        <v>3378</v>
      </c>
      <c r="F92" s="554"/>
      <c r="G92" s="583"/>
      <c r="H92" s="583"/>
      <c r="I92" s="583"/>
      <c r="J92" s="583"/>
      <c r="K92" s="584"/>
      <c r="L92" s="585"/>
      <c r="M92" s="586"/>
      <c r="N92" s="1152"/>
      <c r="O92" s="1152"/>
      <c r="P92" s="2625"/>
      <c r="Q92" s="504"/>
    </row>
    <row r="93" spans="1:17" ht="15.75" thickBot="1">
      <c r="A93" s="534"/>
      <c r="B93" s="543"/>
      <c r="C93" s="560">
        <v>100</v>
      </c>
      <c r="D93" s="536">
        <v>98</v>
      </c>
      <c r="E93" s="536">
        <v>96</v>
      </c>
      <c r="F93" s="536"/>
      <c r="G93" s="536"/>
      <c r="H93" s="536"/>
      <c r="I93" s="536"/>
      <c r="J93" s="536"/>
      <c r="K93" s="536"/>
      <c r="L93" s="536"/>
      <c r="M93" s="537"/>
      <c r="N93" s="1153"/>
      <c r="O93" s="1153"/>
      <c r="P93" s="2625"/>
      <c r="Q93" s="504"/>
    </row>
    <row r="94" spans="1:17" ht="15.75" thickTop="1">
      <c r="A94" s="534"/>
      <c r="B94" s="538">
        <f>B29</f>
        <v>0</v>
      </c>
      <c r="C94" s="554"/>
      <c r="D94" s="554"/>
      <c r="E94" s="554"/>
      <c r="F94" s="554"/>
      <c r="G94" s="583"/>
      <c r="H94" s="583"/>
      <c r="I94" s="583"/>
      <c r="J94" s="583"/>
      <c r="K94" s="584"/>
      <c r="L94" s="585"/>
      <c r="M94" s="586"/>
      <c r="N94" s="1152"/>
      <c r="O94" s="1152"/>
      <c r="P94" s="2625"/>
      <c r="Q94" s="504"/>
    </row>
    <row r="95" spans="1:17" ht="15.75" thickBot="1">
      <c r="A95" s="534"/>
      <c r="B95" s="543"/>
      <c r="C95" s="560"/>
      <c r="D95" s="560"/>
      <c r="E95" s="560"/>
      <c r="F95" s="560"/>
      <c r="G95" s="536"/>
      <c r="H95" s="536"/>
      <c r="I95" s="536"/>
      <c r="J95" s="536"/>
      <c r="K95" s="536"/>
      <c r="L95" s="536"/>
      <c r="M95" s="537"/>
      <c r="N95" s="1153"/>
      <c r="O95" s="1153"/>
      <c r="P95" s="2625"/>
      <c r="Q95" s="504"/>
    </row>
    <row r="96" spans="1:17" ht="15.75" thickTop="1">
      <c r="A96" s="534"/>
      <c r="B96" s="538">
        <f>B30</f>
        <v>0</v>
      </c>
      <c r="C96" s="554"/>
      <c r="D96" s="554"/>
      <c r="E96" s="554"/>
      <c r="F96" s="554"/>
      <c r="G96" s="583"/>
      <c r="H96" s="583"/>
      <c r="I96" s="583"/>
      <c r="J96" s="583"/>
      <c r="K96" s="584"/>
      <c r="L96" s="585"/>
      <c r="M96" s="586"/>
      <c r="N96" s="1152"/>
      <c r="O96" s="1152"/>
      <c r="P96" s="2625"/>
      <c r="Q96" s="504"/>
    </row>
    <row r="97" spans="1:17" ht="15.75" thickBot="1">
      <c r="A97" s="534"/>
      <c r="B97" s="543"/>
      <c r="C97" s="570"/>
      <c r="D97" s="570"/>
      <c r="E97" s="570"/>
      <c r="F97" s="570"/>
      <c r="G97" s="536"/>
      <c r="H97" s="536"/>
      <c r="I97" s="536"/>
      <c r="J97" s="536"/>
      <c r="K97" s="536"/>
      <c r="L97" s="536"/>
      <c r="M97" s="537"/>
      <c r="N97" s="1153"/>
      <c r="O97" s="1153"/>
      <c r="P97" s="2625"/>
      <c r="Q97" s="504"/>
    </row>
    <row r="98" spans="1:17" ht="15.75" thickTop="1">
      <c r="A98" s="534"/>
      <c r="B98" s="546">
        <f>B31</f>
        <v>0</v>
      </c>
      <c r="C98" s="587"/>
      <c r="D98" s="587"/>
      <c r="E98" s="587"/>
      <c r="F98" s="587"/>
      <c r="G98" s="587"/>
      <c r="H98" s="587"/>
      <c r="I98" s="587"/>
      <c r="J98" s="587"/>
      <c r="K98" s="588"/>
      <c r="L98" s="589"/>
      <c r="M98" s="590"/>
      <c r="N98" s="1152"/>
      <c r="O98" s="1152"/>
      <c r="P98" s="2625"/>
      <c r="Q98" s="504"/>
    </row>
    <row r="99" spans="1:17" ht="15.75" thickBot="1">
      <c r="A99" s="2631"/>
      <c r="B99" s="569"/>
      <c r="C99" s="591"/>
      <c r="D99" s="591"/>
      <c r="E99" s="591"/>
      <c r="F99" s="591"/>
      <c r="G99" s="591"/>
      <c r="H99" s="591"/>
      <c r="I99" s="591"/>
      <c r="J99" s="591"/>
      <c r="K99" s="591"/>
      <c r="L99" s="591"/>
      <c r="M99" s="592"/>
      <c r="N99" s="1153"/>
      <c r="O99" s="1153"/>
      <c r="P99" s="2625"/>
      <c r="Q99" s="504"/>
    </row>
    <row r="100" spans="1:17">
      <c r="A100" s="527" t="s">
        <v>2558</v>
      </c>
      <c r="B100" s="528" t="s">
        <v>2607</v>
      </c>
      <c r="C100" s="530"/>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5"/>
      <c r="Q101" s="504"/>
    </row>
    <row r="102" spans="1:17" ht="15.75" thickTop="1">
      <c r="A102" s="534"/>
      <c r="B102" s="538" t="s">
        <v>2608</v>
      </c>
      <c r="C102" s="578" t="str">
        <f>C103&amp;"(含)"&amp;"-"&amp;D103</f>
        <v>0(含)-50</v>
      </c>
      <c r="D102" s="578" t="str">
        <f t="shared" ref="D102:L102" si="27">D103&amp;"(含)"&amp;"-"&amp;E103</f>
        <v>50(含)-100</v>
      </c>
      <c r="E102" s="578" t="str">
        <f t="shared" si="27"/>
        <v>100(含)-150</v>
      </c>
      <c r="F102" s="578" t="str">
        <f t="shared" si="27"/>
        <v>150(含)-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v>0</v>
      </c>
      <c r="D103" s="595">
        <v>50</v>
      </c>
      <c r="E103" s="595">
        <v>100</v>
      </c>
      <c r="F103" s="595">
        <v>150</v>
      </c>
      <c r="G103" s="595"/>
      <c r="H103" s="595"/>
      <c r="I103" s="595"/>
      <c r="J103" s="596"/>
      <c r="K103" s="596"/>
      <c r="L103" s="597"/>
      <c r="M103" s="598"/>
      <c r="N103" s="1154"/>
      <c r="O103" s="1154"/>
      <c r="P103" s="2626"/>
      <c r="Q103" s="559"/>
    </row>
    <row r="104" spans="1:17" s="471" customFormat="1" ht="15.75" thickBot="1">
      <c r="A104" s="553"/>
      <c r="B104" s="543"/>
      <c r="C104" s="560">
        <v>100</v>
      </c>
      <c r="D104" s="536">
        <v>101</v>
      </c>
      <c r="E104" s="536">
        <v>100</v>
      </c>
      <c r="F104" s="536">
        <v>99</v>
      </c>
      <c r="G104" s="536"/>
      <c r="H104" s="536"/>
      <c r="I104" s="536"/>
      <c r="J104" s="536"/>
      <c r="K104" s="536"/>
      <c r="L104" s="536"/>
      <c r="M104" s="536"/>
      <c r="N104" s="1153"/>
      <c r="O104" s="1153"/>
      <c r="P104" s="2626"/>
      <c r="Q104" s="559"/>
    </row>
    <row r="105" spans="1:17" ht="15" thickTop="1">
      <c r="A105" s="599"/>
      <c r="B105" s="538" t="s">
        <v>2609</v>
      </c>
      <c r="C105" s="554" t="s">
        <v>3381</v>
      </c>
      <c r="D105" s="554" t="s">
        <v>3382</v>
      </c>
      <c r="E105" s="583" t="s">
        <v>3383</v>
      </c>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3"/>
      <c r="O106" s="1153"/>
      <c r="P106" s="2625"/>
      <c r="Q106" s="504"/>
    </row>
    <row r="107" spans="1:17" ht="15" thickTop="1">
      <c r="A107" s="599"/>
      <c r="B107" s="538" t="s">
        <v>2610</v>
      </c>
      <c r="C107" s="583" t="s">
        <v>3388</v>
      </c>
      <c r="D107" s="583" t="s">
        <v>3389</v>
      </c>
      <c r="E107" s="583"/>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5"/>
      <c r="Q108" s="504"/>
    </row>
    <row r="109" spans="1:17" ht="15" thickTop="1">
      <c r="A109" s="599"/>
      <c r="B109" s="538" t="s">
        <v>2611</v>
      </c>
      <c r="C109" s="554" t="s">
        <v>3384</v>
      </c>
      <c r="D109" s="554" t="s">
        <v>3385</v>
      </c>
      <c r="E109" s="554" t="s">
        <v>3386</v>
      </c>
      <c r="F109" s="583" t="s">
        <v>3387</v>
      </c>
      <c r="G109" s="583"/>
      <c r="H109" s="583"/>
      <c r="I109" s="583"/>
      <c r="J109" s="583"/>
      <c r="K109" s="584"/>
      <c r="L109" s="585"/>
      <c r="M109" s="586"/>
      <c r="N109" s="1152"/>
      <c r="O109" s="1152"/>
      <c r="P109" s="262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4"/>
      <c r="O113" s="1154"/>
      <c r="P113" s="2626"/>
      <c r="Q113" s="559"/>
    </row>
    <row r="114" spans="1:17" ht="15" thickTop="1">
      <c r="A114" s="599"/>
      <c r="B114" s="538" t="s">
        <v>2612</v>
      </c>
      <c r="C114" s="554" t="s">
        <v>3390</v>
      </c>
      <c r="D114" s="554" t="s">
        <v>3391</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5"/>
      <c r="Q115" s="504"/>
    </row>
    <row r="116" spans="1:17" ht="15" thickTop="1">
      <c r="A116" s="599"/>
      <c r="B116" s="538" t="s">
        <v>2613</v>
      </c>
      <c r="C116" s="554" t="s">
        <v>3367</v>
      </c>
      <c r="D116" s="554" t="s">
        <v>3392</v>
      </c>
      <c r="E116" s="554" t="s">
        <v>3393</v>
      </c>
      <c r="F116" s="554" t="s">
        <v>3394</v>
      </c>
      <c r="G116" s="554" t="s">
        <v>3395</v>
      </c>
      <c r="H116" s="583"/>
      <c r="I116" s="583"/>
      <c r="J116" s="583"/>
      <c r="K116" s="584"/>
      <c r="L116" s="585"/>
      <c r="M116" s="586"/>
      <c r="N116" s="1152"/>
      <c r="O116" s="1152"/>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5"/>
      <c r="Q117" s="504"/>
    </row>
    <row r="118" spans="1:17" ht="15" thickTop="1">
      <c r="A118" s="599"/>
      <c r="B118" s="538" t="s">
        <v>2614</v>
      </c>
      <c r="C118" s="583" t="s">
        <v>3396</v>
      </c>
      <c r="D118" s="583" t="s">
        <v>3397</v>
      </c>
      <c r="E118" s="583"/>
      <c r="F118" s="583"/>
      <c r="G118" s="583"/>
      <c r="H118" s="583"/>
      <c r="I118" s="583"/>
      <c r="J118" s="583"/>
      <c r="K118" s="584"/>
      <c r="L118" s="585"/>
      <c r="M118" s="586"/>
      <c r="N118" s="1152"/>
      <c r="O118" s="1152"/>
      <c r="P118" s="2625"/>
      <c r="Q118" s="504"/>
    </row>
    <row r="119" spans="1:17" ht="15.7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3"/>
      <c r="O119" s="1153"/>
      <c r="P119" s="2625"/>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26"/>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6"/>
      <c r="Q121" s="559"/>
    </row>
    <row r="122" spans="1:17" ht="15" thickTop="1">
      <c r="A122" s="599"/>
      <c r="B122" s="538" t="s">
        <v>2615</v>
      </c>
      <c r="C122" s="554" t="s">
        <v>3384</v>
      </c>
      <c r="D122" s="554" t="s">
        <v>3385</v>
      </c>
      <c r="E122" s="554" t="s">
        <v>3386</v>
      </c>
      <c r="F122" s="583" t="s">
        <v>3387</v>
      </c>
      <c r="G122" s="583"/>
      <c r="H122" s="583"/>
      <c r="I122" s="583"/>
      <c r="J122" s="583"/>
      <c r="K122" s="584"/>
      <c r="L122" s="585"/>
      <c r="M122" s="586"/>
      <c r="N122" s="1152"/>
      <c r="O122" s="1152"/>
      <c r="P122" s="2625"/>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3"/>
      <c r="O123" s="1153"/>
      <c r="P123" s="2625"/>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60"/>
      <c r="E129" s="560"/>
      <c r="F129" s="560"/>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2617</v>
      </c>
    </row>
    <row r="137" spans="1:17" ht="15">
      <c r="B137" s="2633" t="s">
        <v>2618</v>
      </c>
      <c r="C137" s="2634"/>
      <c r="D137" s="2634"/>
      <c r="E137" s="2634"/>
      <c r="F137" s="2634"/>
      <c r="G137" s="2635"/>
      <c r="H137" s="2636"/>
      <c r="I137" s="2637" t="s">
        <v>2619</v>
      </c>
      <c r="J137" s="2634"/>
      <c r="K137" s="2638"/>
    </row>
    <row r="138" spans="1:17" ht="15">
      <c r="B138" s="2639"/>
      <c r="C138" s="146" t="s">
        <v>2620</v>
      </c>
      <c r="D138" s="146" t="s">
        <v>2621</v>
      </c>
      <c r="E138" s="2640" t="s">
        <v>2622</v>
      </c>
      <c r="F138" s="2641" t="s">
        <v>2623</v>
      </c>
      <c r="G138" s="146" t="s">
        <v>2621</v>
      </c>
      <c r="H138" s="147" t="s">
        <v>2622</v>
      </c>
      <c r="I138" s="2642"/>
      <c r="J138" s="146" t="s">
        <v>2624</v>
      </c>
      <c r="K138" s="147" t="s">
        <v>2625</v>
      </c>
    </row>
    <row r="139" spans="1:17" ht="15">
      <c r="B139" s="1084">
        <v>6</v>
      </c>
      <c r="C139" s="1085">
        <v>96</v>
      </c>
      <c r="D139" s="2643" t="s">
        <v>2626</v>
      </c>
      <c r="E139" s="1086">
        <v>100</v>
      </c>
      <c r="F139" s="1087">
        <v>102.5</v>
      </c>
      <c r="G139" s="2643" t="s">
        <v>2626</v>
      </c>
      <c r="H139" s="1088">
        <v>105</v>
      </c>
      <c r="I139" s="2644" t="s">
        <v>2627</v>
      </c>
      <c r="J139" s="1085">
        <v>20</v>
      </c>
      <c r="K139" s="1089">
        <f>C145/(J139-2)</f>
        <v>4.0555555555555553E-3</v>
      </c>
    </row>
    <row r="140" spans="1:17" ht="15">
      <c r="B140" s="1090">
        <v>5</v>
      </c>
      <c r="C140" s="1091">
        <v>100</v>
      </c>
      <c r="D140" s="1091"/>
      <c r="E140" s="1092"/>
      <c r="F140" s="1093">
        <v>102</v>
      </c>
      <c r="G140" s="1091"/>
      <c r="H140" s="1094"/>
      <c r="I140" s="2645" t="s">
        <v>2628</v>
      </c>
      <c r="J140" s="315">
        <f>ROUNDUP((J139-1)/2,0)</f>
        <v>10</v>
      </c>
      <c r="K140" s="1095">
        <v>100</v>
      </c>
    </row>
    <row r="141" spans="1:17" ht="15">
      <c r="B141" s="1090">
        <v>4</v>
      </c>
      <c r="C141" s="1091">
        <v>102</v>
      </c>
      <c r="D141" s="1091"/>
      <c r="E141" s="1092"/>
      <c r="F141" s="1093">
        <v>101.5</v>
      </c>
      <c r="G141" s="1091"/>
      <c r="H141" s="1094"/>
      <c r="I141" s="2645" t="s">
        <v>2629</v>
      </c>
      <c r="J141" s="315">
        <v>1</v>
      </c>
      <c r="K141" s="1096">
        <f>ROUND(100+(J141-J140)*K139*100,1)</f>
        <v>96.4</v>
      </c>
    </row>
    <row r="142" spans="1:17" ht="15">
      <c r="B142" s="1090">
        <v>3</v>
      </c>
      <c r="C142" s="1091">
        <v>103</v>
      </c>
      <c r="D142" s="1091"/>
      <c r="E142" s="1092"/>
      <c r="F142" s="1093">
        <v>101</v>
      </c>
      <c r="G142" s="1091"/>
      <c r="H142" s="1094"/>
      <c r="I142" s="2645" t="s">
        <v>2630</v>
      </c>
      <c r="J142" s="315">
        <f>J139</f>
        <v>20</v>
      </c>
      <c r="K142" s="1097">
        <v>95</v>
      </c>
    </row>
    <row r="143" spans="1:17" ht="15">
      <c r="B143" s="1090">
        <v>2</v>
      </c>
      <c r="C143" s="1091">
        <v>100</v>
      </c>
      <c r="D143" s="1091"/>
      <c r="E143" s="1092"/>
      <c r="F143" s="1093">
        <v>100.5</v>
      </c>
      <c r="G143" s="1091"/>
      <c r="H143" s="1094"/>
      <c r="I143" s="2645" t="s">
        <v>2631</v>
      </c>
      <c r="J143" s="1091">
        <v>15</v>
      </c>
      <c r="K143" s="1096">
        <f>ROUND(100+(J143-J140)*K139*100,1)</f>
        <v>102</v>
      </c>
    </row>
    <row r="144" spans="1:17" ht="15">
      <c r="B144" s="1090">
        <v>1</v>
      </c>
      <c r="C144" s="1091">
        <v>98</v>
      </c>
      <c r="D144" s="2646" t="s">
        <v>2632</v>
      </c>
      <c r="E144" s="1092">
        <v>102</v>
      </c>
      <c r="F144" s="1098">
        <v>100</v>
      </c>
      <c r="G144" s="2646" t="s">
        <v>2632</v>
      </c>
      <c r="H144" s="1094">
        <v>105</v>
      </c>
      <c r="I144" s="2645" t="s">
        <v>2631</v>
      </c>
      <c r="J144" s="1091">
        <v>18</v>
      </c>
      <c r="K144" s="1096">
        <f>ROUND(100+(J144-J140)*K139*100,1)</f>
        <v>103.2</v>
      </c>
    </row>
    <row r="145" spans="2:11" ht="15.75" thickBot="1">
      <c r="B145" s="2647" t="s">
        <v>2633</v>
      </c>
      <c r="C145" s="1099">
        <f>ROUND(MAX(C139:C144)/MIN(C139:C144)-1,3)</f>
        <v>7.2999999999999995E-2</v>
      </c>
      <c r="D145" s="1100"/>
      <c r="E145" s="1100"/>
      <c r="F145" s="2648" t="s">
        <v>2634</v>
      </c>
      <c r="G145" s="2649"/>
      <c r="H145" s="2650"/>
      <c r="I145" s="2651" t="s">
        <v>2631</v>
      </c>
      <c r="J145" s="1101">
        <v>8</v>
      </c>
      <c r="K145" s="1102">
        <f>ROUND(100+(J145-J140)*K139*100,1)</f>
        <v>99.2</v>
      </c>
    </row>
    <row r="147" spans="2:11">
      <c r="B147" s="2632" t="s">
        <v>2635</v>
      </c>
    </row>
    <row r="148" spans="2:11">
      <c r="B148" s="2632"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2" zoomScale="90" zoomScaleNormal="90" workbookViewId="0">
      <selection activeCell="C86" sqref="C86:F8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8" t="s">
        <v>2637</v>
      </c>
      <c r="C1" s="1634" t="s">
        <v>2525</v>
      </c>
      <c r="D1" s="1621" t="s">
        <v>3342</v>
      </c>
      <c r="E1" s="2652"/>
      <c r="F1" s="2580" t="s">
        <v>3459</v>
      </c>
      <c r="G1" s="1631" t="s">
        <v>2638</v>
      </c>
      <c r="H1" s="1630"/>
      <c r="I1" s="1630"/>
      <c r="J1" s="1630"/>
      <c r="K1" s="1632"/>
      <c r="L1" s="1633"/>
      <c r="M1" s="1634"/>
      <c r="N1" s="1634"/>
      <c r="O1" s="1634"/>
      <c r="P1" s="2653"/>
      <c r="Q1" s="2654"/>
      <c r="R1" s="2654"/>
      <c r="S1" s="2654"/>
      <c r="T1" s="2654"/>
      <c r="U1" s="2654"/>
      <c r="V1" s="2654"/>
      <c r="W1" s="2654"/>
      <c r="X1" s="2654"/>
      <c r="Y1" s="2654"/>
      <c r="Z1" s="2654"/>
      <c r="AA1" s="2654"/>
      <c r="AB1" s="2654"/>
      <c r="AC1" s="2655"/>
    </row>
    <row r="2" spans="1:29" s="398" customFormat="1" ht="28.5" customHeight="1" thickTop="1">
      <c r="A2" s="1617" t="s">
        <v>2322</v>
      </c>
      <c r="B2" s="1418">
        <f>IF(C2="——",ROUND(C49*D3/10000,0),ROUND(C49*D3/10000,0)-D2)</f>
        <v>13961</v>
      </c>
      <c r="C2" s="2582" t="s">
        <v>70</v>
      </c>
      <c r="D2" s="1365" t="e">
        <f ca="1">SUMIF(INDIRECT("'"&amp;F2&amp;"'"&amp;"!A:A"),"承租人权益价值",INDIRECT("'"&amp;F2&amp;"'"&amp;"!c:c"))</f>
        <v>#REF!</v>
      </c>
      <c r="E2" s="2583" t="s">
        <v>2323</v>
      </c>
      <c r="F2" s="2584"/>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2324</v>
      </c>
      <c r="B3" s="609">
        <f>IF(C2="——",C49,ROUND(B2*10000/D3,0))</f>
        <v>35195</v>
      </c>
      <c r="C3" s="400" t="s">
        <v>2639</v>
      </c>
      <c r="D3" s="399">
        <f>IF(D1="",'数据-汇总表'!E3,SUMIF('数据-汇总表'!$C19:$C33,D1,'数据-汇总表'!$E19:$E33))</f>
        <v>3966.8800000000006</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2640</v>
      </c>
      <c r="B4" s="402"/>
      <c r="C4" s="3206" t="s">
        <v>2641</v>
      </c>
      <c r="D4" s="3207"/>
      <c r="E4" s="3208" t="s">
        <v>2642</v>
      </c>
      <c r="F4" s="3209"/>
      <c r="G4" s="3206" t="s">
        <v>2643</v>
      </c>
      <c r="H4" s="3207"/>
      <c r="I4" s="3206" t="s">
        <v>2644</v>
      </c>
      <c r="J4" s="3207"/>
      <c r="K4" s="610" t="s">
        <v>2645</v>
      </c>
      <c r="L4" s="1130"/>
      <c r="M4" s="1131"/>
      <c r="N4" s="1131"/>
      <c r="O4" s="1131"/>
      <c r="P4" s="3210" t="s">
        <v>2646</v>
      </c>
      <c r="Q4" s="3211"/>
      <c r="R4" s="3193" t="s">
        <v>2642</v>
      </c>
      <c r="S4" s="3194"/>
      <c r="T4" s="3193" t="s">
        <v>2643</v>
      </c>
      <c r="U4" s="3194"/>
      <c r="V4" s="3218" t="s">
        <v>2644</v>
      </c>
      <c r="W4" s="3218"/>
      <c r="X4" s="1812"/>
      <c r="Y4" s="3193" t="s">
        <v>2646</v>
      </c>
      <c r="Z4" s="3194"/>
      <c r="AA4" s="3188" t="s">
        <v>2642</v>
      </c>
      <c r="AB4" s="3218" t="s">
        <v>2643</v>
      </c>
      <c r="AC4" s="3188" t="s">
        <v>2644</v>
      </c>
    </row>
    <row r="5" spans="1:29" ht="15">
      <c r="A5" s="404"/>
      <c r="B5" s="405"/>
      <c r="C5" s="3199" t="s">
        <v>3403</v>
      </c>
      <c r="D5" s="3200"/>
      <c r="E5" s="3197" t="s">
        <v>3409</v>
      </c>
      <c r="F5" s="3198"/>
      <c r="G5" s="3199" t="s">
        <v>3458</v>
      </c>
      <c r="H5" s="3200"/>
      <c r="I5" s="3199" t="s">
        <v>3403</v>
      </c>
      <c r="J5" s="3200"/>
      <c r="K5" s="610"/>
      <c r="L5" s="1130"/>
      <c r="M5" s="1131"/>
      <c r="N5" s="1131"/>
      <c r="O5" s="1131"/>
      <c r="P5" s="3212"/>
      <c r="Q5" s="3213"/>
      <c r="R5" s="3195"/>
      <c r="S5" s="3196"/>
      <c r="T5" s="3195"/>
      <c r="U5" s="3196"/>
      <c r="V5" s="3218"/>
      <c r="W5" s="3218"/>
      <c r="X5" s="1812"/>
      <c r="Y5" s="3195"/>
      <c r="Z5" s="3196"/>
      <c r="AA5" s="3189"/>
      <c r="AB5" s="3218"/>
      <c r="AC5" s="3189"/>
    </row>
    <row r="6" spans="1:29" ht="15.75" thickBot="1">
      <c r="A6" s="406"/>
      <c r="B6" s="407"/>
      <c r="C6" s="3201" t="s">
        <v>2541</v>
      </c>
      <c r="D6" s="3202"/>
      <c r="E6" s="3203" t="s">
        <v>2541</v>
      </c>
      <c r="F6" s="3204"/>
      <c r="G6" s="3201" t="s">
        <v>2541</v>
      </c>
      <c r="H6" s="3202"/>
      <c r="I6" s="3201" t="s">
        <v>2541</v>
      </c>
      <c r="J6" s="3202"/>
      <c r="K6" s="610" t="s">
        <v>2542</v>
      </c>
      <c r="L6" s="1130"/>
      <c r="M6" s="1131"/>
      <c r="N6" s="1131"/>
      <c r="O6" s="1131"/>
      <c r="P6" s="3214"/>
      <c r="Q6" s="3215"/>
      <c r="R6" s="3195"/>
      <c r="S6" s="3196"/>
      <c r="T6" s="3216"/>
      <c r="U6" s="3217"/>
      <c r="V6" s="3218"/>
      <c r="W6" s="3218"/>
      <c r="X6" s="1812"/>
      <c r="Y6" s="3216"/>
      <c r="Z6" s="3217"/>
      <c r="AA6" s="3190"/>
      <c r="AB6" s="3218"/>
      <c r="AC6" s="3190"/>
    </row>
    <row r="7" spans="1:29" s="117" customFormat="1" ht="15.75" thickBot="1">
      <c r="A7" s="408" t="s">
        <v>2543</v>
      </c>
      <c r="B7" s="409"/>
      <c r="C7" s="410">
        <f>'数据-取费表'!B2</f>
        <v>43335</v>
      </c>
      <c r="D7" s="411">
        <v>100</v>
      </c>
      <c r="E7" s="412">
        <v>43311</v>
      </c>
      <c r="F7" s="413">
        <f>SUMIF(58:58,YEAR(E7)&amp;"-"&amp;MONTH(E7),59:59)</f>
        <v>100</v>
      </c>
      <c r="G7" s="412">
        <v>43329</v>
      </c>
      <c r="H7" s="411">
        <f>SUMIF(58:58,YEAR(G7)&amp;"-"&amp;MONTH(G7),59:59)</f>
        <v>100</v>
      </c>
      <c r="I7" s="412">
        <v>43314</v>
      </c>
      <c r="J7" s="411">
        <f>SUMIF(58:58,YEAR(I7)&amp;"-"&amp;MONTH(I7),59:59)</f>
        <v>100</v>
      </c>
      <c r="K7" s="611"/>
      <c r="L7" s="1132"/>
      <c r="M7" s="1133"/>
      <c r="N7" s="1133"/>
      <c r="O7" s="1133"/>
      <c r="P7" s="3191" t="s">
        <v>2544</v>
      </c>
      <c r="Q7" s="3220"/>
      <c r="R7" s="767" t="s">
        <v>17</v>
      </c>
      <c r="S7" s="768">
        <f t="shared" ref="S7:S15" si="0">F7</f>
        <v>100</v>
      </c>
      <c r="T7" s="767" t="s">
        <v>17</v>
      </c>
      <c r="U7" s="768">
        <f t="shared" ref="U7:U15" si="1">H7</f>
        <v>100</v>
      </c>
      <c r="V7" s="767" t="s">
        <v>17</v>
      </c>
      <c r="W7" s="768">
        <f t="shared" ref="W7:W15" si="2">J7</f>
        <v>100</v>
      </c>
      <c r="X7" s="769"/>
      <c r="Y7" s="3191" t="s">
        <v>2544</v>
      </c>
      <c r="Z7" s="3192"/>
      <c r="AA7" s="770">
        <f>D7/F7</f>
        <v>1</v>
      </c>
      <c r="AB7" s="770">
        <f>D7/H7</f>
        <v>1</v>
      </c>
      <c r="AC7" s="770">
        <f>D7/J7</f>
        <v>1</v>
      </c>
    </row>
    <row r="8" spans="1:29" s="117" customFormat="1" ht="15.75" thickBot="1">
      <c r="A8" s="408" t="s">
        <v>2545</v>
      </c>
      <c r="B8" s="409"/>
      <c r="C8" s="414" t="s">
        <v>2647</v>
      </c>
      <c r="D8" s="411">
        <v>100</v>
      </c>
      <c r="E8" s="414" t="s">
        <v>3361</v>
      </c>
      <c r="F8" s="413">
        <f>SUMIF(61:61,E8,62:62)-SUMIF(61:61,C8,62:62)+100</f>
        <v>100</v>
      </c>
      <c r="G8" s="414" t="s">
        <v>3361</v>
      </c>
      <c r="H8" s="411">
        <f>SUMIF(61:61,G8,62:62)-SUMIF(61:61,C8,62:62)+100</f>
        <v>100</v>
      </c>
      <c r="I8" s="414" t="s">
        <v>3361</v>
      </c>
      <c r="J8" s="411">
        <f>SUMIF(61:61,I8,62:62)-SUMIF(61:61,C8,62:62)+100</f>
        <v>100</v>
      </c>
      <c r="K8" s="611"/>
      <c r="L8" s="1132"/>
      <c r="M8" s="1133"/>
      <c r="N8" s="1133"/>
      <c r="O8" s="1133"/>
      <c r="P8" s="3191" t="s">
        <v>2547</v>
      </c>
      <c r="Q8" s="3192"/>
      <c r="R8" s="767" t="s">
        <v>17</v>
      </c>
      <c r="S8" s="768">
        <f t="shared" si="0"/>
        <v>100</v>
      </c>
      <c r="T8" s="767" t="s">
        <v>17</v>
      </c>
      <c r="U8" s="768">
        <f t="shared" si="1"/>
        <v>100</v>
      </c>
      <c r="V8" s="767" t="s">
        <v>17</v>
      </c>
      <c r="W8" s="768">
        <f t="shared" si="2"/>
        <v>100</v>
      </c>
      <c r="X8" s="769"/>
      <c r="Y8" s="3191" t="s">
        <v>2547</v>
      </c>
      <c r="Z8" s="3192"/>
      <c r="AA8" s="770">
        <f t="shared" ref="AA8:AA46" si="3">D8/F8</f>
        <v>1</v>
      </c>
      <c r="AB8" s="770">
        <f t="shared" ref="AB8:AB46" si="4">D8/H8</f>
        <v>1</v>
      </c>
      <c r="AC8" s="770">
        <f t="shared" ref="AC8:AC46" si="5">D8/J8</f>
        <v>1</v>
      </c>
    </row>
    <row r="9" spans="1:29" s="117" customFormat="1">
      <c r="A9" s="415" t="s">
        <v>2548</v>
      </c>
      <c r="B9" s="71" t="s">
        <v>2549</v>
      </c>
      <c r="C9" s="2954" t="s">
        <v>3410</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05" t="s">
        <v>2550</v>
      </c>
      <c r="Q9" s="1794" t="str">
        <f t="shared" ref="Q9:Q15" si="6">B9</f>
        <v>用途</v>
      </c>
      <c r="R9" s="767" t="s">
        <v>17</v>
      </c>
      <c r="S9" s="768">
        <f t="shared" si="0"/>
        <v>100</v>
      </c>
      <c r="T9" s="767" t="s">
        <v>17</v>
      </c>
      <c r="U9" s="768">
        <f t="shared" si="1"/>
        <v>100</v>
      </c>
      <c r="V9" s="767" t="s">
        <v>17</v>
      </c>
      <c r="W9" s="768">
        <f t="shared" si="2"/>
        <v>100</v>
      </c>
      <c r="X9" s="769"/>
      <c r="Y9" s="3038" t="s">
        <v>2551</v>
      </c>
      <c r="Z9" s="55" t="str">
        <f t="shared" ref="Z9:Z15" si="7">Q9</f>
        <v>用途</v>
      </c>
      <c r="AA9" s="770">
        <f t="shared" si="3"/>
        <v>1</v>
      </c>
      <c r="AB9" s="770">
        <f t="shared" si="4"/>
        <v>1</v>
      </c>
      <c r="AC9" s="770">
        <f t="shared" si="5"/>
        <v>1</v>
      </c>
    </row>
    <row r="10" spans="1:29" s="427" customFormat="1" ht="27.75" thickBot="1">
      <c r="A10" s="421"/>
      <c r="B10" s="422" t="s">
        <v>2552</v>
      </c>
      <c r="C10" s="423" t="s">
        <v>3411</v>
      </c>
      <c r="D10" s="136">
        <v>100</v>
      </c>
      <c r="E10" s="424" t="s">
        <v>3411</v>
      </c>
      <c r="F10" s="425">
        <f>SUMIF(65:65,E10,66:66)-SUMIF(65:65,C10,66:66)+100</f>
        <v>100</v>
      </c>
      <c r="G10" s="423" t="s">
        <v>3411</v>
      </c>
      <c r="H10" s="136">
        <f>SUMIF(65:65,G10,66:66)-SUMIF(65:65,C10,66:66)+100</f>
        <v>100</v>
      </c>
      <c r="I10" s="423" t="s">
        <v>3411</v>
      </c>
      <c r="J10" s="136">
        <f>SUMIF(65:65,I10,66:66)-SUMIF(65:65,C10,66:66)+100</f>
        <v>100</v>
      </c>
      <c r="K10" s="612">
        <v>2</v>
      </c>
      <c r="L10" s="1135"/>
      <c r="M10" s="1136"/>
      <c r="N10" s="1136"/>
      <c r="O10" s="1136"/>
      <c r="P10" s="3205"/>
      <c r="Q10" s="1794" t="str">
        <f t="shared" si="6"/>
        <v>土地使用年限（年）</v>
      </c>
      <c r="R10" s="767" t="s">
        <v>17</v>
      </c>
      <c r="S10" s="768">
        <f t="shared" si="0"/>
        <v>100</v>
      </c>
      <c r="T10" s="767" t="s">
        <v>17</v>
      </c>
      <c r="U10" s="768">
        <f t="shared" si="1"/>
        <v>100</v>
      </c>
      <c r="V10" s="767" t="s">
        <v>17</v>
      </c>
      <c r="W10" s="768">
        <f t="shared" si="2"/>
        <v>100</v>
      </c>
      <c r="X10" s="769"/>
      <c r="Y10" s="3038"/>
      <c r="Z10" s="55" t="str">
        <f t="shared" si="7"/>
        <v>土地使用年限（年）</v>
      </c>
      <c r="AA10" s="770">
        <f t="shared" si="3"/>
        <v>1</v>
      </c>
      <c r="AB10" s="770">
        <f t="shared" si="4"/>
        <v>1</v>
      </c>
      <c r="AC10" s="770">
        <f t="shared" si="5"/>
        <v>1</v>
      </c>
    </row>
    <row r="11" spans="1:29" ht="15" hidden="1">
      <c r="A11" s="428"/>
      <c r="B11" s="422" t="s">
        <v>2553</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05"/>
      <c r="Q11" s="1794" t="str">
        <f t="shared" si="6"/>
        <v>容积率</v>
      </c>
      <c r="R11" s="767" t="s">
        <v>17</v>
      </c>
      <c r="S11" s="768">
        <f t="shared" si="0"/>
        <v>100</v>
      </c>
      <c r="T11" s="767" t="s">
        <v>17</v>
      </c>
      <c r="U11" s="768">
        <f t="shared" si="1"/>
        <v>100</v>
      </c>
      <c r="V11" s="767" t="s">
        <v>17</v>
      </c>
      <c r="W11" s="768">
        <f t="shared" si="2"/>
        <v>100</v>
      </c>
      <c r="X11" s="769"/>
      <c r="Y11" s="3038"/>
      <c r="Z11" s="55" t="str">
        <f t="shared" si="7"/>
        <v>容积率</v>
      </c>
      <c r="AA11" s="770">
        <f t="shared" si="3"/>
        <v>1</v>
      </c>
      <c r="AB11" s="770">
        <f t="shared" si="4"/>
        <v>1</v>
      </c>
      <c r="AC11" s="770">
        <f t="shared" si="5"/>
        <v>1</v>
      </c>
    </row>
    <row r="12" spans="1:29" s="117" customFormat="1" ht="15" hidden="1">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5"/>
      <c r="Q12" s="1794">
        <f t="shared" si="6"/>
        <v>111</v>
      </c>
      <c r="R12" s="767" t="s">
        <v>17</v>
      </c>
      <c r="S12" s="768">
        <f t="shared" si="0"/>
        <v>100</v>
      </c>
      <c r="T12" s="767" t="s">
        <v>17</v>
      </c>
      <c r="U12" s="768">
        <f t="shared" si="1"/>
        <v>100</v>
      </c>
      <c r="V12" s="767" t="s">
        <v>17</v>
      </c>
      <c r="W12" s="768">
        <f t="shared" si="2"/>
        <v>100</v>
      </c>
      <c r="X12" s="769"/>
      <c r="Y12" s="3038"/>
      <c r="Z12" s="55">
        <f t="shared" si="7"/>
        <v>111</v>
      </c>
      <c r="AA12" s="770">
        <f>D12/F12</f>
        <v>1</v>
      </c>
      <c r="AB12" s="770">
        <f>D12/H12</f>
        <v>1</v>
      </c>
      <c r="AC12" s="770">
        <f>D12/J12</f>
        <v>1</v>
      </c>
    </row>
    <row r="13" spans="1:29" ht="15" hidden="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5"/>
      <c r="Q13" s="1794">
        <f t="shared" si="6"/>
        <v>111</v>
      </c>
      <c r="R13" s="767" t="s">
        <v>17</v>
      </c>
      <c r="S13" s="768">
        <f t="shared" si="0"/>
        <v>100</v>
      </c>
      <c r="T13" s="767" t="s">
        <v>17</v>
      </c>
      <c r="U13" s="768">
        <f t="shared" si="1"/>
        <v>100</v>
      </c>
      <c r="V13" s="767" t="s">
        <v>17</v>
      </c>
      <c r="W13" s="768">
        <f t="shared" si="2"/>
        <v>100</v>
      </c>
      <c r="X13" s="769"/>
      <c r="Y13" s="3038"/>
      <c r="Z13" s="55">
        <f t="shared" si="7"/>
        <v>111</v>
      </c>
      <c r="AA13" s="770">
        <f t="shared" si="3"/>
        <v>1</v>
      </c>
      <c r="AB13" s="770">
        <f t="shared" si="4"/>
        <v>1</v>
      </c>
      <c r="AC13" s="770">
        <f t="shared" si="5"/>
        <v>1</v>
      </c>
    </row>
    <row r="14" spans="1:29" ht="15.75" hidden="1"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5"/>
      <c r="Q14" s="1794">
        <f t="shared" si="6"/>
        <v>111</v>
      </c>
      <c r="R14" s="767" t="s">
        <v>17</v>
      </c>
      <c r="S14" s="768">
        <f t="shared" si="0"/>
        <v>100</v>
      </c>
      <c r="T14" s="767" t="s">
        <v>17</v>
      </c>
      <c r="U14" s="768">
        <f t="shared" si="1"/>
        <v>100</v>
      </c>
      <c r="V14" s="767" t="s">
        <v>17</v>
      </c>
      <c r="W14" s="768">
        <f t="shared" si="2"/>
        <v>100</v>
      </c>
      <c r="X14" s="769"/>
      <c r="Y14" s="3038"/>
      <c r="Z14" s="55">
        <f t="shared" si="7"/>
        <v>111</v>
      </c>
      <c r="AA14" s="770">
        <f t="shared" si="3"/>
        <v>1</v>
      </c>
      <c r="AB14" s="770">
        <f t="shared" si="4"/>
        <v>1</v>
      </c>
      <c r="AC14" s="770">
        <f t="shared" si="5"/>
        <v>1</v>
      </c>
    </row>
    <row r="15" spans="1:29" ht="99.75">
      <c r="A15" s="440" t="s">
        <v>2554</v>
      </c>
      <c r="B15" s="69" t="s">
        <v>2648</v>
      </c>
      <c r="C15" s="2599" t="str">
        <f>估价对象房地状况!C4</f>
        <v>估价对象位于通州区马驹桥镇物流产业园周围，周边商业氛围较差，人流量一般，商业繁华度一般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233" t="s">
        <v>2555</v>
      </c>
      <c r="Q15" s="1809" t="str">
        <f t="shared" si="6"/>
        <v>商业繁华度</v>
      </c>
      <c r="R15" s="771" t="s">
        <v>17</v>
      </c>
      <c r="S15" s="772">
        <f t="shared" si="0"/>
        <v>100</v>
      </c>
      <c r="T15" s="771" t="s">
        <v>17</v>
      </c>
      <c r="U15" s="772">
        <f t="shared" si="1"/>
        <v>100</v>
      </c>
      <c r="V15" s="771" t="s">
        <v>17</v>
      </c>
      <c r="W15" s="772">
        <f t="shared" si="2"/>
        <v>100</v>
      </c>
      <c r="X15" s="1812"/>
      <c r="Y15" s="3226" t="s">
        <v>2555</v>
      </c>
      <c r="Z15" s="1813" t="str">
        <f t="shared" si="7"/>
        <v>商业繁华度</v>
      </c>
      <c r="AA15" s="1810">
        <f t="shared" si="3"/>
        <v>1</v>
      </c>
      <c r="AB15" s="1810">
        <f t="shared" si="4"/>
        <v>1</v>
      </c>
      <c r="AC15" s="1810">
        <f t="shared" si="5"/>
        <v>1</v>
      </c>
    </row>
    <row r="16" spans="1:29" ht="15">
      <c r="A16" s="428"/>
      <c r="B16" s="446"/>
      <c r="C16" s="447" t="s">
        <v>3365</v>
      </c>
      <c r="D16" s="448"/>
      <c r="E16" s="447" t="s">
        <v>3365</v>
      </c>
      <c r="F16" s="449"/>
      <c r="G16" s="447" t="s">
        <v>3365</v>
      </c>
      <c r="H16" s="450"/>
      <c r="I16" s="447" t="s">
        <v>3365</v>
      </c>
      <c r="J16" s="448"/>
      <c r="K16" s="615"/>
      <c r="L16" s="1140"/>
      <c r="M16" s="1131"/>
      <c r="N16" s="1131"/>
      <c r="O16" s="1131"/>
      <c r="P16" s="3234"/>
      <c r="Q16" s="1809"/>
      <c r="R16" s="771"/>
      <c r="S16" s="772"/>
      <c r="T16" s="771"/>
      <c r="U16" s="772"/>
      <c r="V16" s="771"/>
      <c r="W16" s="772"/>
      <c r="X16" s="1812"/>
      <c r="Y16" s="3227"/>
      <c r="Z16" s="1813"/>
      <c r="AA16" s="1810">
        <v>1</v>
      </c>
      <c r="AB16" s="1810">
        <v>1</v>
      </c>
      <c r="AC16" s="1810">
        <v>1</v>
      </c>
    </row>
    <row r="17" spans="1:29" ht="85.5">
      <c r="A17" s="428"/>
      <c r="B17" s="451" t="s">
        <v>2094</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34"/>
      <c r="Q17" s="1809" t="str">
        <f>B17</f>
        <v>交通便捷度</v>
      </c>
      <c r="R17" s="771" t="s">
        <v>17</v>
      </c>
      <c r="S17" s="772">
        <f>F17</f>
        <v>100</v>
      </c>
      <c r="T17" s="771" t="s">
        <v>17</v>
      </c>
      <c r="U17" s="772">
        <f>H17</f>
        <v>100</v>
      </c>
      <c r="V17" s="771" t="s">
        <v>17</v>
      </c>
      <c r="W17" s="772">
        <f>J17</f>
        <v>100</v>
      </c>
      <c r="X17" s="1812"/>
      <c r="Y17" s="3227"/>
      <c r="Z17" s="1813" t="str">
        <f>Q17</f>
        <v>交通便捷度</v>
      </c>
      <c r="AA17" s="1810">
        <f t="shared" si="3"/>
        <v>1</v>
      </c>
      <c r="AB17" s="1810">
        <f t="shared" si="4"/>
        <v>1</v>
      </c>
      <c r="AC17" s="1810">
        <f t="shared" si="5"/>
        <v>1</v>
      </c>
    </row>
    <row r="18" spans="1:29" ht="15">
      <c r="A18" s="428"/>
      <c r="B18" s="456"/>
      <c r="C18" s="2604" t="s">
        <v>3366</v>
      </c>
      <c r="D18" s="450"/>
      <c r="E18" s="2606" t="s">
        <v>3366</v>
      </c>
      <c r="F18" s="453"/>
      <c r="G18" s="2605" t="s">
        <v>3366</v>
      </c>
      <c r="H18" s="448"/>
      <c r="I18" s="2606" t="s">
        <v>3366</v>
      </c>
      <c r="J18" s="448"/>
      <c r="K18" s="615"/>
      <c r="L18" s="1140"/>
      <c r="M18" s="1131"/>
      <c r="N18" s="1131"/>
      <c r="O18" s="1131"/>
      <c r="P18" s="3234"/>
      <c r="Q18" s="1809"/>
      <c r="R18" s="771"/>
      <c r="S18" s="772"/>
      <c r="T18" s="771"/>
      <c r="U18" s="772"/>
      <c r="V18" s="771"/>
      <c r="W18" s="772"/>
      <c r="X18" s="1812"/>
      <c r="Y18" s="3227"/>
      <c r="Z18" s="1813"/>
      <c r="AA18" s="1810">
        <v>1</v>
      </c>
      <c r="AB18" s="1810">
        <v>1</v>
      </c>
      <c r="AC18" s="1810">
        <v>1</v>
      </c>
    </row>
    <row r="19" spans="1:29" ht="42.75">
      <c r="A19" s="428"/>
      <c r="B19" s="451" t="s">
        <v>2649</v>
      </c>
      <c r="C19" s="2603"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v>1</v>
      </c>
      <c r="L19" s="1140"/>
      <c r="M19" s="1131"/>
      <c r="N19" s="1131"/>
      <c r="O19" s="1131"/>
      <c r="P19" s="3234"/>
      <c r="Q19" s="1809" t="str">
        <f>B19</f>
        <v>公共配套设施</v>
      </c>
      <c r="R19" s="771" t="s">
        <v>17</v>
      </c>
      <c r="S19" s="772">
        <f>F19</f>
        <v>100</v>
      </c>
      <c r="T19" s="771" t="s">
        <v>17</v>
      </c>
      <c r="U19" s="772">
        <f>H19</f>
        <v>100</v>
      </c>
      <c r="V19" s="771" t="s">
        <v>17</v>
      </c>
      <c r="W19" s="772">
        <f>J19</f>
        <v>100</v>
      </c>
      <c r="X19" s="1812"/>
      <c r="Y19" s="3227"/>
      <c r="Z19" s="1813" t="str">
        <f>Q19</f>
        <v>公共配套设施</v>
      </c>
      <c r="AA19" s="1810">
        <f t="shared" si="3"/>
        <v>1</v>
      </c>
      <c r="AB19" s="1810">
        <f t="shared" si="4"/>
        <v>1</v>
      </c>
      <c r="AC19" s="1810">
        <f t="shared" si="5"/>
        <v>1</v>
      </c>
    </row>
    <row r="20" spans="1:29" ht="15">
      <c r="A20" s="428"/>
      <c r="B20" s="456"/>
      <c r="C20" s="447" t="s">
        <v>3366</v>
      </c>
      <c r="D20" s="448"/>
      <c r="E20" s="2601" t="s">
        <v>3366</v>
      </c>
      <c r="F20" s="449"/>
      <c r="G20" s="2600" t="s">
        <v>3366</v>
      </c>
      <c r="H20" s="448"/>
      <c r="I20" s="2601" t="s">
        <v>3366</v>
      </c>
      <c r="J20" s="448"/>
      <c r="K20" s="615"/>
      <c r="L20" s="1140"/>
      <c r="M20" s="1131"/>
      <c r="N20" s="1131"/>
      <c r="O20" s="1131"/>
      <c r="P20" s="3234"/>
      <c r="Q20" s="1809"/>
      <c r="R20" s="771"/>
      <c r="S20" s="772"/>
      <c r="T20" s="771"/>
      <c r="U20" s="772"/>
      <c r="V20" s="771"/>
      <c r="W20" s="772"/>
      <c r="X20" s="1812"/>
      <c r="Y20" s="3227"/>
      <c r="Z20" s="1813"/>
      <c r="AA20" s="1810">
        <v>1</v>
      </c>
      <c r="AB20" s="1810">
        <v>1</v>
      </c>
      <c r="AC20" s="1810">
        <v>1</v>
      </c>
    </row>
    <row r="21" spans="1:29" ht="42.75">
      <c r="A21" s="428"/>
      <c r="B21" s="1384" t="s">
        <v>2650</v>
      </c>
      <c r="C21" s="2603"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234"/>
      <c r="Q21" s="1809" t="str">
        <f>B21</f>
        <v>基础设施水平</v>
      </c>
      <c r="R21" s="771" t="s">
        <v>17</v>
      </c>
      <c r="S21" s="772">
        <f>F21</f>
        <v>100</v>
      </c>
      <c r="T21" s="771" t="s">
        <v>17</v>
      </c>
      <c r="U21" s="772">
        <f>H21</f>
        <v>100</v>
      </c>
      <c r="V21" s="771" t="s">
        <v>17</v>
      </c>
      <c r="W21" s="772">
        <f>J21</f>
        <v>100</v>
      </c>
      <c r="X21" s="1812"/>
      <c r="Y21" s="3227"/>
      <c r="Z21" s="1813" t="str">
        <f>Q21</f>
        <v>基础设施水平</v>
      </c>
      <c r="AA21" s="1810">
        <f t="shared" ref="AA21" si="8">D21/F21</f>
        <v>1</v>
      </c>
      <c r="AB21" s="1810">
        <f t="shared" ref="AB21" si="9">D21/H21</f>
        <v>1</v>
      </c>
      <c r="AC21" s="1810">
        <f t="shared" ref="AC21" si="10">D21/J21</f>
        <v>1</v>
      </c>
    </row>
    <row r="22" spans="1:29" ht="15">
      <c r="A22" s="428"/>
      <c r="B22" s="1384"/>
      <c r="C22" s="2604" t="s">
        <v>3367</v>
      </c>
      <c r="D22" s="448"/>
      <c r="E22" s="447" t="s">
        <v>3367</v>
      </c>
      <c r="F22" s="449"/>
      <c r="G22" s="447" t="s">
        <v>3367</v>
      </c>
      <c r="H22" s="448"/>
      <c r="I22" s="447" t="s">
        <v>3367</v>
      </c>
      <c r="J22" s="448"/>
      <c r="K22" s="1383"/>
      <c r="L22" s="1140"/>
      <c r="M22" s="1131"/>
      <c r="N22" s="1131"/>
      <c r="O22" s="1131"/>
      <c r="P22" s="3234"/>
      <c r="Q22" s="1809"/>
      <c r="R22" s="771"/>
      <c r="S22" s="772"/>
      <c r="T22" s="771"/>
      <c r="U22" s="772"/>
      <c r="V22" s="771"/>
      <c r="W22" s="772"/>
      <c r="X22" s="1812"/>
      <c r="Y22" s="3227"/>
      <c r="Z22" s="1813"/>
      <c r="AA22" s="1810">
        <v>1</v>
      </c>
      <c r="AB22" s="1810">
        <v>1</v>
      </c>
      <c r="AC22" s="1810">
        <v>1</v>
      </c>
    </row>
    <row r="23" spans="1:29" ht="77.25" customHeight="1">
      <c r="A23" s="428"/>
      <c r="B23" s="451" t="s">
        <v>2099</v>
      </c>
      <c r="C23" s="2659" t="str">
        <f>估价对象房地状况!C9</f>
        <v>区域自然环境：凉水河；人文环境：无高等院校等；综合评价环境状况一般</v>
      </c>
      <c r="D23" s="450">
        <v>100</v>
      </c>
      <c r="E23" s="452"/>
      <c r="F23" s="453">
        <f>SUMIF(84:84,E24,85:85)-SUMIF(84:84,C24,85:85)+100</f>
        <v>102</v>
      </c>
      <c r="G23" s="454"/>
      <c r="H23" s="450">
        <f>SUMIF(84:84,G24,85:85)-SUMIF(84:84,C24,85:85)+100</f>
        <v>100</v>
      </c>
      <c r="I23" s="452"/>
      <c r="J23" s="450">
        <f>SUMIF(84:84,I24,85:85)-SUMIF(84:84,C24,85:85)+100</f>
        <v>100</v>
      </c>
      <c r="K23" s="614">
        <v>2</v>
      </c>
      <c r="L23" s="1140"/>
      <c r="M23" s="1131"/>
      <c r="N23" s="1131"/>
      <c r="O23" s="1131"/>
      <c r="P23" s="3234"/>
      <c r="Q23" s="1809" t="str">
        <f>B23</f>
        <v>自然及人文环境</v>
      </c>
      <c r="R23" s="771" t="s">
        <v>17</v>
      </c>
      <c r="S23" s="772">
        <f>F23</f>
        <v>102</v>
      </c>
      <c r="T23" s="771" t="s">
        <v>17</v>
      </c>
      <c r="U23" s="772">
        <f>H23</f>
        <v>100</v>
      </c>
      <c r="V23" s="771" t="s">
        <v>17</v>
      </c>
      <c r="W23" s="772">
        <f>J23</f>
        <v>100</v>
      </c>
      <c r="X23" s="1812"/>
      <c r="Y23" s="3227"/>
      <c r="Z23" s="1813" t="str">
        <f>Q23</f>
        <v>自然及人文环境</v>
      </c>
      <c r="AA23" s="1810">
        <f t="shared" si="3"/>
        <v>0.98039215686274506</v>
      </c>
      <c r="AB23" s="1810">
        <f t="shared" si="4"/>
        <v>1</v>
      </c>
      <c r="AC23" s="1810">
        <f t="shared" si="5"/>
        <v>1</v>
      </c>
    </row>
    <row r="24" spans="1:29" ht="15">
      <c r="A24" s="428"/>
      <c r="B24" s="456"/>
      <c r="C24" s="447" t="s">
        <v>3365</v>
      </c>
      <c r="D24" s="448"/>
      <c r="E24" s="2601" t="s">
        <v>3366</v>
      </c>
      <c r="F24" s="449"/>
      <c r="G24" s="2600" t="s">
        <v>3365</v>
      </c>
      <c r="H24" s="448"/>
      <c r="I24" s="447" t="s">
        <v>3365</v>
      </c>
      <c r="J24" s="448"/>
      <c r="K24" s="615"/>
      <c r="L24" s="1140"/>
      <c r="M24" s="1131"/>
      <c r="N24" s="1131"/>
      <c r="O24" s="1131"/>
      <c r="P24" s="3234"/>
      <c r="Q24" s="1809"/>
      <c r="R24" s="771"/>
      <c r="S24" s="772"/>
      <c r="T24" s="771"/>
      <c r="U24" s="772"/>
      <c r="V24" s="771"/>
      <c r="W24" s="772"/>
      <c r="X24" s="1812"/>
      <c r="Y24" s="3227"/>
      <c r="Z24" s="1813"/>
      <c r="AA24" s="1810">
        <v>1</v>
      </c>
      <c r="AB24" s="1810">
        <v>1</v>
      </c>
      <c r="AC24" s="1810">
        <v>1</v>
      </c>
    </row>
    <row r="25" spans="1:29" ht="15">
      <c r="A25" s="428"/>
      <c r="B25" s="422" t="s">
        <v>2651</v>
      </c>
      <c r="C25" s="616" t="s">
        <v>3414</v>
      </c>
      <c r="D25" s="435">
        <v>100</v>
      </c>
      <c r="E25" s="616" t="s">
        <v>3414</v>
      </c>
      <c r="F25" s="461">
        <f>SUMIF(86:86,E25,87:87)-SUMIF(86:86,C25,87:87)+100</f>
        <v>100</v>
      </c>
      <c r="G25" s="616" t="s">
        <v>3414</v>
      </c>
      <c r="H25" s="435">
        <f>SUMIF(86:86,G25,87:87)-SUMIF(86:86,C25,87:87)+100</f>
        <v>100</v>
      </c>
      <c r="I25" s="616" t="s">
        <v>3414</v>
      </c>
      <c r="J25" s="435">
        <f>SUMIF(86:86,I25,87:87)-SUMIF(86:86,C25,87:87)+100</f>
        <v>100</v>
      </c>
      <c r="K25" s="612">
        <v>2</v>
      </c>
      <c r="L25" s="1140"/>
      <c r="M25" s="1131"/>
      <c r="N25" s="1131"/>
      <c r="O25" s="1131"/>
      <c r="P25" s="3234"/>
      <c r="Q25" s="1809" t="str">
        <f t="shared" ref="Q25:Q46" si="11">B25</f>
        <v>临街状况</v>
      </c>
      <c r="R25" s="771" t="s">
        <v>17</v>
      </c>
      <c r="S25" s="772">
        <f>F25</f>
        <v>100</v>
      </c>
      <c r="T25" s="771" t="s">
        <v>17</v>
      </c>
      <c r="U25" s="772">
        <f>H25</f>
        <v>100</v>
      </c>
      <c r="V25" s="771" t="s">
        <v>17</v>
      </c>
      <c r="W25" s="772">
        <f>J25</f>
        <v>100</v>
      </c>
      <c r="X25" s="1812"/>
      <c r="Y25" s="3227"/>
      <c r="Z25" s="1813" t="str">
        <f>Q25</f>
        <v>临街状况</v>
      </c>
      <c r="AA25" s="1810">
        <f t="shared" si="3"/>
        <v>1</v>
      </c>
      <c r="AB25" s="1810">
        <f t="shared" si="4"/>
        <v>1</v>
      </c>
      <c r="AC25" s="1810">
        <f t="shared" si="5"/>
        <v>1</v>
      </c>
    </row>
    <row r="26" spans="1:29" ht="15">
      <c r="A26" s="428"/>
      <c r="B26" s="2957" t="s">
        <v>3456</v>
      </c>
      <c r="C26" s="2960" t="s">
        <v>3417</v>
      </c>
      <c r="D26" s="435">
        <v>100</v>
      </c>
      <c r="E26" s="2960" t="s">
        <v>3417</v>
      </c>
      <c r="F26" s="461">
        <f>SUMIF(88:88,E26,89:89)-SUMIF(88:88,C26,89:89)+100</f>
        <v>100</v>
      </c>
      <c r="G26" s="2960" t="s">
        <v>3417</v>
      </c>
      <c r="H26" s="435">
        <f>SUMIF(88:88,G26,89:89)-SUMIF(88:88,C26,89:89)+100</f>
        <v>100</v>
      </c>
      <c r="I26" s="2960" t="s">
        <v>3417</v>
      </c>
      <c r="J26" s="435">
        <f>SUMIF(88:88,I26,89:89)-SUMIF(88:88,C26,89:89)+100</f>
        <v>100</v>
      </c>
      <c r="K26" s="613"/>
      <c r="L26" s="1140"/>
      <c r="M26" s="1131"/>
      <c r="N26" s="1131"/>
      <c r="O26" s="1131"/>
      <c r="P26" s="3234"/>
      <c r="Q26" s="1809" t="str">
        <f t="shared" si="11"/>
        <v>可视性</v>
      </c>
      <c r="R26" s="771" t="s">
        <v>17</v>
      </c>
      <c r="S26" s="772">
        <f>F26</f>
        <v>100</v>
      </c>
      <c r="T26" s="771" t="s">
        <v>17</v>
      </c>
      <c r="U26" s="772">
        <f>H26</f>
        <v>100</v>
      </c>
      <c r="V26" s="771" t="s">
        <v>17</v>
      </c>
      <c r="W26" s="772">
        <f>J26</f>
        <v>100</v>
      </c>
      <c r="X26" s="1812"/>
      <c r="Y26" s="3227"/>
      <c r="Z26" s="1813" t="str">
        <f>Q26</f>
        <v>可视性</v>
      </c>
      <c r="AA26" s="1810">
        <f t="shared" si="3"/>
        <v>1</v>
      </c>
      <c r="AB26" s="1810">
        <f t="shared" si="4"/>
        <v>1</v>
      </c>
      <c r="AC26" s="1810">
        <f t="shared" si="5"/>
        <v>1</v>
      </c>
    </row>
    <row r="27" spans="1:29" s="117" customFormat="1" ht="15">
      <c r="A27" s="431"/>
      <c r="B27" s="451" t="s">
        <v>2652</v>
      </c>
      <c r="C27" s="2660" t="s">
        <v>3365</v>
      </c>
      <c r="D27" s="462">
        <v>100</v>
      </c>
      <c r="E27" s="2660" t="s">
        <v>3424</v>
      </c>
      <c r="F27" s="464">
        <f>SUMIF(90:90,E27,91:91)-SUMIF(90:90,C27,91:91)+100</f>
        <v>105</v>
      </c>
      <c r="G27" s="2660" t="s">
        <v>3365</v>
      </c>
      <c r="H27" s="462">
        <f>SUMIF(90:90,G27,91:91)-SUMIF(90:90,C27,91:91)+100</f>
        <v>100</v>
      </c>
      <c r="I27" s="2660" t="s">
        <v>3365</v>
      </c>
      <c r="J27" s="462">
        <f>SUMIF(90:90,I27,91:91)-SUMIF(90:90,C27,91:91)+100</f>
        <v>100</v>
      </c>
      <c r="K27" s="612">
        <v>5</v>
      </c>
      <c r="L27" s="1132"/>
      <c r="M27" s="1133"/>
      <c r="N27" s="1133"/>
      <c r="O27" s="1133"/>
      <c r="P27" s="3234"/>
      <c r="Q27" s="1794" t="str">
        <f t="shared" si="11"/>
        <v>人流量</v>
      </c>
      <c r="R27" s="767" t="s">
        <v>17</v>
      </c>
      <c r="S27" s="768">
        <f>F27</f>
        <v>105</v>
      </c>
      <c r="T27" s="767" t="s">
        <v>17</v>
      </c>
      <c r="U27" s="768">
        <f>H27</f>
        <v>100</v>
      </c>
      <c r="V27" s="767" t="s">
        <v>17</v>
      </c>
      <c r="W27" s="768">
        <f>J27</f>
        <v>100</v>
      </c>
      <c r="X27" s="769"/>
      <c r="Y27" s="3227"/>
      <c r="Z27" s="55" t="str">
        <f>Q27</f>
        <v>人流量</v>
      </c>
      <c r="AA27" s="1810">
        <f>D27/F27</f>
        <v>0.95238095238095233</v>
      </c>
      <c r="AB27" s="1810">
        <f>D27/H27</f>
        <v>1</v>
      </c>
      <c r="AC27" s="1810">
        <f>D27/J27</f>
        <v>1</v>
      </c>
    </row>
    <row r="28" spans="1:29" ht="15.75" thickBot="1">
      <c r="A28" s="428"/>
      <c r="B28" s="422" t="s">
        <v>2653</v>
      </c>
      <c r="C28" s="616" t="s">
        <v>3457</v>
      </c>
      <c r="D28" s="435">
        <v>100</v>
      </c>
      <c r="E28" s="616" t="s">
        <v>3457</v>
      </c>
      <c r="F28" s="461">
        <f>SUMIF(92:92,E28,93:93)-SUMIF(92:92,C28,93:93)+100</f>
        <v>100</v>
      </c>
      <c r="G28" s="616" t="s">
        <v>3457</v>
      </c>
      <c r="H28" s="435">
        <f>SUMIF(92:92,G28,93:93)-SUMIF(92:92,C28,93:93)+100</f>
        <v>100</v>
      </c>
      <c r="I28" s="616" t="s">
        <v>3457</v>
      </c>
      <c r="J28" s="435">
        <f>SUMIF(92:92,I28,93:93)-SUMIF(92:92,C28,93:93)+100</f>
        <v>100</v>
      </c>
      <c r="K28" s="613"/>
      <c r="L28" s="1140"/>
      <c r="M28" s="1131"/>
      <c r="N28" s="1131"/>
      <c r="O28" s="1131"/>
      <c r="P28" s="3234"/>
      <c r="Q28" s="1809" t="str">
        <f t="shared" si="11"/>
        <v>楼层</v>
      </c>
      <c r="R28" s="771" t="s">
        <v>17</v>
      </c>
      <c r="S28" s="772">
        <f t="shared" ref="S28:S46" si="12">F28</f>
        <v>100</v>
      </c>
      <c r="T28" s="771" t="s">
        <v>17</v>
      </c>
      <c r="U28" s="772">
        <f t="shared" ref="U28:U46" si="13">H28</f>
        <v>100</v>
      </c>
      <c r="V28" s="771" t="s">
        <v>17</v>
      </c>
      <c r="W28" s="772">
        <f t="shared" ref="W28:W46" si="14">J28</f>
        <v>100</v>
      </c>
      <c r="X28" s="1812"/>
      <c r="Y28" s="3227"/>
      <c r="Z28" s="1813" t="str">
        <f t="shared" ref="Z28:Z46" si="15">Q28</f>
        <v>楼层</v>
      </c>
      <c r="AA28" s="1810">
        <f t="shared" si="3"/>
        <v>1</v>
      </c>
      <c r="AB28" s="1810">
        <f t="shared" si="4"/>
        <v>1</v>
      </c>
      <c r="AC28" s="1810">
        <f t="shared" si="5"/>
        <v>1</v>
      </c>
    </row>
    <row r="29" spans="1:29" ht="15" hidden="1">
      <c r="A29" s="428"/>
      <c r="B29" s="1386"/>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4"/>
      <c r="Q29" s="1809">
        <f t="shared" si="11"/>
        <v>0</v>
      </c>
      <c r="R29" s="771" t="s">
        <v>17</v>
      </c>
      <c r="S29" s="772">
        <f t="shared" si="12"/>
        <v>100</v>
      </c>
      <c r="T29" s="771" t="s">
        <v>17</v>
      </c>
      <c r="U29" s="772">
        <f t="shared" si="13"/>
        <v>100</v>
      </c>
      <c r="V29" s="771" t="s">
        <v>17</v>
      </c>
      <c r="W29" s="772">
        <f t="shared" si="14"/>
        <v>100</v>
      </c>
      <c r="X29" s="1812"/>
      <c r="Y29" s="3227"/>
      <c r="Z29" s="1813">
        <f t="shared" si="15"/>
        <v>0</v>
      </c>
      <c r="AA29" s="1810">
        <f t="shared" si="3"/>
        <v>1</v>
      </c>
      <c r="AB29" s="1810">
        <f t="shared" si="4"/>
        <v>1</v>
      </c>
      <c r="AC29" s="1810">
        <f t="shared" si="5"/>
        <v>1</v>
      </c>
    </row>
    <row r="30" spans="1:29" ht="15" hidden="1">
      <c r="A30" s="428"/>
      <c r="B30" s="1386"/>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4"/>
      <c r="Q30" s="1809">
        <f t="shared" si="11"/>
        <v>0</v>
      </c>
      <c r="R30" s="771" t="s">
        <v>17</v>
      </c>
      <c r="S30" s="772">
        <f t="shared" si="12"/>
        <v>100</v>
      </c>
      <c r="T30" s="771" t="s">
        <v>17</v>
      </c>
      <c r="U30" s="772">
        <f t="shared" si="13"/>
        <v>100</v>
      </c>
      <c r="V30" s="771" t="s">
        <v>17</v>
      </c>
      <c r="W30" s="772">
        <f t="shared" si="14"/>
        <v>100</v>
      </c>
      <c r="X30" s="1812"/>
      <c r="Y30" s="3227"/>
      <c r="Z30" s="1813">
        <f t="shared" si="15"/>
        <v>0</v>
      </c>
      <c r="AA30" s="1810">
        <f t="shared" si="3"/>
        <v>1</v>
      </c>
      <c r="AB30" s="1810">
        <f t="shared" si="4"/>
        <v>1</v>
      </c>
      <c r="AC30" s="1810">
        <f t="shared" si="5"/>
        <v>1</v>
      </c>
    </row>
    <row r="31" spans="1:29" ht="15.75" hidden="1" thickBot="1">
      <c r="A31" s="436"/>
      <c r="B31" s="1386"/>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4"/>
      <c r="Q31" s="1809">
        <f t="shared" si="11"/>
        <v>0</v>
      </c>
      <c r="R31" s="771" t="s">
        <v>17</v>
      </c>
      <c r="S31" s="772">
        <f t="shared" si="12"/>
        <v>100</v>
      </c>
      <c r="T31" s="771" t="s">
        <v>17</v>
      </c>
      <c r="U31" s="772">
        <f t="shared" si="13"/>
        <v>100</v>
      </c>
      <c r="V31" s="771" t="s">
        <v>17</v>
      </c>
      <c r="W31" s="772">
        <f t="shared" si="14"/>
        <v>100</v>
      </c>
      <c r="X31" s="1812"/>
      <c r="Y31" s="3227"/>
      <c r="Z31" s="1813">
        <f t="shared" si="15"/>
        <v>0</v>
      </c>
      <c r="AA31" s="1810">
        <f t="shared" si="3"/>
        <v>1</v>
      </c>
      <c r="AB31" s="1810">
        <f t="shared" si="4"/>
        <v>1</v>
      </c>
      <c r="AC31" s="1810">
        <f t="shared" si="5"/>
        <v>1</v>
      </c>
    </row>
    <row r="32" spans="1:29" ht="15">
      <c r="A32" s="440" t="s">
        <v>2558</v>
      </c>
      <c r="B32" s="71" t="s">
        <v>2654</v>
      </c>
      <c r="C32" s="2613" t="s">
        <v>3433</v>
      </c>
      <c r="D32" s="467">
        <v>100</v>
      </c>
      <c r="E32" s="2613" t="s">
        <v>3431</v>
      </c>
      <c r="F32" s="461">
        <f>SUMIF(100:100,E32,101:101)-SUMIF(100:100,C32,101:101)+100</f>
        <v>105</v>
      </c>
      <c r="G32" s="2613" t="s">
        <v>3433</v>
      </c>
      <c r="H32" s="435">
        <f>SUMIF(100:100,G32,101:101)-SUMIF(100:100,C32,101:101)+100</f>
        <v>100</v>
      </c>
      <c r="I32" s="2613" t="s">
        <v>3433</v>
      </c>
      <c r="J32" s="467">
        <f>SUMIF(100:100,I32,101:101)-SUMIF(100:100,C32,101:101)+100</f>
        <v>100</v>
      </c>
      <c r="K32" s="612">
        <v>5</v>
      </c>
      <c r="L32" s="1140"/>
      <c r="M32" s="1131"/>
      <c r="N32" s="1131"/>
      <c r="O32" s="1131"/>
      <c r="P32" s="3228" t="s">
        <v>2560</v>
      </c>
      <c r="Q32" s="1809" t="str">
        <f t="shared" si="11"/>
        <v>商业类型</v>
      </c>
      <c r="R32" s="771" t="s">
        <v>17</v>
      </c>
      <c r="S32" s="772">
        <f t="shared" si="12"/>
        <v>105</v>
      </c>
      <c r="T32" s="771" t="s">
        <v>17</v>
      </c>
      <c r="U32" s="772">
        <f t="shared" si="13"/>
        <v>100</v>
      </c>
      <c r="V32" s="771" t="s">
        <v>17</v>
      </c>
      <c r="W32" s="772">
        <f t="shared" si="14"/>
        <v>100</v>
      </c>
      <c r="X32" s="1812"/>
      <c r="Y32" s="3231" t="s">
        <v>2560</v>
      </c>
      <c r="Z32" s="1813" t="str">
        <f t="shared" si="15"/>
        <v>商业类型</v>
      </c>
      <c r="AA32" s="1810">
        <f t="shared" si="3"/>
        <v>0.95238095238095233</v>
      </c>
      <c r="AB32" s="1810">
        <f t="shared" si="4"/>
        <v>1</v>
      </c>
      <c r="AC32" s="1810">
        <f t="shared" si="5"/>
        <v>1</v>
      </c>
    </row>
    <row r="33" spans="1:29" s="471" customFormat="1" ht="15">
      <c r="A33" s="468"/>
      <c r="B33" s="422" t="s">
        <v>2561</v>
      </c>
      <c r="C33" s="469">
        <f>'数据-基础表'!K258</f>
        <v>81.7</v>
      </c>
      <c r="D33" s="136">
        <v>100</v>
      </c>
      <c r="E33" s="430">
        <v>660</v>
      </c>
      <c r="F33" s="425">
        <f>LOOKUP(E33,103:103,104:104)-LOOKUP(C33,103:103,104:104)+100</f>
        <v>96</v>
      </c>
      <c r="G33" s="429">
        <v>80</v>
      </c>
      <c r="H33" s="136">
        <f>LOOKUP(G33,103:103,104:104)-LOOKUP(C33,103:103,104:104)+100</f>
        <v>100</v>
      </c>
      <c r="I33" s="469">
        <v>81.7</v>
      </c>
      <c r="J33" s="136">
        <f>LOOKUP(I33,103:103,104:104)-LOOKUP(C33,103:103,104:104)+100</f>
        <v>100</v>
      </c>
      <c r="K33" s="613"/>
      <c r="L33" s="1138"/>
      <c r="M33" s="1141"/>
      <c r="N33" s="1141"/>
      <c r="O33" s="1141"/>
      <c r="P33" s="3229"/>
      <c r="Q33" s="773" t="str">
        <f t="shared" si="11"/>
        <v>项目建筑规模</v>
      </c>
      <c r="R33" s="774" t="s">
        <v>17</v>
      </c>
      <c r="S33" s="775">
        <f t="shared" si="12"/>
        <v>96</v>
      </c>
      <c r="T33" s="774" t="s">
        <v>17</v>
      </c>
      <c r="U33" s="775">
        <f t="shared" si="13"/>
        <v>100</v>
      </c>
      <c r="V33" s="774" t="s">
        <v>17</v>
      </c>
      <c r="W33" s="775">
        <f t="shared" si="14"/>
        <v>100</v>
      </c>
      <c r="X33" s="776"/>
      <c r="Y33" s="3231"/>
      <c r="Z33" s="777" t="str">
        <f t="shared" si="15"/>
        <v>项目建筑规模</v>
      </c>
      <c r="AA33" s="1810">
        <f t="shared" si="3"/>
        <v>1.0416666666666667</v>
      </c>
      <c r="AB33" s="1810">
        <f t="shared" si="4"/>
        <v>1</v>
      </c>
      <c r="AC33" s="1810">
        <f t="shared" si="5"/>
        <v>1</v>
      </c>
    </row>
    <row r="34" spans="1:29" ht="15">
      <c r="A34" s="472"/>
      <c r="B34" s="422" t="s">
        <v>2562</v>
      </c>
      <c r="C34" s="2615" t="s">
        <v>3382</v>
      </c>
      <c r="D34" s="435">
        <v>100</v>
      </c>
      <c r="E34" s="2615" t="s">
        <v>3382</v>
      </c>
      <c r="F34" s="461">
        <f>SUMIF(105:105,E34,106:106)-SUMIF(105:105,C34,106:106)+100</f>
        <v>100</v>
      </c>
      <c r="G34" s="2615" t="s">
        <v>3382</v>
      </c>
      <c r="H34" s="435">
        <f>SUMIF(105:105,G34,106:106)-SUMIF(105:105,C34,106:106)+100</f>
        <v>100</v>
      </c>
      <c r="I34" s="2615" t="s">
        <v>3382</v>
      </c>
      <c r="J34" s="435">
        <f>SUMIF(105:105,I34,106:106)-SUMIF(105:105,C34,106:106)+100</f>
        <v>100</v>
      </c>
      <c r="K34" s="612">
        <v>2</v>
      </c>
      <c r="L34" s="1140"/>
      <c r="M34" s="1131"/>
      <c r="N34" s="1131"/>
      <c r="O34" s="1131"/>
      <c r="P34" s="3229"/>
      <c r="Q34" s="1809" t="str">
        <f t="shared" si="11"/>
        <v>建筑结构</v>
      </c>
      <c r="R34" s="771" t="s">
        <v>17</v>
      </c>
      <c r="S34" s="772">
        <f t="shared" si="12"/>
        <v>100</v>
      </c>
      <c r="T34" s="771" t="s">
        <v>17</v>
      </c>
      <c r="U34" s="772">
        <f t="shared" si="13"/>
        <v>100</v>
      </c>
      <c r="V34" s="771" t="s">
        <v>17</v>
      </c>
      <c r="W34" s="772">
        <f t="shared" si="14"/>
        <v>100</v>
      </c>
      <c r="X34" s="1812"/>
      <c r="Y34" s="3231"/>
      <c r="Z34" s="1813" t="str">
        <f t="shared" si="15"/>
        <v>建筑结构</v>
      </c>
      <c r="AA34" s="1810">
        <f t="shared" si="3"/>
        <v>1</v>
      </c>
      <c r="AB34" s="1810">
        <f t="shared" si="4"/>
        <v>1</v>
      </c>
      <c r="AC34" s="1810">
        <f t="shared" si="5"/>
        <v>1</v>
      </c>
    </row>
    <row r="35" spans="1:29" ht="15">
      <c r="A35" s="472"/>
      <c r="B35" s="422" t="s">
        <v>2655</v>
      </c>
      <c r="C35" s="2609" t="s">
        <v>3384</v>
      </c>
      <c r="D35" s="435">
        <v>100</v>
      </c>
      <c r="E35" s="2609" t="s">
        <v>3384</v>
      </c>
      <c r="F35" s="461">
        <f>SUMIF(107:107,E35,108:108)-SUMIF(107:107,C35,108:108)+100</f>
        <v>100</v>
      </c>
      <c r="G35" s="2609" t="s">
        <v>3384</v>
      </c>
      <c r="H35" s="435">
        <f>SUMIF(107:107,G35,108:108)-SUMIF(107:107,C35,108:108)+100</f>
        <v>100</v>
      </c>
      <c r="I35" s="2609" t="s">
        <v>3384</v>
      </c>
      <c r="J35" s="435">
        <f>SUMIF(107:107,I35,108:108)-SUMIF(107:107,C35,108:108)+100</f>
        <v>100</v>
      </c>
      <c r="K35" s="612">
        <v>2</v>
      </c>
      <c r="L35" s="1140"/>
      <c r="M35" s="1131"/>
      <c r="N35" s="1131"/>
      <c r="O35" s="1131"/>
      <c r="P35" s="3229"/>
      <c r="Q35" s="1809" t="str">
        <f t="shared" si="11"/>
        <v>公共部分装修</v>
      </c>
      <c r="R35" s="771" t="s">
        <v>17</v>
      </c>
      <c r="S35" s="772">
        <f t="shared" si="12"/>
        <v>100</v>
      </c>
      <c r="T35" s="771" t="s">
        <v>17</v>
      </c>
      <c r="U35" s="772">
        <f t="shared" si="13"/>
        <v>100</v>
      </c>
      <c r="V35" s="771" t="s">
        <v>17</v>
      </c>
      <c r="W35" s="772">
        <f t="shared" si="14"/>
        <v>100</v>
      </c>
      <c r="X35" s="1812"/>
      <c r="Y35" s="3231"/>
      <c r="Z35" s="1813" t="str">
        <f t="shared" si="15"/>
        <v>公共部分装修</v>
      </c>
      <c r="AA35" s="1810">
        <f t="shared" si="3"/>
        <v>1</v>
      </c>
      <c r="AB35" s="1810">
        <f t="shared" si="4"/>
        <v>1</v>
      </c>
      <c r="AC35" s="1810">
        <f t="shared" si="5"/>
        <v>1</v>
      </c>
    </row>
    <row r="36" spans="1:29" ht="15">
      <c r="A36" s="472"/>
      <c r="B36" s="422" t="s">
        <v>2656</v>
      </c>
      <c r="C36" s="474">
        <f>'数据-取费表'!N7</f>
        <v>0.93</v>
      </c>
      <c r="D36" s="435">
        <v>100</v>
      </c>
      <c r="E36" s="474">
        <v>1</v>
      </c>
      <c r="F36" s="461">
        <f>LOOKUP(E36,110:110,111:111)-LOOKUP(C36,110:110,111:111)+100</f>
        <v>100</v>
      </c>
      <c r="G36" s="474">
        <v>1</v>
      </c>
      <c r="H36" s="461">
        <f>LOOKUP(G36,110:110,111:111)-LOOKUP(C36,110:110,111:111)+100</f>
        <v>100</v>
      </c>
      <c r="I36" s="474">
        <f>C36</f>
        <v>0.93</v>
      </c>
      <c r="J36" s="435">
        <f>LOOKUP(I36,110:110,111:111)-LOOKUP(C36,110:110,111:111)+100</f>
        <v>100</v>
      </c>
      <c r="K36" s="612">
        <v>1</v>
      </c>
      <c r="L36" s="1140"/>
      <c r="M36" s="1131"/>
      <c r="N36" s="1131"/>
      <c r="O36" s="1131"/>
      <c r="P36" s="3229"/>
      <c r="Q36" s="1809" t="str">
        <f t="shared" si="11"/>
        <v>成新度</v>
      </c>
      <c r="R36" s="771" t="s">
        <v>17</v>
      </c>
      <c r="S36" s="772">
        <f t="shared" si="12"/>
        <v>100</v>
      </c>
      <c r="T36" s="771" t="s">
        <v>17</v>
      </c>
      <c r="U36" s="772">
        <f t="shared" si="13"/>
        <v>100</v>
      </c>
      <c r="V36" s="771" t="s">
        <v>17</v>
      </c>
      <c r="W36" s="772">
        <f t="shared" si="14"/>
        <v>100</v>
      </c>
      <c r="X36" s="1812"/>
      <c r="Y36" s="3231"/>
      <c r="Z36" s="1813" t="str">
        <f t="shared" si="15"/>
        <v>成新度</v>
      </c>
      <c r="AA36" s="1810">
        <f t="shared" si="3"/>
        <v>1</v>
      </c>
      <c r="AB36" s="1810">
        <f t="shared" si="4"/>
        <v>1</v>
      </c>
      <c r="AC36" s="1810">
        <f t="shared" si="5"/>
        <v>1</v>
      </c>
    </row>
    <row r="37" spans="1:29" s="117" customFormat="1" ht="15">
      <c r="A37" s="473"/>
      <c r="B37" s="422" t="s">
        <v>2657</v>
      </c>
      <c r="C37" s="2609" t="s">
        <v>3367</v>
      </c>
      <c r="D37" s="136">
        <v>100</v>
      </c>
      <c r="E37" s="2609" t="s">
        <v>3367</v>
      </c>
      <c r="F37" s="461">
        <f>SUMIF(112:112,E37,113:113)-SUMIF(112:112,C37,113:113)+100</f>
        <v>100</v>
      </c>
      <c r="G37" s="2609" t="s">
        <v>3367</v>
      </c>
      <c r="H37" s="435">
        <f>SUMIF(112:112,G37,113:113)-SUMIF(112:112,C37,113:113)+100</f>
        <v>100</v>
      </c>
      <c r="I37" s="2609" t="s">
        <v>3367</v>
      </c>
      <c r="J37" s="435">
        <f>SUMIF(112:112,I37,113:113)-SUMIF(112:112,C37,113:113)+100</f>
        <v>100</v>
      </c>
      <c r="K37" s="612">
        <v>2</v>
      </c>
      <c r="L37" s="1132"/>
      <c r="M37" s="1133"/>
      <c r="N37" s="1133"/>
      <c r="O37" s="1133"/>
      <c r="P37" s="3229"/>
      <c r="Q37" s="1794" t="str">
        <f t="shared" si="11"/>
        <v>市政基础设施</v>
      </c>
      <c r="R37" s="767" t="s">
        <v>17</v>
      </c>
      <c r="S37" s="768">
        <f t="shared" si="12"/>
        <v>100</v>
      </c>
      <c r="T37" s="767" t="s">
        <v>17</v>
      </c>
      <c r="U37" s="768">
        <f t="shared" si="13"/>
        <v>100</v>
      </c>
      <c r="V37" s="767" t="s">
        <v>17</v>
      </c>
      <c r="W37" s="768">
        <f t="shared" si="14"/>
        <v>100</v>
      </c>
      <c r="X37" s="769"/>
      <c r="Y37" s="3231"/>
      <c r="Z37" s="55" t="str">
        <f t="shared" si="15"/>
        <v>市政基础设施</v>
      </c>
      <c r="AA37" s="770">
        <f t="shared" si="3"/>
        <v>1</v>
      </c>
      <c r="AB37" s="770">
        <f t="shared" si="4"/>
        <v>1</v>
      </c>
      <c r="AC37" s="770">
        <f t="shared" si="5"/>
        <v>1</v>
      </c>
    </row>
    <row r="38" spans="1:29" ht="15">
      <c r="A38" s="472"/>
      <c r="B38" s="422" t="s">
        <v>2658</v>
      </c>
      <c r="C38" s="2609" t="s">
        <v>3445</v>
      </c>
      <c r="D38" s="435">
        <v>100</v>
      </c>
      <c r="E38" s="2609" t="s">
        <v>3443</v>
      </c>
      <c r="F38" s="461">
        <f>SUMIF(114:114,E38,115:115)-SUMIF(114:114,C38,115:115)+100</f>
        <v>105</v>
      </c>
      <c r="G38" s="2609" t="s">
        <v>3443</v>
      </c>
      <c r="H38" s="435">
        <f>SUMIF(114:114,G38,115:115)-SUMIF(114:114,C38,115:115)+100</f>
        <v>105</v>
      </c>
      <c r="I38" s="2609" t="s">
        <v>3445</v>
      </c>
      <c r="J38" s="435">
        <f>SUMIF(114:114,I38,115:115)-SUMIF(114:114,C38,115:115)+100</f>
        <v>100</v>
      </c>
      <c r="K38" s="612">
        <v>5</v>
      </c>
      <c r="L38" s="1140"/>
      <c r="M38" s="1131"/>
      <c r="N38" s="1131"/>
      <c r="O38" s="1131"/>
      <c r="P38" s="3229" t="s">
        <v>2560</v>
      </c>
      <c r="Q38" s="1809" t="str">
        <f t="shared" si="11"/>
        <v>业态</v>
      </c>
      <c r="R38" s="771" t="s">
        <v>17</v>
      </c>
      <c r="S38" s="772">
        <f t="shared" si="12"/>
        <v>105</v>
      </c>
      <c r="T38" s="771" t="s">
        <v>17</v>
      </c>
      <c r="U38" s="772">
        <f t="shared" si="13"/>
        <v>105</v>
      </c>
      <c r="V38" s="771" t="s">
        <v>17</v>
      </c>
      <c r="W38" s="772">
        <f t="shared" si="14"/>
        <v>100</v>
      </c>
      <c r="X38" s="1812"/>
      <c r="Y38" s="3231" t="s">
        <v>2560</v>
      </c>
      <c r="Z38" s="1813" t="str">
        <f t="shared" si="15"/>
        <v>业态</v>
      </c>
      <c r="AA38" s="1810">
        <f t="shared" si="3"/>
        <v>0.95238095238095233</v>
      </c>
      <c r="AB38" s="1810">
        <f t="shared" si="4"/>
        <v>0.95238095238095233</v>
      </c>
      <c r="AC38" s="1810">
        <f t="shared" si="5"/>
        <v>1</v>
      </c>
    </row>
    <row r="39" spans="1:29" ht="15">
      <c r="A39" s="472"/>
      <c r="B39" s="422" t="s">
        <v>2659</v>
      </c>
      <c r="C39" s="2609" t="s">
        <v>3447</v>
      </c>
      <c r="D39" s="435">
        <v>100</v>
      </c>
      <c r="E39" s="2609" t="s">
        <v>3447</v>
      </c>
      <c r="F39" s="461">
        <f>SUMIF(116:116,E39,117:117)-SUMIF(116:116,C39,117:117)+100</f>
        <v>100</v>
      </c>
      <c r="G39" s="2609" t="s">
        <v>3447</v>
      </c>
      <c r="H39" s="435">
        <f>SUMIF(116:116,G39,117:117)-SUMIF(116:116,C39,117:117)+100</f>
        <v>100</v>
      </c>
      <c r="I39" s="2609" t="s">
        <v>3447</v>
      </c>
      <c r="J39" s="435">
        <f>SUMIF(116:116,I39,117:117)-SUMIF(116:116,C39,117:117)+100</f>
        <v>100</v>
      </c>
      <c r="K39" s="612">
        <v>2</v>
      </c>
      <c r="L39" s="1140"/>
      <c r="M39" s="1131"/>
      <c r="N39" s="1131"/>
      <c r="O39" s="1131"/>
      <c r="P39" s="3229"/>
      <c r="Q39" s="1809" t="str">
        <f t="shared" si="11"/>
        <v>层高</v>
      </c>
      <c r="R39" s="771" t="s">
        <v>17</v>
      </c>
      <c r="S39" s="772">
        <f t="shared" si="12"/>
        <v>100</v>
      </c>
      <c r="T39" s="771" t="s">
        <v>17</v>
      </c>
      <c r="U39" s="772">
        <f t="shared" si="13"/>
        <v>100</v>
      </c>
      <c r="V39" s="771" t="s">
        <v>17</v>
      </c>
      <c r="W39" s="772">
        <f t="shared" si="14"/>
        <v>100</v>
      </c>
      <c r="X39" s="1812"/>
      <c r="Y39" s="3231"/>
      <c r="Z39" s="1813" t="str">
        <f t="shared" si="15"/>
        <v>层高</v>
      </c>
      <c r="AA39" s="1810">
        <f t="shared" si="3"/>
        <v>1</v>
      </c>
      <c r="AB39" s="1810">
        <f t="shared" si="4"/>
        <v>1</v>
      </c>
      <c r="AC39" s="1810">
        <f t="shared" si="5"/>
        <v>1</v>
      </c>
    </row>
    <row r="40" spans="1:29" ht="15" hidden="1">
      <c r="A40" s="472"/>
      <c r="B40" s="422" t="s">
        <v>2660</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40"/>
      <c r="M40" s="1131"/>
      <c r="N40" s="1131"/>
      <c r="O40" s="1131"/>
      <c r="P40" s="3229"/>
      <c r="Q40" s="1809" t="str">
        <f t="shared" si="11"/>
        <v>单套建筑面积</v>
      </c>
      <c r="R40" s="771" t="s">
        <v>17</v>
      </c>
      <c r="S40" s="772">
        <f t="shared" si="12"/>
        <v>100</v>
      </c>
      <c r="T40" s="771" t="s">
        <v>17</v>
      </c>
      <c r="U40" s="772">
        <f t="shared" si="13"/>
        <v>100</v>
      </c>
      <c r="V40" s="771" t="s">
        <v>17</v>
      </c>
      <c r="W40" s="772">
        <f t="shared" si="14"/>
        <v>100</v>
      </c>
      <c r="X40" s="1812"/>
      <c r="Y40" s="3231"/>
      <c r="Z40" s="1813" t="str">
        <f t="shared" si="15"/>
        <v>单套建筑面积</v>
      </c>
      <c r="AA40" s="1810">
        <f t="shared" si="3"/>
        <v>1</v>
      </c>
      <c r="AB40" s="1810">
        <f t="shared" si="4"/>
        <v>1</v>
      </c>
      <c r="AC40" s="1810">
        <f t="shared" si="5"/>
        <v>1</v>
      </c>
    </row>
    <row r="41" spans="1:29" s="471" customFormat="1" ht="15">
      <c r="A41" s="468"/>
      <c r="B41" s="1811" t="s">
        <v>2661</v>
      </c>
      <c r="C41" s="616" t="s">
        <v>3451</v>
      </c>
      <c r="D41" s="435">
        <v>100</v>
      </c>
      <c r="E41" s="616" t="s">
        <v>3451</v>
      </c>
      <c r="F41" s="461">
        <f>SUMIF(120:120,E41,121:121)-SUMIF(120:120,C41,121:121)+100</f>
        <v>100</v>
      </c>
      <c r="G41" s="616" t="s">
        <v>3451</v>
      </c>
      <c r="H41" s="435">
        <f>SUMIF(120:120,G41,121:121)-SUMIF(120:120,C41,121:121)+100</f>
        <v>100</v>
      </c>
      <c r="I41" s="616" t="s">
        <v>3451</v>
      </c>
      <c r="J41" s="435">
        <f>SUMIF(120:120,I41,121:121)-SUMIF(120:120,C41,121:121)+100</f>
        <v>100</v>
      </c>
      <c r="K41" s="612">
        <v>2</v>
      </c>
      <c r="L41" s="1138"/>
      <c r="M41" s="1141"/>
      <c r="N41" s="1141"/>
      <c r="O41" s="1141"/>
      <c r="P41" s="3229"/>
      <c r="Q41" s="773" t="str">
        <f t="shared" si="11"/>
        <v>进深比</v>
      </c>
      <c r="R41" s="774" t="s">
        <v>17</v>
      </c>
      <c r="S41" s="775">
        <f t="shared" si="12"/>
        <v>100</v>
      </c>
      <c r="T41" s="774" t="s">
        <v>17</v>
      </c>
      <c r="U41" s="775">
        <f t="shared" si="13"/>
        <v>100</v>
      </c>
      <c r="V41" s="774" t="s">
        <v>17</v>
      </c>
      <c r="W41" s="775">
        <f t="shared" si="14"/>
        <v>100</v>
      </c>
      <c r="X41" s="776"/>
      <c r="Y41" s="3231"/>
      <c r="Z41" s="777" t="str">
        <f t="shared" si="15"/>
        <v>进深比</v>
      </c>
      <c r="AA41" s="1810">
        <f t="shared" si="3"/>
        <v>1</v>
      </c>
      <c r="AB41" s="1810">
        <f t="shared" si="4"/>
        <v>1</v>
      </c>
      <c r="AC41" s="1810">
        <f t="shared" si="5"/>
        <v>1</v>
      </c>
    </row>
    <row r="42" spans="1:29" ht="15">
      <c r="A42" s="472"/>
      <c r="B42" s="422" t="s">
        <v>2662</v>
      </c>
      <c r="C42" s="2609" t="s">
        <v>3387</v>
      </c>
      <c r="D42" s="435">
        <v>100</v>
      </c>
      <c r="E42" s="2609" t="s">
        <v>3387</v>
      </c>
      <c r="F42" s="461">
        <f>SUMIF(122:122,E42,123:123)-SUMIF(122:122,C42,123:123)+100</f>
        <v>100</v>
      </c>
      <c r="G42" s="2609" t="s">
        <v>3387</v>
      </c>
      <c r="H42" s="435">
        <f>SUMIF(122:122,G42,123:123)-SUMIF(122:122,C42,123:123)+100</f>
        <v>100</v>
      </c>
      <c r="I42" s="2609" t="s">
        <v>3440</v>
      </c>
      <c r="J42" s="435">
        <f>SUMIF(122:122,I42,123:123)-SUMIF(122:122,C42,123:123)+100</f>
        <v>102</v>
      </c>
      <c r="K42" s="612">
        <v>2</v>
      </c>
      <c r="L42" s="1140"/>
      <c r="M42" s="1131"/>
      <c r="N42" s="1131"/>
      <c r="O42" s="1131"/>
      <c r="P42" s="3229"/>
      <c r="Q42" s="1809" t="str">
        <f t="shared" si="11"/>
        <v>内部装修</v>
      </c>
      <c r="R42" s="771" t="s">
        <v>17</v>
      </c>
      <c r="S42" s="772">
        <f t="shared" si="12"/>
        <v>100</v>
      </c>
      <c r="T42" s="771" t="s">
        <v>17</v>
      </c>
      <c r="U42" s="772">
        <f t="shared" si="13"/>
        <v>100</v>
      </c>
      <c r="V42" s="771" t="s">
        <v>17</v>
      </c>
      <c r="W42" s="772">
        <f t="shared" si="14"/>
        <v>102</v>
      </c>
      <c r="X42" s="1812"/>
      <c r="Y42" s="3231"/>
      <c r="Z42" s="1813" t="str">
        <f t="shared" si="15"/>
        <v>内部装修</v>
      </c>
      <c r="AA42" s="1810">
        <f t="shared" si="3"/>
        <v>1</v>
      </c>
      <c r="AB42" s="1810">
        <f t="shared" si="4"/>
        <v>1</v>
      </c>
      <c r="AC42" s="1810">
        <f t="shared" si="5"/>
        <v>0.98039215686274506</v>
      </c>
    </row>
    <row r="43" spans="1:29" ht="15.75" thickBot="1">
      <c r="A43" s="472"/>
      <c r="B43" s="422" t="s">
        <v>2571</v>
      </c>
      <c r="C43" s="2609" t="s">
        <v>3366</v>
      </c>
      <c r="D43" s="435">
        <v>100</v>
      </c>
      <c r="E43" s="2609" t="s">
        <v>3366</v>
      </c>
      <c r="F43" s="461">
        <f>SUMIF(124:124,E43,125:125)-SUMIF(124:124,C43,125:125)+100</f>
        <v>100</v>
      </c>
      <c r="G43" s="2609" t="s">
        <v>3366</v>
      </c>
      <c r="H43" s="435">
        <f>SUMIF(124:124,G43,125:125)-SUMIF(124:124,C43,125:125)+100</f>
        <v>100</v>
      </c>
      <c r="I43" s="2609" t="s">
        <v>3366</v>
      </c>
      <c r="J43" s="435">
        <f>SUMIF(124:124,I43,125:125)-SUMIF(124:124,C43,125:125)+100</f>
        <v>100</v>
      </c>
      <c r="K43" s="612">
        <v>1</v>
      </c>
      <c r="L43" s="1140"/>
      <c r="M43" s="1131"/>
      <c r="N43" s="1131"/>
      <c r="O43" s="1131"/>
      <c r="P43" s="3229"/>
      <c r="Q43" s="1809" t="str">
        <f t="shared" si="11"/>
        <v>内部装修维护情况</v>
      </c>
      <c r="R43" s="771" t="s">
        <v>17</v>
      </c>
      <c r="S43" s="772">
        <f t="shared" si="12"/>
        <v>100</v>
      </c>
      <c r="T43" s="771" t="s">
        <v>17</v>
      </c>
      <c r="U43" s="772">
        <f t="shared" si="13"/>
        <v>100</v>
      </c>
      <c r="V43" s="771" t="s">
        <v>17</v>
      </c>
      <c r="W43" s="772">
        <f t="shared" si="14"/>
        <v>100</v>
      </c>
      <c r="X43" s="1812"/>
      <c r="Y43" s="3231"/>
      <c r="Z43" s="1813" t="str">
        <f t="shared" si="15"/>
        <v>内部装修维护情况</v>
      </c>
      <c r="AA43" s="1810">
        <f t="shared" si="3"/>
        <v>1</v>
      </c>
      <c r="AB43" s="1810">
        <f t="shared" si="4"/>
        <v>1</v>
      </c>
      <c r="AC43" s="1810">
        <f t="shared" si="5"/>
        <v>1</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9"/>
      <c r="Q44" s="1794">
        <f t="shared" si="11"/>
        <v>111</v>
      </c>
      <c r="R44" s="767" t="s">
        <v>17</v>
      </c>
      <c r="S44" s="768">
        <f t="shared" si="12"/>
        <v>100</v>
      </c>
      <c r="T44" s="767" t="s">
        <v>17</v>
      </c>
      <c r="U44" s="768">
        <f t="shared" si="13"/>
        <v>100</v>
      </c>
      <c r="V44" s="767" t="s">
        <v>17</v>
      </c>
      <c r="W44" s="768">
        <f t="shared" si="14"/>
        <v>100</v>
      </c>
      <c r="X44" s="769"/>
      <c r="Y44" s="3231"/>
      <c r="Z44" s="55">
        <f t="shared" si="15"/>
        <v>111</v>
      </c>
      <c r="AA44" s="770">
        <f t="shared" si="3"/>
        <v>1</v>
      </c>
      <c r="AB44" s="770">
        <f t="shared" si="4"/>
        <v>1</v>
      </c>
      <c r="AC44" s="770">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9"/>
      <c r="Q45" s="1809">
        <f t="shared" si="11"/>
        <v>111</v>
      </c>
      <c r="R45" s="771" t="s">
        <v>17</v>
      </c>
      <c r="S45" s="772">
        <f t="shared" si="12"/>
        <v>100</v>
      </c>
      <c r="T45" s="771" t="s">
        <v>17</v>
      </c>
      <c r="U45" s="772">
        <f t="shared" si="13"/>
        <v>100</v>
      </c>
      <c r="V45" s="771" t="s">
        <v>17</v>
      </c>
      <c r="W45" s="772">
        <f t="shared" si="14"/>
        <v>100</v>
      </c>
      <c r="X45" s="1812"/>
      <c r="Y45" s="3231"/>
      <c r="Z45" s="1813">
        <f t="shared" si="15"/>
        <v>111</v>
      </c>
      <c r="AA45" s="1810">
        <f t="shared" si="3"/>
        <v>1</v>
      </c>
      <c r="AB45" s="1810">
        <f t="shared" si="4"/>
        <v>1</v>
      </c>
      <c r="AC45" s="1810">
        <f t="shared" si="5"/>
        <v>1</v>
      </c>
    </row>
    <row r="46" spans="1:29" ht="15.75" hidden="1"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0"/>
      <c r="Q46" s="1809">
        <f t="shared" si="11"/>
        <v>111</v>
      </c>
      <c r="R46" s="771" t="s">
        <v>17</v>
      </c>
      <c r="S46" s="772">
        <f t="shared" si="12"/>
        <v>100</v>
      </c>
      <c r="T46" s="771" t="s">
        <v>17</v>
      </c>
      <c r="U46" s="772">
        <f t="shared" si="13"/>
        <v>100</v>
      </c>
      <c r="V46" s="771" t="s">
        <v>17</v>
      </c>
      <c r="W46" s="772">
        <f t="shared" si="14"/>
        <v>100</v>
      </c>
      <c r="X46" s="1812"/>
      <c r="Y46" s="3232"/>
      <c r="Z46" s="1813">
        <f t="shared" si="15"/>
        <v>111</v>
      </c>
      <c r="AA46" s="1810">
        <f t="shared" si="3"/>
        <v>1</v>
      </c>
      <c r="AB46" s="1810">
        <f t="shared" si="4"/>
        <v>1</v>
      </c>
      <c r="AC46" s="1810">
        <f t="shared" si="5"/>
        <v>1</v>
      </c>
    </row>
    <row r="47" spans="1:29" ht="15">
      <c r="A47" s="479" t="s">
        <v>2572</v>
      </c>
      <c r="B47" s="480"/>
      <c r="C47" s="1407" t="s">
        <v>1</v>
      </c>
      <c r="D47" s="1408"/>
      <c r="E47" s="1409">
        <f>ROUND(36778*G51,0)</f>
        <v>36042</v>
      </c>
      <c r="F47" s="1410"/>
      <c r="G47" s="1411">
        <f>ROUND(40000*G51,0)</f>
        <v>39200</v>
      </c>
      <c r="H47" s="1412"/>
      <c r="I47" s="1409">
        <f>ROUND(37944*G51,0)</f>
        <v>37185</v>
      </c>
      <c r="J47" s="1412"/>
      <c r="K47" s="780"/>
      <c r="L47" s="1143"/>
      <c r="M47" s="1144"/>
      <c r="N47" s="1131"/>
      <c r="O47" s="1144"/>
      <c r="P47" s="3224" t="str">
        <f>A47</f>
        <v>成交单价（元/平方米）</v>
      </c>
      <c r="Q47" s="3224"/>
      <c r="R47" s="3218">
        <f>E47</f>
        <v>36042</v>
      </c>
      <c r="S47" s="3218"/>
      <c r="T47" s="3218">
        <f>G47</f>
        <v>39200</v>
      </c>
      <c r="U47" s="3218"/>
      <c r="V47" s="3218">
        <f>I47</f>
        <v>37185</v>
      </c>
      <c r="W47" s="3218"/>
      <c r="X47" s="756"/>
      <c r="Y47" s="778"/>
      <c r="Z47" s="756"/>
      <c r="AA47" s="756"/>
      <c r="AB47" s="756"/>
      <c r="AC47" s="756"/>
    </row>
    <row r="48" spans="1:29" ht="15.75" thickBot="1">
      <c r="A48" s="486" t="s">
        <v>2663</v>
      </c>
      <c r="B48" s="487"/>
      <c r="C48" s="1413">
        <f>R49</f>
        <v>35195</v>
      </c>
      <c r="D48" s="1414"/>
      <c r="E48" s="1415">
        <f>R48</f>
        <v>31796</v>
      </c>
      <c r="F48" s="1415"/>
      <c r="G48" s="1413">
        <f>T48</f>
        <v>37333</v>
      </c>
      <c r="H48" s="1414"/>
      <c r="I48" s="1415">
        <f>V48</f>
        <v>36456</v>
      </c>
      <c r="J48" s="1414"/>
      <c r="K48" s="781"/>
      <c r="L48" s="1143"/>
      <c r="M48" s="1144"/>
      <c r="N48" s="1131"/>
      <c r="O48" s="1144"/>
      <c r="P48" s="3224" t="str">
        <f>A48</f>
        <v>比较价值（元/平方米）</v>
      </c>
      <c r="Q48" s="3224"/>
      <c r="R48" s="3225">
        <f>IF(F1="售价",ROUND(PRODUCT(R47,AA7:AA46),0),ROUND(PRODUCT(R47,AA7:AA46),1))</f>
        <v>31796</v>
      </c>
      <c r="S48" s="3225"/>
      <c r="T48" s="3225">
        <f>IF(F1="售价",ROUND(PRODUCT(T47,AB7:AB46),0),ROUND(PRODUCT(T47,AB7:AB46),1))</f>
        <v>37333</v>
      </c>
      <c r="U48" s="3225"/>
      <c r="V48" s="3225">
        <f>IF(F1="售价",ROUND(PRODUCT(V47,AC7:AC46),0),ROUND(PRODUCT(V47,AC7:AC46),1))</f>
        <v>36456</v>
      </c>
      <c r="W48" s="3225"/>
      <c r="X48" s="756"/>
      <c r="Y48" s="756"/>
      <c r="Z48" s="756"/>
      <c r="AA48" s="756"/>
      <c r="AB48" s="756"/>
      <c r="AC48" s="756"/>
    </row>
    <row r="49" spans="1:29" ht="15.75" thickBot="1">
      <c r="A49" s="492" t="s">
        <v>2664</v>
      </c>
      <c r="B49" s="493"/>
      <c r="C49" s="1417">
        <f>R49</f>
        <v>35195</v>
      </c>
      <c r="D49" s="1417"/>
      <c r="E49" s="1417"/>
      <c r="F49" s="1417"/>
      <c r="G49" s="1417"/>
      <c r="H49" s="1417"/>
      <c r="I49" s="1417"/>
      <c r="J49" s="1417"/>
      <c r="K49" s="782"/>
      <c r="L49" s="1143"/>
      <c r="M49" s="1144"/>
      <c r="N49" s="1131"/>
      <c r="O49" s="1144"/>
      <c r="P49" s="3221" t="str">
        <f>A49</f>
        <v>估价对象XX用房的比较价值（楼面单价，元/平方米）</v>
      </c>
      <c r="Q49" s="3222"/>
      <c r="R49" s="3223">
        <f>IF(F1="售价",ROUND(AVERAGE(R48:V48),0),ROUND(AVERAGE(R48:V48),1))</f>
        <v>35195</v>
      </c>
      <c r="S49" s="3223"/>
      <c r="T49" s="3223"/>
      <c r="U49" s="3223"/>
      <c r="V49" s="3223"/>
      <c r="W49" s="3223"/>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4"/>
      <c r="Q50" s="756"/>
      <c r="R50" s="756"/>
      <c r="S50" s="756"/>
      <c r="T50" s="756"/>
      <c r="U50" s="756"/>
      <c r="V50" s="756"/>
      <c r="W50" s="756"/>
      <c r="X50" s="756"/>
      <c r="Y50" s="756"/>
      <c r="Z50" s="756"/>
      <c r="AA50" s="756"/>
      <c r="AB50" s="756"/>
      <c r="AC50" s="756"/>
    </row>
    <row r="51" spans="1:29">
      <c r="A51" s="1144"/>
      <c r="B51" s="1144"/>
      <c r="C51" s="1144"/>
      <c r="D51" s="1144"/>
      <c r="E51" s="1144"/>
      <c r="F51" s="1144"/>
      <c r="G51" s="1144">
        <v>0.98</v>
      </c>
      <c r="H51" s="1144"/>
      <c r="I51" s="1144"/>
      <c r="J51" s="1144"/>
      <c r="K51" s="1105"/>
      <c r="L51" s="1106"/>
      <c r="M51" s="1144"/>
      <c r="N51" s="1144"/>
      <c r="O51" s="1144"/>
      <c r="P51" s="674"/>
      <c r="Q51" s="756"/>
      <c r="R51" s="756"/>
      <c r="S51" s="756"/>
      <c r="T51" s="756"/>
      <c r="U51" s="756"/>
      <c r="V51" s="756"/>
      <c r="W51" s="756"/>
      <c r="X51" s="756"/>
      <c r="Y51" s="756"/>
      <c r="Z51" s="756"/>
      <c r="AA51" s="756"/>
      <c r="AB51" s="756"/>
      <c r="AC51" s="756"/>
    </row>
    <row r="52" spans="1:29" ht="13.5" customHeight="1">
      <c r="A52" s="1144"/>
      <c r="B52" s="1144"/>
      <c r="C52" s="497" t="s">
        <v>2665</v>
      </c>
      <c r="D52" s="498"/>
      <c r="E52" s="499">
        <f>IF(E47&lt;E48,E48/E47-1,E47/E48-1)</f>
        <v>0.13353880991319667</v>
      </c>
      <c r="F52" s="500" t="str">
        <f>IF(OR(E52&gt;=0.3,E52&lt;=-0.3),"超过30%","")</f>
        <v/>
      </c>
      <c r="G52" s="499">
        <f>IF(G47&lt;G48,G48/G47-1,G47/G48-1)</f>
        <v>5.0009375083706065E-2</v>
      </c>
      <c r="H52" s="500" t="str">
        <f>IF(OR(G52&gt;=0.3,G52&lt;=-0.3),"超过30%","")</f>
        <v/>
      </c>
      <c r="I52" s="499">
        <f>IF(I47&lt;I48,I48/I47-1,I47/I48-1)</f>
        <v>1.9996708360763726E-2</v>
      </c>
      <c r="J52" s="500" t="str">
        <f>IF(OR(I52&gt;=0.3,I52&lt;=-0.3),"超过30%","")</f>
        <v/>
      </c>
      <c r="K52" s="1105"/>
      <c r="L52" s="1106"/>
      <c r="M52" s="1144"/>
      <c r="N52" s="1144"/>
      <c r="O52" s="1144"/>
      <c r="P52" s="674"/>
      <c r="Q52" s="756"/>
      <c r="R52" s="756"/>
      <c r="S52" s="756"/>
      <c r="T52" s="756"/>
      <c r="U52" s="756"/>
      <c r="V52" s="756"/>
      <c r="W52" s="756"/>
      <c r="X52" s="756"/>
      <c r="Y52" s="756"/>
      <c r="Z52" s="756"/>
      <c r="AA52" s="756"/>
      <c r="AB52" s="756"/>
      <c r="AC52" s="756"/>
    </row>
    <row r="53" spans="1:29" ht="13.5" customHeight="1">
      <c r="A53" s="1144"/>
      <c r="B53" s="1144"/>
      <c r="C53" s="497" t="s">
        <v>2666</v>
      </c>
      <c r="D53" s="501"/>
      <c r="E53" s="499">
        <f>IF(E48&lt;G48,G48/E48-1,E48/G48-1)</f>
        <v>0.1741414014341427</v>
      </c>
      <c r="F53" s="500" t="str">
        <f>IF(OR(E53&gt;=0.2,E53&lt;=-0.2),"超过20%","")</f>
        <v/>
      </c>
      <c r="G53" s="499">
        <f>IF(G48&lt;I48,I48/G48-1,G48/I48-1)</f>
        <v>2.4056396752249354E-2</v>
      </c>
      <c r="H53" s="500" t="str">
        <f>IF(OR(G53&gt;=0.2,G53&lt;=-0.2),"超过20%","")</f>
        <v/>
      </c>
      <c r="I53" s="499">
        <f>IF(I48&lt;E48,E48/I48-1,I48/E48-1)</f>
        <v>0.14655931563718716</v>
      </c>
      <c r="J53" s="500" t="str">
        <f>IF(OR(I53&gt;=0.2,I53&lt;=-0.2),"超过20%","")</f>
        <v/>
      </c>
      <c r="K53" s="1105"/>
      <c r="L53" s="1106"/>
      <c r="M53" s="1144"/>
      <c r="N53" s="1144"/>
      <c r="O53" s="1144"/>
      <c r="P53" s="674"/>
      <c r="Q53" s="756"/>
      <c r="R53" s="756"/>
      <c r="S53" s="756"/>
      <c r="T53" s="756"/>
      <c r="U53" s="756"/>
      <c r="V53" s="756"/>
      <c r="W53" s="756"/>
      <c r="X53" s="756"/>
      <c r="Y53" s="756"/>
      <c r="Z53" s="756"/>
      <c r="AA53" s="756"/>
      <c r="AB53" s="756"/>
      <c r="AC53" s="756"/>
    </row>
    <row r="54" spans="1:29" s="502" customFormat="1" ht="13.5" customHeight="1">
      <c r="A54" s="1145"/>
      <c r="B54" s="1145"/>
      <c r="C54" s="497" t="s">
        <v>2667</v>
      </c>
      <c r="D54" s="501"/>
      <c r="E54" s="499">
        <f>IF(E47&lt;G47,G47/E47-1,E47/G47-1)</f>
        <v>8.761999889018357E-2</v>
      </c>
      <c r="F54" s="500" t="str">
        <f>IF(OR(E54&gt;=0.3,E54&lt;=-0.3),"超过30%","")</f>
        <v/>
      </c>
      <c r="G54" s="499">
        <f>IF(G47&lt;I47,I47/G47-1,G47/I47-1)</f>
        <v>5.418851687508397E-2</v>
      </c>
      <c r="H54" s="500" t="str">
        <f>IF(OR(G54&gt;=0.3,G54&lt;=-0.3),"超过30%","")</f>
        <v/>
      </c>
      <c r="I54" s="499">
        <f>IF(I47&lt;E47,E47/I47-1,I47/E47-1)</f>
        <v>3.1713001498252069E-2</v>
      </c>
      <c r="J54" s="500" t="str">
        <f>IF(OR(I54&gt;=0.3,I54&lt;=-0.3),"超过30%","")</f>
        <v/>
      </c>
      <c r="K54" s="1148"/>
      <c r="L54" s="1149"/>
      <c r="M54" s="1145"/>
      <c r="N54" s="1145"/>
      <c r="O54" s="1145"/>
      <c r="P54" s="2661"/>
      <c r="Q54" s="757"/>
      <c r="R54" s="757"/>
      <c r="S54" s="757"/>
      <c r="T54" s="757"/>
      <c r="U54" s="757"/>
      <c r="V54" s="757"/>
      <c r="W54" s="757"/>
      <c r="X54" s="757"/>
      <c r="Y54" s="757"/>
      <c r="Z54" s="757"/>
      <c r="AA54" s="757"/>
      <c r="AB54" s="757"/>
      <c r="AC54" s="757"/>
    </row>
    <row r="55" spans="1:29" s="502" customFormat="1">
      <c r="A55" s="1145"/>
      <c r="B55" s="1146"/>
      <c r="C55" s="1150"/>
      <c r="D55" s="1145"/>
      <c r="E55" s="1145"/>
      <c r="F55" s="1145"/>
      <c r="G55" s="1145"/>
      <c r="H55" s="1145"/>
      <c r="I55" s="1145"/>
      <c r="J55" s="1145"/>
      <c r="K55" s="1148"/>
      <c r="L55" s="1149"/>
      <c r="M55" s="1145"/>
      <c r="N55" s="1145"/>
      <c r="O55" s="1145"/>
      <c r="P55" s="2661"/>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4"/>
      <c r="Q56" s="756"/>
      <c r="R56" s="756"/>
      <c r="S56" s="756"/>
      <c r="T56" s="756"/>
      <c r="U56" s="756"/>
      <c r="V56" s="756"/>
      <c r="W56" s="756"/>
      <c r="X56" s="756"/>
      <c r="Y56" s="756"/>
      <c r="Z56" s="756"/>
      <c r="AA56" s="756"/>
      <c r="AB56" s="756"/>
      <c r="AC56" s="756"/>
    </row>
    <row r="57" spans="1:29" ht="21.75" thickBot="1">
      <c r="A57" s="760" t="s">
        <v>2668</v>
      </c>
      <c r="B57" s="756"/>
      <c r="C57" s="761"/>
      <c r="D57" s="761"/>
      <c r="E57" s="761"/>
      <c r="F57" s="762"/>
      <c r="G57" s="762"/>
      <c r="H57" s="761"/>
      <c r="I57" s="761"/>
      <c r="J57" s="761"/>
      <c r="K57" s="763"/>
      <c r="L57" s="1161"/>
      <c r="M57" s="1159"/>
      <c r="N57" s="1159"/>
      <c r="O57" s="1159"/>
      <c r="P57" s="2662"/>
      <c r="Q57" s="2663"/>
      <c r="R57" s="756"/>
      <c r="S57" s="756"/>
      <c r="T57" s="756"/>
      <c r="U57" s="756"/>
      <c r="V57" s="756"/>
      <c r="W57" s="756"/>
      <c r="X57" s="756"/>
      <c r="Y57" s="756"/>
      <c r="Z57" s="756"/>
      <c r="AA57" s="756"/>
      <c r="AB57" s="756"/>
      <c r="AC57" s="756"/>
    </row>
    <row r="58" spans="1:29" s="508" customFormat="1" ht="15">
      <c r="A58" s="505" t="s">
        <v>2543</v>
      </c>
      <c r="B58" s="506"/>
      <c r="C58" s="1574" t="str">
        <f>YEAR(C7)&amp;"-"&amp;MONTH(C7)</f>
        <v>2018-8</v>
      </c>
      <c r="D58" s="1575">
        <f>EDATE(C58,-1)</f>
        <v>43282</v>
      </c>
      <c r="E58" s="1575">
        <f t="shared" ref="E58:N58" si="16">EDATE(D58,-1)</f>
        <v>43252</v>
      </c>
      <c r="F58" s="1575">
        <f t="shared" si="16"/>
        <v>43221</v>
      </c>
      <c r="G58" s="1575">
        <f t="shared" si="16"/>
        <v>43191</v>
      </c>
      <c r="H58" s="1575">
        <f t="shared" si="16"/>
        <v>43160</v>
      </c>
      <c r="I58" s="1575">
        <f t="shared" si="16"/>
        <v>43132</v>
      </c>
      <c r="J58" s="1575">
        <f t="shared" si="16"/>
        <v>43101</v>
      </c>
      <c r="K58" s="1575">
        <f t="shared" si="16"/>
        <v>43070</v>
      </c>
      <c r="L58" s="1575">
        <f t="shared" si="16"/>
        <v>43040</v>
      </c>
      <c r="M58" s="1575">
        <f t="shared" si="16"/>
        <v>43009</v>
      </c>
      <c r="N58" s="1575">
        <f t="shared" si="16"/>
        <v>42979</v>
      </c>
      <c r="O58" s="1575">
        <f>EDATE(N58,-1)</f>
        <v>42948</v>
      </c>
      <c r="P58" s="1570"/>
    </row>
    <row r="59" spans="1:29" s="117" customFormat="1" ht="15">
      <c r="A59" s="509"/>
      <c r="B59" s="510"/>
      <c r="C59" s="1573">
        <v>100</v>
      </c>
      <c r="D59" s="511">
        <v>100</v>
      </c>
      <c r="E59" s="512">
        <v>99.5</v>
      </c>
      <c r="F59" s="512">
        <v>99.5</v>
      </c>
      <c r="G59" s="512">
        <v>99.5</v>
      </c>
      <c r="H59" s="512">
        <v>99</v>
      </c>
      <c r="I59" s="512">
        <v>99</v>
      </c>
      <c r="J59" s="512">
        <v>99</v>
      </c>
      <c r="K59" s="512">
        <v>98.5</v>
      </c>
      <c r="L59" s="512">
        <v>98.5</v>
      </c>
      <c r="M59" s="513">
        <v>98.5</v>
      </c>
      <c r="N59" s="512">
        <v>98</v>
      </c>
      <c r="O59" s="513"/>
      <c r="P59" s="2623"/>
    </row>
    <row r="60" spans="1:29" s="117" customFormat="1" ht="15.75" thickBot="1">
      <c r="A60" s="515" t="s">
        <v>2580</v>
      </c>
      <c r="B60" s="516"/>
      <c r="C60" s="517"/>
      <c r="D60" s="518"/>
      <c r="E60" s="518"/>
      <c r="F60" s="518"/>
      <c r="G60" s="518"/>
      <c r="H60" s="518"/>
      <c r="I60" s="518"/>
      <c r="J60" s="518"/>
      <c r="K60" s="518"/>
      <c r="L60" s="518"/>
      <c r="M60" s="519"/>
      <c r="N60" s="518"/>
      <c r="O60" s="519"/>
      <c r="P60" s="2623"/>
      <c r="Q60" s="504"/>
    </row>
    <row r="61" spans="1:29" s="117" customFormat="1" ht="15">
      <c r="A61" s="521" t="s">
        <v>2545</v>
      </c>
      <c r="B61" s="510"/>
      <c r="C61" s="522" t="s">
        <v>2647</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2583</v>
      </c>
      <c r="B63" s="528" t="s">
        <v>2549</v>
      </c>
      <c r="C63" s="529" t="str">
        <f>C9</f>
        <v>商业</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5"/>
      <c r="Q66" s="504"/>
    </row>
    <row r="67" spans="1:17" ht="15.75" thickTop="1">
      <c r="A67" s="534"/>
      <c r="B67" s="546" t="s">
        <v>2553</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5"/>
      <c r="Q67" s="504"/>
    </row>
    <row r="68" spans="1:17" ht="15">
      <c r="A68" s="534"/>
      <c r="B68" s="548"/>
      <c r="C68" s="549">
        <v>0</v>
      </c>
      <c r="D68" s="549">
        <v>1</v>
      </c>
      <c r="E68" s="549">
        <v>2</v>
      </c>
      <c r="F68" s="549"/>
      <c r="G68" s="549"/>
      <c r="H68" s="549"/>
      <c r="I68" s="549"/>
      <c r="J68" s="549"/>
      <c r="K68" s="550"/>
      <c r="L68" s="551"/>
      <c r="M68" s="552"/>
      <c r="N68" s="1152"/>
      <c r="O68" s="1152"/>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5"/>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5"/>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5"/>
      <c r="Q81" s="504"/>
    </row>
    <row r="82" spans="1:17" ht="15.75" thickTop="1">
      <c r="A82" s="534"/>
      <c r="B82" s="546" t="s">
        <v>2650</v>
      </c>
      <c r="C82" s="659" t="s">
        <v>2669</v>
      </c>
      <c r="D82" s="659" t="s">
        <v>2670</v>
      </c>
      <c r="E82" s="659" t="s">
        <v>2671</v>
      </c>
      <c r="F82" s="659" t="s">
        <v>2672</v>
      </c>
      <c r="G82" s="659" t="s">
        <v>2673</v>
      </c>
      <c r="H82" s="539"/>
      <c r="I82" s="539"/>
      <c r="J82" s="539"/>
      <c r="K82" s="539"/>
      <c r="L82" s="539"/>
      <c r="M82" s="1382"/>
      <c r="N82" s="1153"/>
      <c r="O82" s="1153"/>
      <c r="P82" s="2625"/>
      <c r="Q82" s="504"/>
    </row>
    <row r="83" spans="1:17" ht="15.75" thickBot="1">
      <c r="A83" s="534"/>
      <c r="B83" s="546"/>
      <c r="C83" s="544">
        <v>100</v>
      </c>
      <c r="D83" s="544">
        <f>C83-$K21</f>
        <v>98</v>
      </c>
      <c r="E83" s="544">
        <f t="shared" ref="E83:G83" si="19">D83-$K21</f>
        <v>96</v>
      </c>
      <c r="F83" s="544">
        <f t="shared" si="19"/>
        <v>94</v>
      </c>
      <c r="G83" s="544">
        <f t="shared" si="19"/>
        <v>92</v>
      </c>
      <c r="H83" s="659"/>
      <c r="I83" s="659"/>
      <c r="J83" s="659"/>
      <c r="K83" s="659"/>
      <c r="L83" s="659"/>
      <c r="M83" s="450"/>
      <c r="N83" s="1153"/>
      <c r="O83" s="1153"/>
      <c r="P83" s="2625"/>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2674</v>
      </c>
      <c r="C86" s="2956" t="s">
        <v>3412</v>
      </c>
      <c r="D86" s="2956" t="s">
        <v>3413</v>
      </c>
      <c r="E86" s="2956" t="s">
        <v>3415</v>
      </c>
      <c r="F86" s="2956" t="s">
        <v>3416</v>
      </c>
      <c r="G86" s="554"/>
      <c r="H86" s="554"/>
      <c r="I86" s="554"/>
      <c r="J86" s="554"/>
      <c r="K86" s="554"/>
      <c r="L86" s="580"/>
      <c r="M86" s="581"/>
      <c r="N86" s="1151"/>
      <c r="O86" s="1151"/>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5"/>
      <c r="Q87" s="504"/>
    </row>
    <row r="88" spans="1:17" s="117" customFormat="1" ht="15.75" thickTop="1">
      <c r="A88" s="579"/>
      <c r="B88" s="538" t="str">
        <f>B26</f>
        <v>可视性</v>
      </c>
      <c r="C88" s="2956" t="s">
        <v>3418</v>
      </c>
      <c r="D88" s="2956" t="s">
        <v>3419</v>
      </c>
      <c r="E88" s="2956" t="s">
        <v>3420</v>
      </c>
      <c r="F88" s="2963" t="s">
        <v>3421</v>
      </c>
      <c r="G88" s="2956" t="s">
        <v>3422</v>
      </c>
      <c r="H88" s="554"/>
      <c r="I88" s="554"/>
      <c r="J88" s="554"/>
      <c r="K88" s="554"/>
      <c r="L88" s="554"/>
      <c r="M88" s="581"/>
      <c r="N88" s="1151"/>
      <c r="O88" s="1151"/>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53"/>
      <c r="O89" s="1153"/>
      <c r="P89" s="2625"/>
      <c r="Q89" s="504"/>
    </row>
    <row r="90" spans="1:17" s="471" customFormat="1" ht="15.75" thickTop="1">
      <c r="A90" s="553"/>
      <c r="B90" s="538" t="str">
        <f>B27</f>
        <v>人流量</v>
      </c>
      <c r="C90" s="2956" t="s">
        <v>3423</v>
      </c>
      <c r="D90" s="2956" t="s">
        <v>3425</v>
      </c>
      <c r="E90" s="2956" t="s">
        <v>3420</v>
      </c>
      <c r="F90" s="2956" t="s">
        <v>3426</v>
      </c>
      <c r="G90" s="2956" t="s">
        <v>3427</v>
      </c>
      <c r="H90" s="555"/>
      <c r="I90" s="555"/>
      <c r="J90" s="555"/>
      <c r="K90" s="555"/>
      <c r="L90" s="556"/>
      <c r="M90" s="557"/>
      <c r="N90" s="1154"/>
      <c r="O90" s="1154"/>
      <c r="P90" s="2626"/>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4"/>
      <c r="O91" s="1154"/>
      <c r="P91" s="2626"/>
      <c r="Q91" s="559"/>
    </row>
    <row r="92" spans="1:17" ht="15.75" thickTop="1">
      <c r="A92" s="534"/>
      <c r="B92" s="538" t="str">
        <f>B28</f>
        <v>楼层</v>
      </c>
      <c r="C92" s="554" t="s">
        <v>3428</v>
      </c>
      <c r="D92" s="554" t="s">
        <v>3429</v>
      </c>
      <c r="E92" s="554"/>
      <c r="F92" s="554"/>
      <c r="G92" s="554"/>
      <c r="H92" s="554"/>
      <c r="I92" s="554"/>
      <c r="J92" s="554"/>
      <c r="K92" s="554"/>
      <c r="L92" s="580"/>
      <c r="M92" s="581"/>
      <c r="N92" s="1152"/>
      <c r="O92" s="1152"/>
      <c r="P92" s="2625"/>
      <c r="Q92" s="504"/>
    </row>
    <row r="93" spans="1:17" ht="15.75" thickBot="1">
      <c r="A93" s="534"/>
      <c r="B93" s="543"/>
      <c r="C93" s="536">
        <v>100</v>
      </c>
      <c r="D93" s="536">
        <v>70</v>
      </c>
      <c r="E93" s="536"/>
      <c r="F93" s="536"/>
      <c r="G93" s="536"/>
      <c r="H93" s="536"/>
      <c r="I93" s="536"/>
      <c r="J93" s="536"/>
      <c r="K93" s="536"/>
      <c r="L93" s="536"/>
      <c r="M93" s="537"/>
      <c r="N93" s="1153"/>
      <c r="O93" s="1153"/>
      <c r="P93" s="2625"/>
      <c r="Q93" s="504"/>
    </row>
    <row r="94" spans="1:17" ht="15.75" thickTop="1">
      <c r="A94" s="534"/>
      <c r="B94" s="538">
        <f>B29</f>
        <v>0</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0</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0</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2558</v>
      </c>
      <c r="B100" s="528" t="s">
        <v>2675</v>
      </c>
      <c r="C100" s="2964" t="s">
        <v>3430</v>
      </c>
      <c r="D100" s="2964" t="s">
        <v>3432</v>
      </c>
      <c r="E100" s="2964" t="s">
        <v>3434</v>
      </c>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25"/>
      <c r="Q101" s="504"/>
    </row>
    <row r="102" spans="1:17" ht="15.75" thickTop="1">
      <c r="A102" s="534"/>
      <c r="B102" s="538" t="s">
        <v>2608</v>
      </c>
      <c r="C102" s="578" t="str">
        <f>C103&amp;"(含)"&amp;"-"&amp;D103</f>
        <v>0(含)-50</v>
      </c>
      <c r="D102" s="578" t="str">
        <f t="shared" ref="D102:L102" si="23">D103&amp;"(含)"&amp;"-"&amp;E103</f>
        <v>50(含)-100</v>
      </c>
      <c r="E102" s="578" t="str">
        <f t="shared" si="23"/>
        <v>100(含)-200</v>
      </c>
      <c r="F102" s="578" t="str">
        <f t="shared" si="23"/>
        <v>200(含)-800</v>
      </c>
      <c r="G102" s="578" t="str">
        <f t="shared" si="23"/>
        <v>800(含)-</v>
      </c>
      <c r="H102" s="578" t="str">
        <f t="shared" si="23"/>
        <v>(含)-</v>
      </c>
      <c r="I102" s="578" t="str">
        <f t="shared" si="23"/>
        <v>(含)-</v>
      </c>
      <c r="J102" s="578" t="str">
        <f t="shared" si="23"/>
        <v>(含)-</v>
      </c>
      <c r="K102" s="578" t="str">
        <f t="shared" si="23"/>
        <v>(含)-</v>
      </c>
      <c r="L102" s="578" t="str">
        <f t="shared" si="23"/>
        <v>(含)-</v>
      </c>
      <c r="M102" s="621" t="str">
        <f>M103&amp;"(含)"&amp;"-"&amp;P103</f>
        <v>(含)-</v>
      </c>
      <c r="N102" s="1151"/>
      <c r="O102" s="1151"/>
      <c r="P102" s="2625"/>
      <c r="Q102" s="504"/>
    </row>
    <row r="103" spans="1:17" s="471" customFormat="1">
      <c r="A103" s="593"/>
      <c r="B103" s="594"/>
      <c r="C103" s="595">
        <v>0</v>
      </c>
      <c r="D103" s="595">
        <v>50</v>
      </c>
      <c r="E103" s="595">
        <v>100</v>
      </c>
      <c r="F103" s="595">
        <v>200</v>
      </c>
      <c r="G103" s="595">
        <v>800</v>
      </c>
      <c r="H103" s="595"/>
      <c r="I103" s="595"/>
      <c r="J103" s="596"/>
      <c r="K103" s="596"/>
      <c r="L103" s="597"/>
      <c r="M103" s="598"/>
      <c r="N103" s="1154"/>
      <c r="O103" s="1154"/>
      <c r="P103" s="2626"/>
      <c r="Q103" s="559"/>
    </row>
    <row r="104" spans="1:17" s="471" customFormat="1" ht="15.75" thickBot="1">
      <c r="A104" s="553"/>
      <c r="B104" s="543"/>
      <c r="C104" s="560">
        <v>100</v>
      </c>
      <c r="D104" s="536">
        <v>102</v>
      </c>
      <c r="E104" s="536">
        <v>100</v>
      </c>
      <c r="F104" s="536">
        <v>98</v>
      </c>
      <c r="G104" s="536">
        <v>96</v>
      </c>
      <c r="H104" s="536"/>
      <c r="I104" s="536"/>
      <c r="J104" s="536"/>
      <c r="K104" s="536"/>
      <c r="L104" s="536"/>
      <c r="M104" s="537"/>
      <c r="N104" s="1153"/>
      <c r="O104" s="1153"/>
      <c r="P104" s="2626"/>
      <c r="Q104" s="559"/>
    </row>
    <row r="105" spans="1:17" ht="15" thickTop="1">
      <c r="A105" s="599"/>
      <c r="B105" s="538" t="s">
        <v>2609</v>
      </c>
      <c r="C105" s="2956" t="s">
        <v>3435</v>
      </c>
      <c r="D105" s="2956" t="s">
        <v>3436</v>
      </c>
      <c r="E105" s="2965" t="s">
        <v>3437</v>
      </c>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5"/>
      <c r="Q106" s="504"/>
    </row>
    <row r="107" spans="1:17" ht="15" thickTop="1">
      <c r="A107" s="599"/>
      <c r="B107" s="538" t="s">
        <v>2611</v>
      </c>
      <c r="C107" s="2956" t="s">
        <v>3438</v>
      </c>
      <c r="D107" s="2956" t="s">
        <v>3439</v>
      </c>
      <c r="E107" s="2956" t="s">
        <v>3441</v>
      </c>
      <c r="F107" s="2965" t="s">
        <v>3442</v>
      </c>
      <c r="G107" s="583"/>
      <c r="H107" s="583"/>
      <c r="I107" s="583"/>
      <c r="J107" s="583"/>
      <c r="K107" s="584"/>
      <c r="L107" s="585"/>
      <c r="M107" s="586"/>
      <c r="N107" s="1152"/>
      <c r="O107" s="1152"/>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2"/>
      <c r="J110" s="622"/>
      <c r="K110" s="623"/>
      <c r="L110" s="624"/>
      <c r="M110" s="625"/>
      <c r="N110" s="1152"/>
      <c r="O110" s="1152"/>
      <c r="P110" s="2625"/>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25"/>
      <c r="Q111" s="504"/>
    </row>
    <row r="112" spans="1:17" s="471" customFormat="1" ht="15" thickTop="1">
      <c r="A112" s="593"/>
      <c r="B112" s="538" t="s">
        <v>2613</v>
      </c>
      <c r="C112" s="554" t="s">
        <v>3367</v>
      </c>
      <c r="D112" s="554" t="s">
        <v>3392</v>
      </c>
      <c r="E112" s="554" t="s">
        <v>3393</v>
      </c>
      <c r="F112" s="554" t="s">
        <v>3394</v>
      </c>
      <c r="G112" s="554" t="s">
        <v>3395</v>
      </c>
      <c r="H112" s="583"/>
      <c r="I112" s="583"/>
      <c r="J112" s="583"/>
      <c r="K112" s="584"/>
      <c r="L112" s="585"/>
      <c r="M112" s="586"/>
      <c r="N112" s="1154"/>
      <c r="O112" s="1154"/>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6"/>
      <c r="Q113" s="559"/>
    </row>
    <row r="114" spans="1:17" ht="15" thickTop="1">
      <c r="A114" s="599"/>
      <c r="B114" s="538" t="s">
        <v>2676</v>
      </c>
      <c r="C114" s="2956" t="s">
        <v>3444</v>
      </c>
      <c r="D114" s="2956" t="s">
        <v>3446</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3"/>
      <c r="O115" s="1153"/>
      <c r="P115" s="2625"/>
      <c r="Q115" s="504"/>
    </row>
    <row r="116" spans="1:17" ht="15" thickTop="1">
      <c r="A116" s="599"/>
      <c r="B116" s="538" t="s">
        <v>2677</v>
      </c>
      <c r="C116" s="2956" t="s">
        <v>3448</v>
      </c>
      <c r="D116" s="2956" t="s">
        <v>3449</v>
      </c>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5"/>
      <c r="Q117" s="504"/>
    </row>
    <row r="118" spans="1:17" ht="15" thickTop="1">
      <c r="A118" s="599"/>
      <c r="B118" s="538" t="s">
        <v>2678</v>
      </c>
      <c r="C118" s="626"/>
      <c r="D118" s="626"/>
      <c r="E118" s="626"/>
      <c r="F118" s="626"/>
      <c r="G118" s="626"/>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2679</v>
      </c>
      <c r="C120" s="2965" t="s">
        <v>3450</v>
      </c>
      <c r="D120" s="2965" t="s">
        <v>3452</v>
      </c>
      <c r="E120" s="2965" t="s">
        <v>3453</v>
      </c>
      <c r="F120" s="2965" t="s">
        <v>3454</v>
      </c>
      <c r="G120" s="2965" t="s">
        <v>3455</v>
      </c>
      <c r="H120" s="555"/>
      <c r="I120" s="555"/>
      <c r="J120" s="555"/>
      <c r="K120" s="555"/>
      <c r="L120" s="556"/>
      <c r="M120" s="557"/>
      <c r="N120" s="1154"/>
      <c r="O120" s="1154"/>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26"/>
      <c r="Q121" s="559"/>
    </row>
    <row r="122" spans="1:17" ht="15" thickTop="1">
      <c r="A122" s="599"/>
      <c r="B122" s="538" t="s">
        <v>2615</v>
      </c>
      <c r="C122" s="2956" t="s">
        <v>3438</v>
      </c>
      <c r="D122" s="2956" t="s">
        <v>3439</v>
      </c>
      <c r="E122" s="2956" t="s">
        <v>3441</v>
      </c>
      <c r="F122" s="2965" t="s">
        <v>3442</v>
      </c>
      <c r="G122" s="583"/>
      <c r="H122" s="583"/>
      <c r="I122" s="583"/>
      <c r="J122" s="583"/>
      <c r="K122" s="584"/>
      <c r="L122" s="585"/>
      <c r="M122" s="586"/>
      <c r="N122" s="1152"/>
      <c r="O122" s="1152"/>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5"/>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6"/>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北京珠江投资开发有限公司：</v>
      </c>
    </row>
    <row r="4" spans="1:1" ht="36">
      <c r="A4" s="1947" t="str">
        <f>"受贵公司委托，我公司对"&amp;项目基本情况!S1&amp;"进行了预评估。"</f>
        <v>受贵公司委托，我公司对北京市兴贸三街18号院四季悦城项目商业、办公用房房地产抵押价值进行了预评估。</v>
      </c>
    </row>
    <row r="5" spans="1:1" ht="18.75">
      <c r="A5" s="1948" t="s">
        <v>1612</v>
      </c>
    </row>
    <row r="6" spans="1:1" ht="18.75">
      <c r="A6" s="1949" t="s">
        <v>1613</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兴贸三街18号院四季悦城项目商业、办公用房房地产，为所有。根据《国有土地使用证》[京通国用(2013出）第00173号]，估价对象（分摊）出让国有建设用地使用权面积为0平方米。根据《房屋所有权证》[X京房权通字第1427796号等]，估价对象建筑面积为25398.79平方米。</v>
      </c>
    </row>
    <row r="8" spans="1:1" ht="57.75">
      <c r="A8" s="1950" t="s">
        <v>1614</v>
      </c>
    </row>
    <row r="9" spans="1:1" ht="18.75">
      <c r="A9" s="1949" t="s">
        <v>1615</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兴贸三街18号院四季悦城项目商业、办公用房房地产,属开发建设的办公项目，该项目尚在开发建设中。根据《国有土地使用证》[京通国用(2013出）第00173号]，估价对象（分摊）出让国有建设用地使用权面积为0平方米。根据《房屋所有权证》[X京房权通字第1427796号等]，估价对象规划建筑面积为25398.79平方米。</v>
      </c>
    </row>
    <row r="11" spans="1:1" ht="76.5">
      <c r="A11" s="1950" t="s">
        <v>1616</v>
      </c>
    </row>
    <row r="12" spans="1:1" ht="18.75">
      <c r="A12" s="1948" t="s">
        <v>1617</v>
      </c>
    </row>
    <row r="13" spans="1:1" ht="38.25" customHeight="1">
      <c r="A13" s="1951"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2" t="s">
        <v>1618</v>
      </c>
    </row>
    <row r="15" spans="1:1" ht="18">
      <c r="A15" s="1953" t="str">
        <f>TEXT(项目基本情况!D3,"yyyy年m月d日;;")&amp;IF(项目基本情况!D3=项目基本情况!B3,"（评估专业人员实地查勘之日）","")</f>
        <v>2018年8月23日（评估专业人员实地查勘之日）</v>
      </c>
    </row>
    <row r="16" spans="1:1" ht="18.75">
      <c r="A16" s="1952" t="s">
        <v>1619</v>
      </c>
    </row>
    <row r="17" spans="1:1" ht="75">
      <c r="A17" s="1947" t="s">
        <v>1620</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23日，估价对象规划用途为商业、办公，土地取得方式为出让，出让国有建设用地使用权剩余土地使用年限为33.09年、43.10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通热、燃气）、红线内场地平整条件下，剩余土地使用年限为33.09年、43.10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1609</v>
      </c>
    </row>
    <row r="24" spans="1:1" ht="18">
      <c r="A24" s="1954" t="str">
        <f>"本次评估采用的主估价方法为"&amp;结果表!K4&amp;"和"&amp;结果表!L4&amp;"。"</f>
        <v>本次评估采用的主估价方法为收益法和基准地价系数修正法。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4" t="s">
        <v>2680</v>
      </c>
      <c r="C1" s="1620" t="s">
        <v>2525</v>
      </c>
      <c r="D1" s="1621"/>
      <c r="E1" s="1630"/>
      <c r="F1" s="2580"/>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82"/>
      <c r="D2" s="1365" t="e">
        <f ca="1">SUMIF(INDIRECT("'"&amp;F2&amp;"'"&amp;"!A:A"),"承租人权益价值",INDIRECT("'"&amp;F2&amp;"'"&amp;"!c:c"))</f>
        <v>#REF!</v>
      </c>
      <c r="E2" s="2583" t="s">
        <v>2323</v>
      </c>
      <c r="F2" s="2584"/>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2324</v>
      </c>
      <c r="B3" s="609" t="e">
        <f ca="1">IF(C2="——",C50,ROUND(B2*10000/D3,0))</f>
        <v>#DIV/0!</v>
      </c>
      <c r="C3" s="400" t="s">
        <v>2639</v>
      </c>
      <c r="D3" s="399">
        <f>IF(D1="",'数据-汇总表'!E3,SUMIF('数据-汇总表'!$C19:$C33,D1,'数据-汇总表'!$E19:$E33))</f>
        <v>25398.790000000015</v>
      </c>
      <c r="E3" s="2658"/>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1" t="s">
        <v>2640</v>
      </c>
      <c r="B4" s="402"/>
      <c r="C4" s="3206" t="s">
        <v>2641</v>
      </c>
      <c r="D4" s="3207"/>
      <c r="E4" s="3208" t="s">
        <v>2642</v>
      </c>
      <c r="F4" s="3209"/>
      <c r="G4" s="3206" t="s">
        <v>2643</v>
      </c>
      <c r="H4" s="3207"/>
      <c r="I4" s="3206" t="s">
        <v>2644</v>
      </c>
      <c r="J4" s="3207"/>
      <c r="K4" s="610" t="s">
        <v>2645</v>
      </c>
      <c r="L4" s="1130"/>
      <c r="M4" s="1131"/>
      <c r="N4" s="1131"/>
      <c r="O4" s="1131"/>
      <c r="P4" s="3242" t="s">
        <v>2646</v>
      </c>
      <c r="Q4" s="3243"/>
      <c r="R4" s="3236" t="s">
        <v>2642</v>
      </c>
      <c r="S4" s="3237"/>
      <c r="T4" s="3236" t="s">
        <v>2643</v>
      </c>
      <c r="U4" s="3237"/>
      <c r="V4" s="3246" t="s">
        <v>2644</v>
      </c>
      <c r="W4" s="3246"/>
      <c r="X4" s="2665"/>
      <c r="Y4" s="3236" t="s">
        <v>2646</v>
      </c>
      <c r="Z4" s="3237"/>
      <c r="AA4" s="3235" t="s">
        <v>2642</v>
      </c>
      <c r="AB4" s="3235" t="s">
        <v>2643</v>
      </c>
      <c r="AC4" s="3239" t="s">
        <v>2644</v>
      </c>
    </row>
    <row r="5" spans="1:29" ht="15">
      <c r="A5" s="404"/>
      <c r="B5" s="405"/>
      <c r="C5" s="3219" t="s">
        <v>2537</v>
      </c>
      <c r="D5" s="3200"/>
      <c r="E5" s="3238" t="s">
        <v>2538</v>
      </c>
      <c r="F5" s="3198"/>
      <c r="G5" s="3219" t="s">
        <v>2539</v>
      </c>
      <c r="H5" s="3200"/>
      <c r="I5" s="3219" t="s">
        <v>2540</v>
      </c>
      <c r="J5" s="3200"/>
      <c r="K5" s="610"/>
      <c r="L5" s="1130"/>
      <c r="M5" s="1131"/>
      <c r="N5" s="1131"/>
      <c r="O5" s="1131"/>
      <c r="P5" s="3244"/>
      <c r="Q5" s="3213"/>
      <c r="R5" s="3195"/>
      <c r="S5" s="3196"/>
      <c r="T5" s="3195"/>
      <c r="U5" s="3196"/>
      <c r="V5" s="3218"/>
      <c r="W5" s="3218"/>
      <c r="X5" s="1812"/>
      <c r="Y5" s="3195"/>
      <c r="Z5" s="3196"/>
      <c r="AA5" s="3189"/>
      <c r="AB5" s="3189"/>
      <c r="AC5" s="3240"/>
    </row>
    <row r="6" spans="1:29" ht="15.75" thickBot="1">
      <c r="A6" s="406"/>
      <c r="B6" s="407"/>
      <c r="C6" s="3201" t="s">
        <v>2541</v>
      </c>
      <c r="D6" s="3202"/>
      <c r="E6" s="3203" t="s">
        <v>2541</v>
      </c>
      <c r="F6" s="3204"/>
      <c r="G6" s="3201" t="s">
        <v>2541</v>
      </c>
      <c r="H6" s="3202"/>
      <c r="I6" s="3201" t="s">
        <v>2541</v>
      </c>
      <c r="J6" s="3202"/>
      <c r="K6" s="610" t="s">
        <v>2542</v>
      </c>
      <c r="L6" s="1130"/>
      <c r="M6" s="1131"/>
      <c r="N6" s="1131"/>
      <c r="O6" s="1131"/>
      <c r="P6" s="3245"/>
      <c r="Q6" s="3215"/>
      <c r="R6" s="3195"/>
      <c r="S6" s="3196"/>
      <c r="T6" s="3216"/>
      <c r="U6" s="3217"/>
      <c r="V6" s="3218"/>
      <c r="W6" s="3218"/>
      <c r="X6" s="1812"/>
      <c r="Y6" s="3216"/>
      <c r="Z6" s="3217"/>
      <c r="AA6" s="3190"/>
      <c r="AB6" s="3190"/>
      <c r="AC6" s="3241"/>
    </row>
    <row r="7" spans="1:29" s="117" customFormat="1" ht="15.75" thickBot="1">
      <c r="A7" s="408" t="s">
        <v>2543</v>
      </c>
      <c r="B7" s="409"/>
      <c r="C7" s="410">
        <f>'数据-取费表'!B2</f>
        <v>43335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7" t="s">
        <v>2544</v>
      </c>
      <c r="Q7" s="3220"/>
      <c r="R7" s="767" t="s">
        <v>17</v>
      </c>
      <c r="S7" s="768">
        <f t="shared" ref="S7:S15" si="0">F7</f>
        <v>0</v>
      </c>
      <c r="T7" s="767" t="s">
        <v>17</v>
      </c>
      <c r="U7" s="768">
        <f t="shared" ref="U7:U15" si="1">H7</f>
        <v>0</v>
      </c>
      <c r="V7" s="767" t="s">
        <v>17</v>
      </c>
      <c r="W7" s="768">
        <f t="shared" ref="W7:W15" si="2">J7</f>
        <v>0</v>
      </c>
      <c r="X7" s="769"/>
      <c r="Y7" s="3191" t="s">
        <v>2544</v>
      </c>
      <c r="Z7" s="3192"/>
      <c r="AA7" s="770" t="e">
        <f>D7/F7</f>
        <v>#DIV/0!</v>
      </c>
      <c r="AB7" s="770" t="e">
        <f>D7/H7</f>
        <v>#DIV/0!</v>
      </c>
      <c r="AC7" s="2666"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7" t="s">
        <v>2547</v>
      </c>
      <c r="Q8" s="3192"/>
      <c r="R8" s="767" t="s">
        <v>17</v>
      </c>
      <c r="S8" s="768">
        <f t="shared" si="0"/>
        <v>0</v>
      </c>
      <c r="T8" s="767" t="s">
        <v>17</v>
      </c>
      <c r="U8" s="768">
        <f t="shared" si="1"/>
        <v>0</v>
      </c>
      <c r="V8" s="767" t="s">
        <v>17</v>
      </c>
      <c r="W8" s="768">
        <f t="shared" si="2"/>
        <v>0</v>
      </c>
      <c r="X8" s="769"/>
      <c r="Y8" s="3191" t="s">
        <v>2547</v>
      </c>
      <c r="Z8" s="3192"/>
      <c r="AA8" s="770" t="e">
        <f t="shared" ref="AA8:AA47" si="3">D8/F8</f>
        <v>#DIV/0!</v>
      </c>
      <c r="AB8" s="770" t="e">
        <f t="shared" ref="AB8:AB47" si="4">D8/H8</f>
        <v>#DIV/0!</v>
      </c>
      <c r="AC8" s="2666"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5" t="s">
        <v>2550</v>
      </c>
      <c r="Q9" s="1794" t="str">
        <f t="shared" ref="Q9:Q15" si="6">B9</f>
        <v>用途</v>
      </c>
      <c r="R9" s="767" t="s">
        <v>17</v>
      </c>
      <c r="S9" s="768">
        <f t="shared" si="0"/>
        <v>100</v>
      </c>
      <c r="T9" s="767" t="s">
        <v>17</v>
      </c>
      <c r="U9" s="768">
        <f t="shared" si="1"/>
        <v>100</v>
      </c>
      <c r="V9" s="767" t="s">
        <v>17</v>
      </c>
      <c r="W9" s="768">
        <f t="shared" si="2"/>
        <v>100</v>
      </c>
      <c r="X9" s="769"/>
      <c r="Y9" s="3038" t="s">
        <v>2551</v>
      </c>
      <c r="Z9" s="55" t="str">
        <f t="shared" ref="Z9:Z15" si="7">Q9</f>
        <v>用途</v>
      </c>
      <c r="AA9" s="770">
        <f t="shared" si="3"/>
        <v>1</v>
      </c>
      <c r="AB9" s="770">
        <f t="shared" si="4"/>
        <v>1</v>
      </c>
      <c r="AC9" s="2666">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5"/>
      <c r="Q10" s="1794" t="str">
        <f t="shared" si="6"/>
        <v>土地使用年限（年）</v>
      </c>
      <c r="R10" s="767" t="s">
        <v>17</v>
      </c>
      <c r="S10" s="768">
        <f t="shared" si="0"/>
        <v>100</v>
      </c>
      <c r="T10" s="767" t="s">
        <v>17</v>
      </c>
      <c r="U10" s="768">
        <f t="shared" si="1"/>
        <v>100</v>
      </c>
      <c r="V10" s="767" t="s">
        <v>17</v>
      </c>
      <c r="W10" s="768">
        <f t="shared" si="2"/>
        <v>100</v>
      </c>
      <c r="X10" s="769"/>
      <c r="Y10" s="3038"/>
      <c r="Z10" s="55" t="str">
        <f t="shared" si="7"/>
        <v>土地使用年限（年）</v>
      </c>
      <c r="AA10" s="770">
        <f t="shared" si="3"/>
        <v>1</v>
      </c>
      <c r="AB10" s="770">
        <f t="shared" si="4"/>
        <v>1</v>
      </c>
      <c r="AC10" s="2666">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5"/>
      <c r="Q11" s="1794" t="str">
        <f t="shared" si="6"/>
        <v>容积率</v>
      </c>
      <c r="R11" s="767" t="s">
        <v>17</v>
      </c>
      <c r="S11" s="768" t="e">
        <f t="shared" si="0"/>
        <v>#N/A</v>
      </c>
      <c r="T11" s="767" t="s">
        <v>17</v>
      </c>
      <c r="U11" s="768" t="e">
        <f t="shared" si="1"/>
        <v>#N/A</v>
      </c>
      <c r="V11" s="767" t="s">
        <v>17</v>
      </c>
      <c r="W11" s="768" t="e">
        <f t="shared" si="2"/>
        <v>#N/A</v>
      </c>
      <c r="X11" s="769"/>
      <c r="Y11" s="3038"/>
      <c r="Z11" s="55" t="str">
        <f t="shared" si="7"/>
        <v>容积率</v>
      </c>
      <c r="AA11" s="770" t="e">
        <f t="shared" si="3"/>
        <v>#N/A</v>
      </c>
      <c r="AB11" s="770" t="e">
        <f t="shared" si="4"/>
        <v>#N/A</v>
      </c>
      <c r="AC11" s="2666" t="e">
        <f t="shared" si="5"/>
        <v>#N/A</v>
      </c>
    </row>
    <row r="12" spans="1:29" s="117" customFormat="1" ht="15">
      <c r="A12" s="431"/>
      <c r="B12" s="2596">
        <v>111</v>
      </c>
      <c r="C12" s="432"/>
      <c r="D12" s="433">
        <v>100</v>
      </c>
      <c r="E12" s="432"/>
      <c r="F12" s="136">
        <f>SUMIF(71:71,E12,72:72)-SUMIF(71:71,C12,72:72)+100</f>
        <v>100</v>
      </c>
      <c r="G12" s="2667"/>
      <c r="H12" s="136">
        <f>SUMIF(71:71,G12,72:72)-SUMIF(71:71,C12,72:72)+100</f>
        <v>100</v>
      </c>
      <c r="I12" s="432"/>
      <c r="J12" s="136">
        <f>SUMIF(71:71,I12,72:72)-SUMIF(71:71,C12,72:72)+100</f>
        <v>100</v>
      </c>
      <c r="K12" s="613"/>
      <c r="L12" s="1132"/>
      <c r="M12" s="1133"/>
      <c r="N12" s="1133"/>
      <c r="O12" s="1133"/>
      <c r="P12" s="3205"/>
      <c r="Q12" s="1794">
        <f t="shared" si="6"/>
        <v>111</v>
      </c>
      <c r="R12" s="767" t="s">
        <v>17</v>
      </c>
      <c r="S12" s="768">
        <f t="shared" si="0"/>
        <v>100</v>
      </c>
      <c r="T12" s="767" t="s">
        <v>17</v>
      </c>
      <c r="U12" s="768">
        <f t="shared" si="1"/>
        <v>100</v>
      </c>
      <c r="V12" s="767" t="s">
        <v>17</v>
      </c>
      <c r="W12" s="768">
        <f t="shared" si="2"/>
        <v>100</v>
      </c>
      <c r="X12" s="769"/>
      <c r="Y12" s="3038"/>
      <c r="Z12" s="55">
        <f t="shared" si="7"/>
        <v>111</v>
      </c>
      <c r="AA12" s="770">
        <f>D12/F12</f>
        <v>1</v>
      </c>
      <c r="AB12" s="770">
        <f>D12/H12</f>
        <v>1</v>
      </c>
      <c r="AC12" s="2666">
        <f>D12/J12</f>
        <v>1</v>
      </c>
    </row>
    <row r="13" spans="1:29" ht="15">
      <c r="A13" s="428"/>
      <c r="B13" s="2596">
        <v>111</v>
      </c>
      <c r="C13" s="434"/>
      <c r="D13" s="435">
        <v>100</v>
      </c>
      <c r="E13" s="432"/>
      <c r="F13" s="136">
        <f>SUMIF(73:73,E13,74:74)-SUMIF(73:73,C13,74:74)+100</f>
        <v>100</v>
      </c>
      <c r="G13" s="2667"/>
      <c r="H13" s="435">
        <f>SUMIF(73:73,G13,74:74)-SUMIF(73:73,C13,74:74)+100</f>
        <v>100</v>
      </c>
      <c r="I13" s="432"/>
      <c r="J13" s="435">
        <f>SUMIF(73:73,I13,74:74)-SUMIF(73:73,C13,74:74)+100</f>
        <v>100</v>
      </c>
      <c r="K13" s="613"/>
      <c r="L13" s="1140"/>
      <c r="M13" s="1131"/>
      <c r="N13" s="1131"/>
      <c r="O13" s="1131"/>
      <c r="P13" s="3205"/>
      <c r="Q13" s="1794">
        <f t="shared" si="6"/>
        <v>111</v>
      </c>
      <c r="R13" s="767" t="s">
        <v>17</v>
      </c>
      <c r="S13" s="768">
        <f t="shared" si="0"/>
        <v>100</v>
      </c>
      <c r="T13" s="767" t="s">
        <v>17</v>
      </c>
      <c r="U13" s="768">
        <f t="shared" si="1"/>
        <v>100</v>
      </c>
      <c r="V13" s="767" t="s">
        <v>17</v>
      </c>
      <c r="W13" s="768">
        <f t="shared" si="2"/>
        <v>100</v>
      </c>
      <c r="X13" s="769"/>
      <c r="Y13" s="3038"/>
      <c r="Z13" s="55">
        <f t="shared" si="7"/>
        <v>111</v>
      </c>
      <c r="AA13" s="770">
        <f t="shared" si="3"/>
        <v>1</v>
      </c>
      <c r="AB13" s="770">
        <f t="shared" si="4"/>
        <v>1</v>
      </c>
      <c r="AC13" s="2666">
        <f t="shared" si="5"/>
        <v>1</v>
      </c>
    </row>
    <row r="14" spans="1:29" ht="15.75" thickBot="1">
      <c r="A14" s="436"/>
      <c r="B14" s="2598">
        <v>111</v>
      </c>
      <c r="C14" s="437"/>
      <c r="D14" s="438">
        <v>100</v>
      </c>
      <c r="E14" s="627"/>
      <c r="F14" s="438">
        <f>SUMIF(75:75,E14,76:76)-SUMIF(75:75,C14,76:76)+100</f>
        <v>100</v>
      </c>
      <c r="G14" s="2667"/>
      <c r="H14" s="438">
        <f>SUMIF(75:75,G14,76:76)-SUMIF(75:75,C14,76:76)+100</f>
        <v>100</v>
      </c>
      <c r="I14" s="432"/>
      <c r="J14" s="438">
        <f>SUMIF(75:75,I14,76:76)-SUMIF(75:75,C14,76:76)+100</f>
        <v>100</v>
      </c>
      <c r="K14" s="613"/>
      <c r="L14" s="1140"/>
      <c r="M14" s="1131"/>
      <c r="N14" s="1131"/>
      <c r="O14" s="1131"/>
      <c r="P14" s="3205"/>
      <c r="Q14" s="1794">
        <f t="shared" si="6"/>
        <v>111</v>
      </c>
      <c r="R14" s="767" t="s">
        <v>17</v>
      </c>
      <c r="S14" s="768">
        <f t="shared" si="0"/>
        <v>100</v>
      </c>
      <c r="T14" s="767" t="s">
        <v>17</v>
      </c>
      <c r="U14" s="768">
        <f t="shared" si="1"/>
        <v>100</v>
      </c>
      <c r="V14" s="767" t="s">
        <v>17</v>
      </c>
      <c r="W14" s="768">
        <f t="shared" si="2"/>
        <v>100</v>
      </c>
      <c r="X14" s="769"/>
      <c r="Y14" s="3038"/>
      <c r="Z14" s="55">
        <f t="shared" si="7"/>
        <v>111</v>
      </c>
      <c r="AA14" s="770">
        <f t="shared" si="3"/>
        <v>1</v>
      </c>
      <c r="AB14" s="770">
        <f t="shared" si="4"/>
        <v>1</v>
      </c>
      <c r="AC14" s="2666">
        <f t="shared" si="5"/>
        <v>1</v>
      </c>
    </row>
    <row r="15" spans="1:29" ht="57">
      <c r="A15" s="440" t="s">
        <v>2554</v>
      </c>
      <c r="B15" s="628" t="s">
        <v>2681</v>
      </c>
      <c r="C15" s="2668" t="str">
        <f>估价对象房地状况!C5</f>
        <v>估价对象位于通州区马驹桥镇物流产业园周围，周边办公集聚程度一般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3" t="s">
        <v>2555</v>
      </c>
      <c r="Q15" s="1809" t="str">
        <f t="shared" si="6"/>
        <v>办公集聚程度</v>
      </c>
      <c r="R15" s="771" t="s">
        <v>17</v>
      </c>
      <c r="S15" s="772">
        <f t="shared" si="0"/>
        <v>100</v>
      </c>
      <c r="T15" s="771" t="s">
        <v>17</v>
      </c>
      <c r="U15" s="772">
        <f t="shared" si="1"/>
        <v>100</v>
      </c>
      <c r="V15" s="771" t="s">
        <v>17</v>
      </c>
      <c r="W15" s="772">
        <f t="shared" si="2"/>
        <v>100</v>
      </c>
      <c r="X15" s="1812"/>
      <c r="Y15" s="3226" t="s">
        <v>2555</v>
      </c>
      <c r="Z15" s="1813" t="str">
        <f t="shared" si="7"/>
        <v>办公集聚程度</v>
      </c>
      <c r="AA15" s="1810">
        <f t="shared" si="3"/>
        <v>1</v>
      </c>
      <c r="AB15" s="1810">
        <f t="shared" si="4"/>
        <v>1</v>
      </c>
      <c r="AC15" s="2669">
        <f t="shared" si="5"/>
        <v>1</v>
      </c>
    </row>
    <row r="16" spans="1:29" ht="15">
      <c r="A16" s="428"/>
      <c r="B16" s="629"/>
      <c r="C16" s="2607"/>
      <c r="D16" s="448"/>
      <c r="E16" s="447"/>
      <c r="F16" s="448"/>
      <c r="G16" s="2607"/>
      <c r="H16" s="450"/>
      <c r="I16" s="447"/>
      <c r="J16" s="448"/>
      <c r="K16" s="615"/>
      <c r="L16" s="1140"/>
      <c r="M16" s="1131"/>
      <c r="N16" s="1131"/>
      <c r="O16" s="1131"/>
      <c r="P16" s="3234"/>
      <c r="Q16" s="1809"/>
      <c r="R16" s="771"/>
      <c r="S16" s="772"/>
      <c r="T16" s="771"/>
      <c r="U16" s="772"/>
      <c r="V16" s="771"/>
      <c r="W16" s="772"/>
      <c r="X16" s="1812"/>
      <c r="Y16" s="3227"/>
      <c r="Z16" s="1813"/>
      <c r="AA16" s="1810">
        <v>1</v>
      </c>
      <c r="AB16" s="1810">
        <v>1</v>
      </c>
      <c r="AC16" s="2669">
        <v>1</v>
      </c>
    </row>
    <row r="17" spans="1:29" ht="71.25">
      <c r="A17" s="428"/>
      <c r="B17" s="630" t="s">
        <v>2094</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4"/>
      <c r="Q17" s="1809" t="str">
        <f>B17</f>
        <v>交通便捷度</v>
      </c>
      <c r="R17" s="771" t="s">
        <v>17</v>
      </c>
      <c r="S17" s="772">
        <f>F17</f>
        <v>100</v>
      </c>
      <c r="T17" s="771" t="s">
        <v>17</v>
      </c>
      <c r="U17" s="772">
        <f>H17</f>
        <v>100</v>
      </c>
      <c r="V17" s="771" t="s">
        <v>17</v>
      </c>
      <c r="W17" s="772">
        <f>J17</f>
        <v>100</v>
      </c>
      <c r="X17" s="1812"/>
      <c r="Y17" s="3227"/>
      <c r="Z17" s="1813" t="str">
        <f>Q17</f>
        <v>交通便捷度</v>
      </c>
      <c r="AA17" s="1810">
        <f t="shared" si="3"/>
        <v>1</v>
      </c>
      <c r="AB17" s="1810">
        <f t="shared" si="4"/>
        <v>1</v>
      </c>
      <c r="AC17" s="2669">
        <f t="shared" si="5"/>
        <v>1</v>
      </c>
    </row>
    <row r="18" spans="1:29" ht="15">
      <c r="A18" s="428"/>
      <c r="B18" s="631"/>
      <c r="C18" s="2671"/>
      <c r="D18" s="450"/>
      <c r="E18" s="2605"/>
      <c r="F18" s="450"/>
      <c r="G18" s="2606"/>
      <c r="H18" s="448"/>
      <c r="I18" s="2606"/>
      <c r="J18" s="448"/>
      <c r="K18" s="615"/>
      <c r="L18" s="1140"/>
      <c r="M18" s="1131"/>
      <c r="N18" s="1131"/>
      <c r="O18" s="1131"/>
      <c r="P18" s="3234"/>
      <c r="Q18" s="1809"/>
      <c r="R18" s="771"/>
      <c r="S18" s="772"/>
      <c r="T18" s="771"/>
      <c r="U18" s="772"/>
      <c r="V18" s="771"/>
      <c r="W18" s="772"/>
      <c r="X18" s="1812"/>
      <c r="Y18" s="3227"/>
      <c r="Z18" s="1813"/>
      <c r="AA18" s="1810">
        <v>1</v>
      </c>
      <c r="AB18" s="1810">
        <v>1</v>
      </c>
      <c r="AC18" s="2669">
        <v>1</v>
      </c>
    </row>
    <row r="19" spans="1:29" ht="42.75">
      <c r="A19" s="428"/>
      <c r="B19" s="630" t="s">
        <v>2682</v>
      </c>
      <c r="C19" s="2670"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4"/>
      <c r="Q19" s="1809" t="str">
        <f>B19</f>
        <v>公共配套设施</v>
      </c>
      <c r="R19" s="771" t="s">
        <v>17</v>
      </c>
      <c r="S19" s="772">
        <f>F19</f>
        <v>100</v>
      </c>
      <c r="T19" s="771" t="s">
        <v>17</v>
      </c>
      <c r="U19" s="772">
        <f>H19</f>
        <v>100</v>
      </c>
      <c r="V19" s="771" t="s">
        <v>17</v>
      </c>
      <c r="W19" s="772">
        <f>J19</f>
        <v>100</v>
      </c>
      <c r="X19" s="1812"/>
      <c r="Y19" s="3227"/>
      <c r="Z19" s="1813" t="str">
        <f>Q19</f>
        <v>公共配套设施</v>
      </c>
      <c r="AA19" s="1810">
        <f t="shared" si="3"/>
        <v>1</v>
      </c>
      <c r="AB19" s="1810">
        <f t="shared" si="4"/>
        <v>1</v>
      </c>
      <c r="AC19" s="2669">
        <f t="shared" si="5"/>
        <v>1</v>
      </c>
    </row>
    <row r="20" spans="1:29" ht="15">
      <c r="A20" s="428"/>
      <c r="B20" s="631"/>
      <c r="C20" s="2607"/>
      <c r="D20" s="448"/>
      <c r="E20" s="2600"/>
      <c r="F20" s="448"/>
      <c r="G20" s="2601"/>
      <c r="H20" s="448"/>
      <c r="I20" s="2601"/>
      <c r="J20" s="448"/>
      <c r="K20" s="615"/>
      <c r="L20" s="1140"/>
      <c r="M20" s="1131"/>
      <c r="N20" s="1131"/>
      <c r="O20" s="1131"/>
      <c r="P20" s="3234"/>
      <c r="Q20" s="1809"/>
      <c r="R20" s="771"/>
      <c r="S20" s="772"/>
      <c r="T20" s="771"/>
      <c r="U20" s="772"/>
      <c r="V20" s="771"/>
      <c r="W20" s="772"/>
      <c r="X20" s="1812"/>
      <c r="Y20" s="3227"/>
      <c r="Z20" s="1813"/>
      <c r="AA20" s="1810">
        <v>1</v>
      </c>
      <c r="AB20" s="1810">
        <v>1</v>
      </c>
      <c r="AC20" s="2669">
        <v>1</v>
      </c>
    </row>
    <row r="21" spans="1:29" ht="28.5">
      <c r="A21" s="428"/>
      <c r="B21" s="632" t="s">
        <v>2683</v>
      </c>
      <c r="C21" s="2670"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4"/>
      <c r="Q21" s="1809" t="str">
        <f>B21</f>
        <v>基础设施水平</v>
      </c>
      <c r="R21" s="771" t="s">
        <v>17</v>
      </c>
      <c r="S21" s="772">
        <f>F21</f>
        <v>100</v>
      </c>
      <c r="T21" s="771" t="s">
        <v>17</v>
      </c>
      <c r="U21" s="772">
        <f>H21</f>
        <v>100</v>
      </c>
      <c r="V21" s="771" t="s">
        <v>17</v>
      </c>
      <c r="W21" s="772">
        <f>J21</f>
        <v>100</v>
      </c>
      <c r="X21" s="1812"/>
      <c r="Y21" s="3227"/>
      <c r="Z21" s="1813" t="str">
        <f>Q21</f>
        <v>基础设施水平</v>
      </c>
      <c r="AA21" s="1810">
        <f t="shared" ref="AA21" si="8">D21/F21</f>
        <v>1</v>
      </c>
      <c r="AB21" s="1810">
        <f t="shared" ref="AB21" si="9">D21/H21</f>
        <v>1</v>
      </c>
      <c r="AC21" s="2669">
        <f t="shared" ref="AC21" si="10">D21/J21</f>
        <v>1</v>
      </c>
    </row>
    <row r="22" spans="1:29" ht="15">
      <c r="A22" s="428"/>
      <c r="B22" s="632"/>
      <c r="C22" s="2671"/>
      <c r="D22" s="448"/>
      <c r="E22" s="447"/>
      <c r="F22" s="448"/>
      <c r="G22" s="2607"/>
      <c r="H22" s="448"/>
      <c r="I22" s="2607"/>
      <c r="J22" s="448"/>
      <c r="K22" s="1383"/>
      <c r="L22" s="1140"/>
      <c r="M22" s="1131"/>
      <c r="N22" s="1131"/>
      <c r="O22" s="1131"/>
      <c r="P22" s="3234"/>
      <c r="Q22" s="1809"/>
      <c r="R22" s="771"/>
      <c r="S22" s="772"/>
      <c r="T22" s="771"/>
      <c r="U22" s="772"/>
      <c r="V22" s="771"/>
      <c r="W22" s="772"/>
      <c r="X22" s="1812"/>
      <c r="Y22" s="3227"/>
      <c r="Z22" s="1813"/>
      <c r="AA22" s="1810">
        <v>1</v>
      </c>
      <c r="AB22" s="1810">
        <v>1</v>
      </c>
      <c r="AC22" s="2669">
        <v>1</v>
      </c>
    </row>
    <row r="23" spans="1:29" ht="71.25">
      <c r="A23" s="428"/>
      <c r="B23" s="630" t="s">
        <v>2684</v>
      </c>
      <c r="C23" s="2670" t="str">
        <f>估价对象房地状况!C9</f>
        <v>区域自然环境：凉水河；人文环境：无高等院校等；综合评价环境状况一般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4"/>
      <c r="Q23" s="1809" t="str">
        <f>B23</f>
        <v>环境质量</v>
      </c>
      <c r="R23" s="771" t="s">
        <v>17</v>
      </c>
      <c r="S23" s="772">
        <f>F23</f>
        <v>100</v>
      </c>
      <c r="T23" s="771" t="s">
        <v>17</v>
      </c>
      <c r="U23" s="772">
        <f>H23</f>
        <v>100</v>
      </c>
      <c r="V23" s="771" t="s">
        <v>17</v>
      </c>
      <c r="W23" s="772">
        <f>J23</f>
        <v>100</v>
      </c>
      <c r="X23" s="1812"/>
      <c r="Y23" s="3227"/>
      <c r="Z23" s="1813" t="str">
        <f>Q23</f>
        <v>环境质量</v>
      </c>
      <c r="AA23" s="1810">
        <f t="shared" si="3"/>
        <v>1</v>
      </c>
      <c r="AB23" s="1810">
        <f t="shared" si="4"/>
        <v>1</v>
      </c>
      <c r="AC23" s="2669">
        <f t="shared" si="5"/>
        <v>1</v>
      </c>
    </row>
    <row r="24" spans="1:29" ht="15">
      <c r="A24" s="428"/>
      <c r="B24" s="632"/>
      <c r="C24" s="2607"/>
      <c r="D24" s="448"/>
      <c r="E24" s="2600"/>
      <c r="F24" s="448"/>
      <c r="G24" s="2601"/>
      <c r="H24" s="448"/>
      <c r="I24" s="2601"/>
      <c r="J24" s="448"/>
      <c r="K24" s="615"/>
      <c r="L24" s="1140"/>
      <c r="M24" s="1131"/>
      <c r="N24" s="1131"/>
      <c r="O24" s="1131"/>
      <c r="P24" s="3234"/>
      <c r="Q24" s="1809"/>
      <c r="R24" s="771"/>
      <c r="S24" s="772"/>
      <c r="T24" s="771"/>
      <c r="U24" s="772"/>
      <c r="V24" s="771"/>
      <c r="W24" s="772"/>
      <c r="X24" s="1812"/>
      <c r="Y24" s="3227"/>
      <c r="Z24" s="1813"/>
      <c r="AA24" s="1810">
        <v>1</v>
      </c>
      <c r="AB24" s="1810">
        <v>1</v>
      </c>
      <c r="AC24" s="2669">
        <v>1</v>
      </c>
    </row>
    <row r="25" spans="1:29" ht="27">
      <c r="A25" s="404"/>
      <c r="B25" s="630" t="s">
        <v>2685</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34"/>
      <c r="Q25" s="1809" t="str">
        <f>B25</f>
        <v>毗邻道路的类型与等级</v>
      </c>
      <c r="R25" s="771" t="s">
        <v>17</v>
      </c>
      <c r="S25" s="772">
        <f>F25</f>
        <v>100</v>
      </c>
      <c r="T25" s="771" t="s">
        <v>17</v>
      </c>
      <c r="U25" s="772">
        <f>H25</f>
        <v>100</v>
      </c>
      <c r="V25" s="771" t="s">
        <v>17</v>
      </c>
      <c r="W25" s="772">
        <f>J25</f>
        <v>100</v>
      </c>
      <c r="X25" s="1812"/>
      <c r="Y25" s="3227"/>
      <c r="Z25" s="1813" t="str">
        <f>Q25</f>
        <v>毗邻道路的类型与等级</v>
      </c>
      <c r="AA25" s="1810">
        <f t="shared" si="3"/>
        <v>1</v>
      </c>
      <c r="AB25" s="1810">
        <f t="shared" si="4"/>
        <v>1</v>
      </c>
      <c r="AC25" s="2669">
        <f t="shared" si="5"/>
        <v>1</v>
      </c>
    </row>
    <row r="26" spans="1:29" ht="15">
      <c r="A26" s="404"/>
      <c r="B26" s="631"/>
      <c r="C26" s="633"/>
      <c r="D26" s="435"/>
      <c r="E26" s="616"/>
      <c r="F26" s="435"/>
      <c r="G26" s="633"/>
      <c r="H26" s="435"/>
      <c r="I26" s="616"/>
      <c r="J26" s="435"/>
      <c r="K26" s="615"/>
      <c r="L26" s="1140"/>
      <c r="M26" s="1131"/>
      <c r="N26" s="1131"/>
      <c r="O26" s="1131"/>
      <c r="P26" s="3234"/>
      <c r="Q26" s="1809"/>
      <c r="R26" s="771"/>
      <c r="S26" s="772"/>
      <c r="T26" s="771"/>
      <c r="U26" s="772"/>
      <c r="V26" s="771"/>
      <c r="W26" s="772"/>
      <c r="X26" s="1812"/>
      <c r="Y26" s="3227"/>
      <c r="Z26" s="1813"/>
      <c r="AA26" s="1810">
        <v>1</v>
      </c>
      <c r="AB26" s="1810">
        <v>1</v>
      </c>
      <c r="AC26" s="2669">
        <v>1</v>
      </c>
    </row>
    <row r="27" spans="1:29" ht="15">
      <c r="A27" s="428"/>
      <c r="B27" s="631" t="s">
        <v>2653</v>
      </c>
      <c r="C27" s="633"/>
      <c r="D27" s="435">
        <v>100</v>
      </c>
      <c r="E27" s="616"/>
      <c r="F27" s="435">
        <f>SUMIF(89:89,E27,90:90)-SUMIF(89:89,C27,90:90)+100</f>
        <v>100</v>
      </c>
      <c r="G27" s="633"/>
      <c r="H27" s="435">
        <f>SUMIF(89:89,G27,90:90)-SUMIF(89:89,C27,90:90)+100</f>
        <v>100</v>
      </c>
      <c r="I27" s="616"/>
      <c r="J27" s="435">
        <f>SUMIF(89:89,I27,90:90)-SUMIF(89:89,C27,90:90)+100</f>
        <v>100</v>
      </c>
      <c r="K27" s="612"/>
      <c r="L27" s="1140"/>
      <c r="M27" s="1131"/>
      <c r="N27" s="1131"/>
      <c r="O27" s="1131"/>
      <c r="P27" s="3234"/>
      <c r="Q27" s="1809" t="str">
        <f t="shared" ref="Q27:Q47" si="11">B27</f>
        <v>楼层</v>
      </c>
      <c r="R27" s="771" t="s">
        <v>17</v>
      </c>
      <c r="S27" s="772">
        <f>F27</f>
        <v>100</v>
      </c>
      <c r="T27" s="771" t="s">
        <v>17</v>
      </c>
      <c r="U27" s="772">
        <f>H27</f>
        <v>100</v>
      </c>
      <c r="V27" s="771" t="s">
        <v>17</v>
      </c>
      <c r="W27" s="772">
        <f>J27</f>
        <v>100</v>
      </c>
      <c r="X27" s="1812"/>
      <c r="Y27" s="3227"/>
      <c r="Z27" s="1813" t="str">
        <f>Q27</f>
        <v>楼层</v>
      </c>
      <c r="AA27" s="1810">
        <f t="shared" si="3"/>
        <v>1</v>
      </c>
      <c r="AB27" s="1810">
        <f t="shared" si="4"/>
        <v>1</v>
      </c>
      <c r="AC27" s="2669">
        <f t="shared" si="5"/>
        <v>1</v>
      </c>
    </row>
    <row r="28" spans="1:29" s="117" customFormat="1" ht="15">
      <c r="A28" s="431"/>
      <c r="B28" s="630" t="s">
        <v>2686</v>
      </c>
      <c r="C28" s="2672"/>
      <c r="D28" s="462">
        <v>100</v>
      </c>
      <c r="E28" s="2660"/>
      <c r="F28" s="462">
        <f>SUMIF(91:91,E28,92:92)-SUMIF(91:91,C28,92:92)+100</f>
        <v>100</v>
      </c>
      <c r="G28" s="2672"/>
      <c r="H28" s="462">
        <f>SUMIF(91:91,G28,92:92)-SUMIF(91:91,C28,92:92)+100</f>
        <v>100</v>
      </c>
      <c r="I28" s="2660"/>
      <c r="J28" s="462">
        <f>SUMIF(91:91,I28,92:92)-SUMIF(91:91,C28,92:92)+100</f>
        <v>100</v>
      </c>
      <c r="K28" s="612"/>
      <c r="L28" s="1132"/>
      <c r="M28" s="1133"/>
      <c r="N28" s="1133"/>
      <c r="O28" s="1133"/>
      <c r="P28" s="3234"/>
      <c r="Q28" s="1794" t="str">
        <f t="shared" si="11"/>
        <v>朝向</v>
      </c>
      <c r="R28" s="767" t="s">
        <v>17</v>
      </c>
      <c r="S28" s="768">
        <f>F28</f>
        <v>100</v>
      </c>
      <c r="T28" s="767" t="s">
        <v>17</v>
      </c>
      <c r="U28" s="768">
        <f>H28</f>
        <v>100</v>
      </c>
      <c r="V28" s="767" t="s">
        <v>17</v>
      </c>
      <c r="W28" s="768">
        <f>J28</f>
        <v>100</v>
      </c>
      <c r="X28" s="769"/>
      <c r="Y28" s="3227"/>
      <c r="Z28" s="55" t="str">
        <f>Q28</f>
        <v>朝向</v>
      </c>
      <c r="AA28" s="1810">
        <f>D28/F28</f>
        <v>1</v>
      </c>
      <c r="AB28" s="1810">
        <f>D28/H28</f>
        <v>1</v>
      </c>
      <c r="AC28" s="2669">
        <f>D28/J28</f>
        <v>1</v>
      </c>
    </row>
    <row r="29" spans="1:29" ht="15">
      <c r="A29" s="428"/>
      <c r="B29" s="2673">
        <v>111</v>
      </c>
      <c r="C29" s="2611"/>
      <c r="D29" s="435">
        <v>100</v>
      </c>
      <c r="E29" s="432"/>
      <c r="F29" s="435">
        <f>SUMIF(93:93,E29,94:94)-SUMIF(93:93,C29,94:94)+100</f>
        <v>100</v>
      </c>
      <c r="G29" s="2667"/>
      <c r="H29" s="435">
        <f>SUMIF(93:93,G29,94:94)-SUMIF(93:93,C29,94:94)+100</f>
        <v>100</v>
      </c>
      <c r="I29" s="432"/>
      <c r="J29" s="435">
        <f>SUMIF(93:93,I29,94:94)-SUMIF(93:93,C29,94:94)+100</f>
        <v>100</v>
      </c>
      <c r="K29" s="613"/>
      <c r="L29" s="1140"/>
      <c r="M29" s="1131"/>
      <c r="N29" s="1131"/>
      <c r="O29" s="1131"/>
      <c r="P29" s="3234"/>
      <c r="Q29" s="1809">
        <f t="shared" si="11"/>
        <v>111</v>
      </c>
      <c r="R29" s="771" t="s">
        <v>17</v>
      </c>
      <c r="S29" s="772">
        <f t="shared" ref="S29:S47" si="12">F29</f>
        <v>100</v>
      </c>
      <c r="T29" s="771" t="s">
        <v>17</v>
      </c>
      <c r="U29" s="772">
        <f t="shared" ref="U29:U47" si="13">H29</f>
        <v>100</v>
      </c>
      <c r="V29" s="771" t="s">
        <v>17</v>
      </c>
      <c r="W29" s="772">
        <f t="shared" ref="W29:W47" si="14">J29</f>
        <v>100</v>
      </c>
      <c r="X29" s="1812"/>
      <c r="Y29" s="3227"/>
      <c r="Z29" s="1813">
        <f t="shared" ref="Z29:Z47" si="15">Q29</f>
        <v>111</v>
      </c>
      <c r="AA29" s="1810">
        <f t="shared" si="3"/>
        <v>1</v>
      </c>
      <c r="AB29" s="1810">
        <f t="shared" si="4"/>
        <v>1</v>
      </c>
      <c r="AC29" s="2669">
        <f t="shared" si="5"/>
        <v>1</v>
      </c>
    </row>
    <row r="30" spans="1:29" ht="15">
      <c r="A30" s="428"/>
      <c r="B30" s="2673">
        <v>111</v>
      </c>
      <c r="C30" s="2611"/>
      <c r="D30" s="435">
        <v>100</v>
      </c>
      <c r="E30" s="432"/>
      <c r="F30" s="435">
        <f>SUMIF(95:95,E30,96:96)-SUMIF(95:95,C30,96:96)+100</f>
        <v>100</v>
      </c>
      <c r="G30" s="2667"/>
      <c r="H30" s="435">
        <f>SUMIF(95:95,G30,96:96)-SUMIF(95:95,C30,96:96)+100</f>
        <v>100</v>
      </c>
      <c r="I30" s="432"/>
      <c r="J30" s="435">
        <f>SUMIF(95:95,I30,96:96)-SUMIF(95:95,C30,96:96)+100</f>
        <v>100</v>
      </c>
      <c r="K30" s="613"/>
      <c r="L30" s="1140"/>
      <c r="M30" s="1131"/>
      <c r="N30" s="1131"/>
      <c r="O30" s="1131"/>
      <c r="P30" s="3234"/>
      <c r="Q30" s="1809">
        <f t="shared" si="11"/>
        <v>111</v>
      </c>
      <c r="R30" s="771" t="s">
        <v>17</v>
      </c>
      <c r="S30" s="772">
        <f t="shared" si="12"/>
        <v>100</v>
      </c>
      <c r="T30" s="771" t="s">
        <v>17</v>
      </c>
      <c r="U30" s="772">
        <f t="shared" si="13"/>
        <v>100</v>
      </c>
      <c r="V30" s="771" t="s">
        <v>17</v>
      </c>
      <c r="W30" s="772">
        <f t="shared" si="14"/>
        <v>100</v>
      </c>
      <c r="X30" s="1812"/>
      <c r="Y30" s="3227"/>
      <c r="Z30" s="1813">
        <f t="shared" si="15"/>
        <v>111</v>
      </c>
      <c r="AA30" s="1810">
        <f t="shared" si="3"/>
        <v>1</v>
      </c>
      <c r="AB30" s="1810">
        <f t="shared" si="4"/>
        <v>1</v>
      </c>
      <c r="AC30" s="2669">
        <f t="shared" si="5"/>
        <v>1</v>
      </c>
    </row>
    <row r="31" spans="1:29" ht="15">
      <c r="A31" s="428"/>
      <c r="B31" s="2673">
        <v>111</v>
      </c>
      <c r="C31" s="2611"/>
      <c r="D31" s="435">
        <v>100</v>
      </c>
      <c r="E31" s="432"/>
      <c r="F31" s="435">
        <f>SUMIF(97:97,E31,98:98)-SUMIF(97:97,C31,98:98)+100</f>
        <v>100</v>
      </c>
      <c r="G31" s="2667"/>
      <c r="H31" s="435">
        <f>SUMIF(97:97,G31,98:98)-SUMIF(97:97,C31,98:98)+100</f>
        <v>100</v>
      </c>
      <c r="I31" s="432"/>
      <c r="J31" s="435">
        <f>SUMIF(97:97,I31,98:98)-SUMIF(97:97,C31,98:98)+100</f>
        <v>100</v>
      </c>
      <c r="K31" s="613"/>
      <c r="L31" s="1140"/>
      <c r="M31" s="1131"/>
      <c r="N31" s="1131"/>
      <c r="O31" s="1131"/>
      <c r="P31" s="3234"/>
      <c r="Q31" s="1809">
        <f t="shared" si="11"/>
        <v>111</v>
      </c>
      <c r="R31" s="771" t="s">
        <v>17</v>
      </c>
      <c r="S31" s="772">
        <f t="shared" si="12"/>
        <v>100</v>
      </c>
      <c r="T31" s="771" t="s">
        <v>17</v>
      </c>
      <c r="U31" s="772">
        <f t="shared" si="13"/>
        <v>100</v>
      </c>
      <c r="V31" s="771" t="s">
        <v>17</v>
      </c>
      <c r="W31" s="772">
        <f t="shared" si="14"/>
        <v>100</v>
      </c>
      <c r="X31" s="1812"/>
      <c r="Y31" s="3227"/>
      <c r="Z31" s="1813">
        <f t="shared" si="15"/>
        <v>111</v>
      </c>
      <c r="AA31" s="1810">
        <f t="shared" si="3"/>
        <v>1</v>
      </c>
      <c r="AB31" s="1810">
        <f t="shared" si="4"/>
        <v>1</v>
      </c>
      <c r="AC31" s="2669">
        <f t="shared" si="5"/>
        <v>1</v>
      </c>
    </row>
    <row r="32" spans="1:29" ht="15.75" thickBot="1">
      <c r="A32" s="436"/>
      <c r="B32" s="634">
        <v>111</v>
      </c>
      <c r="C32" s="2612"/>
      <c r="D32" s="438">
        <v>100</v>
      </c>
      <c r="E32" s="627"/>
      <c r="F32" s="438">
        <f>SUMIF(99:99,E32,100:100)-SUMIF(99:99,C32,100:100)+100</f>
        <v>100</v>
      </c>
      <c r="G32" s="2667"/>
      <c r="H32" s="438">
        <f>SUMIF(99:99,G32,100:100)-SUMIF(99:99,C32,100:100)+100</f>
        <v>100</v>
      </c>
      <c r="I32" s="432"/>
      <c r="J32" s="438">
        <f>SUMIF(99:99,I32,100:100)-SUMIF(99:99,C32,100:100)+100</f>
        <v>100</v>
      </c>
      <c r="K32" s="613"/>
      <c r="L32" s="1140"/>
      <c r="M32" s="1131"/>
      <c r="N32" s="1131"/>
      <c r="O32" s="1131"/>
      <c r="P32" s="3234"/>
      <c r="Q32" s="1809">
        <f t="shared" si="11"/>
        <v>111</v>
      </c>
      <c r="R32" s="771" t="s">
        <v>17</v>
      </c>
      <c r="S32" s="772">
        <f t="shared" si="12"/>
        <v>100</v>
      </c>
      <c r="T32" s="771" t="s">
        <v>17</v>
      </c>
      <c r="U32" s="772">
        <f t="shared" si="13"/>
        <v>100</v>
      </c>
      <c r="V32" s="771" t="s">
        <v>17</v>
      </c>
      <c r="W32" s="772">
        <f t="shared" si="14"/>
        <v>100</v>
      </c>
      <c r="X32" s="1812"/>
      <c r="Y32" s="3227"/>
      <c r="Z32" s="1813">
        <f t="shared" si="15"/>
        <v>111</v>
      </c>
      <c r="AA32" s="1810">
        <f t="shared" si="3"/>
        <v>1</v>
      </c>
      <c r="AB32" s="1810">
        <f t="shared" si="4"/>
        <v>1</v>
      </c>
      <c r="AC32" s="2669">
        <f t="shared" si="5"/>
        <v>1</v>
      </c>
    </row>
    <row r="33" spans="1:29" ht="15">
      <c r="A33" s="440" t="s">
        <v>2558</v>
      </c>
      <c r="B33" s="71" t="s">
        <v>2687</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0"/>
      <c r="M33" s="1131"/>
      <c r="N33" s="1131"/>
      <c r="O33" s="1131"/>
      <c r="P33" s="3228" t="s">
        <v>2560</v>
      </c>
      <c r="Q33" s="1809" t="str">
        <f t="shared" si="11"/>
        <v>建筑类型</v>
      </c>
      <c r="R33" s="771" t="s">
        <v>17</v>
      </c>
      <c r="S33" s="772">
        <f t="shared" si="12"/>
        <v>100</v>
      </c>
      <c r="T33" s="771" t="s">
        <v>17</v>
      </c>
      <c r="U33" s="772">
        <f t="shared" si="13"/>
        <v>100</v>
      </c>
      <c r="V33" s="771" t="s">
        <v>17</v>
      </c>
      <c r="W33" s="772">
        <f t="shared" si="14"/>
        <v>100</v>
      </c>
      <c r="X33" s="1812"/>
      <c r="Y33" s="3231" t="s">
        <v>2560</v>
      </c>
      <c r="Z33" s="1813" t="str">
        <f t="shared" si="15"/>
        <v>建筑类型</v>
      </c>
      <c r="AA33" s="1810">
        <f t="shared" si="3"/>
        <v>1</v>
      </c>
      <c r="AB33" s="1810">
        <f t="shared" si="4"/>
        <v>1</v>
      </c>
      <c r="AC33" s="2669">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9"/>
      <c r="Q34" s="773" t="str">
        <f t="shared" si="11"/>
        <v>项目建筑规模</v>
      </c>
      <c r="R34" s="774" t="s">
        <v>17</v>
      </c>
      <c r="S34" s="775" t="e">
        <f t="shared" si="12"/>
        <v>#N/A</v>
      </c>
      <c r="T34" s="774" t="s">
        <v>17</v>
      </c>
      <c r="U34" s="775" t="e">
        <f t="shared" si="13"/>
        <v>#N/A</v>
      </c>
      <c r="V34" s="774" t="s">
        <v>17</v>
      </c>
      <c r="W34" s="775" t="e">
        <f t="shared" si="14"/>
        <v>#N/A</v>
      </c>
      <c r="X34" s="776"/>
      <c r="Y34" s="3231"/>
      <c r="Z34" s="777" t="str">
        <f t="shared" si="15"/>
        <v>项目建筑规模</v>
      </c>
      <c r="AA34" s="1810" t="e">
        <f t="shared" si="3"/>
        <v>#N/A</v>
      </c>
      <c r="AB34" s="1810" t="e">
        <f t="shared" si="4"/>
        <v>#N/A</v>
      </c>
      <c r="AC34" s="2669"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9"/>
      <c r="Q35" s="1809" t="str">
        <f t="shared" si="11"/>
        <v>建筑结构</v>
      </c>
      <c r="R35" s="771" t="s">
        <v>17</v>
      </c>
      <c r="S35" s="772">
        <f t="shared" si="12"/>
        <v>100</v>
      </c>
      <c r="T35" s="771" t="s">
        <v>17</v>
      </c>
      <c r="U35" s="772">
        <f t="shared" si="13"/>
        <v>100</v>
      </c>
      <c r="V35" s="771" t="s">
        <v>17</v>
      </c>
      <c r="W35" s="772">
        <f t="shared" si="14"/>
        <v>100</v>
      </c>
      <c r="X35" s="1812"/>
      <c r="Y35" s="3231"/>
      <c r="Z35" s="1813" t="str">
        <f t="shared" si="15"/>
        <v>建筑结构</v>
      </c>
      <c r="AA35" s="1810">
        <f t="shared" si="3"/>
        <v>1</v>
      </c>
      <c r="AB35" s="1810">
        <f t="shared" si="4"/>
        <v>1</v>
      </c>
      <c r="AC35" s="2669">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9"/>
      <c r="Q36" s="1809" t="str">
        <f t="shared" si="11"/>
        <v>公共部分装修</v>
      </c>
      <c r="R36" s="771" t="s">
        <v>17</v>
      </c>
      <c r="S36" s="772">
        <f t="shared" si="12"/>
        <v>100</v>
      </c>
      <c r="T36" s="771" t="s">
        <v>17</v>
      </c>
      <c r="U36" s="772">
        <f t="shared" si="13"/>
        <v>100</v>
      </c>
      <c r="V36" s="771" t="s">
        <v>17</v>
      </c>
      <c r="W36" s="772">
        <f t="shared" si="14"/>
        <v>100</v>
      </c>
      <c r="X36" s="1812"/>
      <c r="Y36" s="3231"/>
      <c r="Z36" s="1813" t="str">
        <f t="shared" si="15"/>
        <v>公共部分装修</v>
      </c>
      <c r="AA36" s="1810">
        <f t="shared" si="3"/>
        <v>1</v>
      </c>
      <c r="AB36" s="1810">
        <f t="shared" si="4"/>
        <v>1</v>
      </c>
      <c r="AC36" s="2669">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9"/>
      <c r="Q37" s="1809" t="str">
        <f t="shared" si="11"/>
        <v>成新度</v>
      </c>
      <c r="R37" s="771" t="s">
        <v>17</v>
      </c>
      <c r="S37" s="772" t="e">
        <f t="shared" si="12"/>
        <v>#N/A</v>
      </c>
      <c r="T37" s="771" t="s">
        <v>17</v>
      </c>
      <c r="U37" s="772" t="e">
        <f t="shared" si="13"/>
        <v>#N/A</v>
      </c>
      <c r="V37" s="771" t="s">
        <v>17</v>
      </c>
      <c r="W37" s="772" t="e">
        <f t="shared" si="14"/>
        <v>#N/A</v>
      </c>
      <c r="X37" s="1812"/>
      <c r="Y37" s="3231"/>
      <c r="Z37" s="1813" t="str">
        <f t="shared" si="15"/>
        <v>成新度</v>
      </c>
      <c r="AA37" s="1810" t="e">
        <f t="shared" si="3"/>
        <v>#N/A</v>
      </c>
      <c r="AB37" s="1810" t="e">
        <f t="shared" si="4"/>
        <v>#N/A</v>
      </c>
      <c r="AC37" s="2669"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9"/>
      <c r="Q38" s="1794" t="str">
        <f t="shared" si="11"/>
        <v>写字楼等级</v>
      </c>
      <c r="R38" s="767" t="s">
        <v>17</v>
      </c>
      <c r="S38" s="768">
        <f t="shared" si="12"/>
        <v>100</v>
      </c>
      <c r="T38" s="767" t="s">
        <v>17</v>
      </c>
      <c r="U38" s="768">
        <f t="shared" si="13"/>
        <v>100</v>
      </c>
      <c r="V38" s="767" t="s">
        <v>17</v>
      </c>
      <c r="W38" s="768">
        <f t="shared" si="14"/>
        <v>100</v>
      </c>
      <c r="X38" s="769"/>
      <c r="Y38" s="3231"/>
      <c r="Z38" s="55" t="str">
        <f t="shared" si="15"/>
        <v>写字楼等级</v>
      </c>
      <c r="AA38" s="770">
        <f t="shared" si="3"/>
        <v>1</v>
      </c>
      <c r="AB38" s="770">
        <f t="shared" si="4"/>
        <v>1</v>
      </c>
      <c r="AC38" s="2666">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9" t="s">
        <v>2560</v>
      </c>
      <c r="Q39" s="1809" t="str">
        <f t="shared" si="11"/>
        <v>物业管理</v>
      </c>
      <c r="R39" s="771" t="s">
        <v>17</v>
      </c>
      <c r="S39" s="772">
        <f t="shared" si="12"/>
        <v>100</v>
      </c>
      <c r="T39" s="771" t="s">
        <v>17</v>
      </c>
      <c r="U39" s="772">
        <f t="shared" si="13"/>
        <v>100</v>
      </c>
      <c r="V39" s="771" t="s">
        <v>17</v>
      </c>
      <c r="W39" s="772">
        <f t="shared" si="14"/>
        <v>100</v>
      </c>
      <c r="X39" s="1812"/>
      <c r="Y39" s="3231" t="s">
        <v>2560</v>
      </c>
      <c r="Z39" s="1813" t="str">
        <f t="shared" si="15"/>
        <v>物业管理</v>
      </c>
      <c r="AA39" s="1810">
        <f t="shared" si="3"/>
        <v>1</v>
      </c>
      <c r="AB39" s="1810">
        <f t="shared" si="4"/>
        <v>1</v>
      </c>
      <c r="AC39" s="2669">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9"/>
      <c r="Q40" s="1809" t="str">
        <f t="shared" si="11"/>
        <v>市政基础设施</v>
      </c>
      <c r="R40" s="771" t="s">
        <v>17</v>
      </c>
      <c r="S40" s="772">
        <f t="shared" si="12"/>
        <v>100</v>
      </c>
      <c r="T40" s="771" t="s">
        <v>17</v>
      </c>
      <c r="U40" s="772">
        <f t="shared" si="13"/>
        <v>100</v>
      </c>
      <c r="V40" s="771" t="s">
        <v>17</v>
      </c>
      <c r="W40" s="772">
        <f t="shared" si="14"/>
        <v>100</v>
      </c>
      <c r="X40" s="1812"/>
      <c r="Y40" s="3231"/>
      <c r="Z40" s="1813" t="str">
        <f t="shared" si="15"/>
        <v>市政基础设施</v>
      </c>
      <c r="AA40" s="1810">
        <f t="shared" si="3"/>
        <v>1</v>
      </c>
      <c r="AB40" s="1810">
        <f t="shared" si="4"/>
        <v>1</v>
      </c>
      <c r="AC40" s="2669">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9"/>
      <c r="Q41" s="1809" t="str">
        <f t="shared" si="11"/>
        <v>层高</v>
      </c>
      <c r="R41" s="771" t="s">
        <v>17</v>
      </c>
      <c r="S41" s="772">
        <f t="shared" si="12"/>
        <v>100</v>
      </c>
      <c r="T41" s="771" t="s">
        <v>17</v>
      </c>
      <c r="U41" s="772">
        <f t="shared" si="13"/>
        <v>100</v>
      </c>
      <c r="V41" s="771" t="s">
        <v>17</v>
      </c>
      <c r="W41" s="772">
        <f t="shared" si="14"/>
        <v>100</v>
      </c>
      <c r="X41" s="1812"/>
      <c r="Y41" s="3231"/>
      <c r="Z41" s="1813" t="str">
        <f t="shared" si="15"/>
        <v>层高</v>
      </c>
      <c r="AA41" s="1810">
        <f t="shared" si="3"/>
        <v>1</v>
      </c>
      <c r="AB41" s="1810">
        <f t="shared" si="4"/>
        <v>1</v>
      </c>
      <c r="AC41" s="2669">
        <f t="shared" si="5"/>
        <v>1</v>
      </c>
    </row>
    <row r="42" spans="1:29" s="471" customFormat="1" ht="15">
      <c r="A42" s="468"/>
      <c r="B42" s="1811"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9"/>
      <c r="Q42" s="773" t="str">
        <f t="shared" si="11"/>
        <v>单套建筑面积</v>
      </c>
      <c r="R42" s="774" t="s">
        <v>17</v>
      </c>
      <c r="S42" s="775">
        <f t="shared" si="12"/>
        <v>100</v>
      </c>
      <c r="T42" s="774" t="s">
        <v>17</v>
      </c>
      <c r="U42" s="775">
        <f t="shared" si="13"/>
        <v>100</v>
      </c>
      <c r="V42" s="774" t="s">
        <v>17</v>
      </c>
      <c r="W42" s="775">
        <f t="shared" si="14"/>
        <v>100</v>
      </c>
      <c r="X42" s="776"/>
      <c r="Y42" s="3231"/>
      <c r="Z42" s="777" t="str">
        <f t="shared" si="15"/>
        <v>单套建筑面积</v>
      </c>
      <c r="AA42" s="1810">
        <f t="shared" si="3"/>
        <v>1</v>
      </c>
      <c r="AB42" s="1810">
        <f t="shared" si="4"/>
        <v>1</v>
      </c>
      <c r="AC42" s="2669">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9"/>
      <c r="Q43" s="1809" t="str">
        <f t="shared" si="11"/>
        <v>内部装修</v>
      </c>
      <c r="R43" s="771" t="s">
        <v>17</v>
      </c>
      <c r="S43" s="772">
        <f t="shared" si="12"/>
        <v>100</v>
      </c>
      <c r="T43" s="771" t="s">
        <v>17</v>
      </c>
      <c r="U43" s="772">
        <f t="shared" si="13"/>
        <v>100</v>
      </c>
      <c r="V43" s="771" t="s">
        <v>17</v>
      </c>
      <c r="W43" s="772">
        <f t="shared" si="14"/>
        <v>100</v>
      </c>
      <c r="X43" s="1812"/>
      <c r="Y43" s="3231"/>
      <c r="Z43" s="1813" t="str">
        <f t="shared" si="15"/>
        <v>内部装修</v>
      </c>
      <c r="AA43" s="1810">
        <f t="shared" si="3"/>
        <v>1</v>
      </c>
      <c r="AB43" s="1810">
        <f t="shared" si="4"/>
        <v>1</v>
      </c>
      <c r="AC43" s="2669">
        <f t="shared" si="5"/>
        <v>1</v>
      </c>
    </row>
    <row r="44" spans="1:29" ht="15">
      <c r="A44" s="472"/>
      <c r="B44" s="422" t="s">
        <v>2571</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29"/>
      <c r="Q44" s="1809" t="str">
        <f t="shared" si="11"/>
        <v>内部装修维护情况</v>
      </c>
      <c r="R44" s="771" t="s">
        <v>17</v>
      </c>
      <c r="S44" s="772">
        <f t="shared" si="12"/>
        <v>100</v>
      </c>
      <c r="T44" s="771" t="s">
        <v>17</v>
      </c>
      <c r="U44" s="772">
        <f t="shared" si="13"/>
        <v>100</v>
      </c>
      <c r="V44" s="771" t="s">
        <v>17</v>
      </c>
      <c r="W44" s="772">
        <f t="shared" si="14"/>
        <v>100</v>
      </c>
      <c r="X44" s="1812"/>
      <c r="Y44" s="3231"/>
      <c r="Z44" s="1813" t="str">
        <f t="shared" si="15"/>
        <v>内部装修维护情况</v>
      </c>
      <c r="AA44" s="1810">
        <f t="shared" si="3"/>
        <v>1</v>
      </c>
      <c r="AB44" s="1810">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9"/>
      <c r="Q45" s="1794">
        <f t="shared" si="11"/>
        <v>111</v>
      </c>
      <c r="R45" s="767" t="s">
        <v>17</v>
      </c>
      <c r="S45" s="768">
        <f t="shared" si="12"/>
        <v>100</v>
      </c>
      <c r="T45" s="767" t="s">
        <v>17</v>
      </c>
      <c r="U45" s="768">
        <f t="shared" si="13"/>
        <v>100</v>
      </c>
      <c r="V45" s="767" t="s">
        <v>17</v>
      </c>
      <c r="W45" s="768">
        <f t="shared" si="14"/>
        <v>100</v>
      </c>
      <c r="X45" s="769"/>
      <c r="Y45" s="3231"/>
      <c r="Z45" s="55">
        <f t="shared" si="15"/>
        <v>111</v>
      </c>
      <c r="AA45" s="770">
        <f t="shared" si="3"/>
        <v>1</v>
      </c>
      <c r="AB45" s="770">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9"/>
      <c r="Q46" s="1809">
        <f t="shared" si="11"/>
        <v>111</v>
      </c>
      <c r="R46" s="771" t="s">
        <v>17</v>
      </c>
      <c r="S46" s="772">
        <f t="shared" si="12"/>
        <v>100</v>
      </c>
      <c r="T46" s="771" t="s">
        <v>17</v>
      </c>
      <c r="U46" s="772">
        <f t="shared" si="13"/>
        <v>100</v>
      </c>
      <c r="V46" s="771" t="s">
        <v>17</v>
      </c>
      <c r="W46" s="772">
        <f t="shared" si="14"/>
        <v>100</v>
      </c>
      <c r="X46" s="1812"/>
      <c r="Y46" s="3231"/>
      <c r="Z46" s="1813">
        <f t="shared" si="15"/>
        <v>111</v>
      </c>
      <c r="AA46" s="1810">
        <f t="shared" si="3"/>
        <v>1</v>
      </c>
      <c r="AB46" s="1810">
        <f t="shared" si="4"/>
        <v>1</v>
      </c>
      <c r="AC46" s="2669">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0"/>
      <c r="Q47" s="1809">
        <f t="shared" si="11"/>
        <v>111</v>
      </c>
      <c r="R47" s="771" t="s">
        <v>17</v>
      </c>
      <c r="S47" s="772">
        <f t="shared" si="12"/>
        <v>100</v>
      </c>
      <c r="T47" s="771" t="s">
        <v>17</v>
      </c>
      <c r="U47" s="772">
        <f t="shared" si="13"/>
        <v>100</v>
      </c>
      <c r="V47" s="771" t="s">
        <v>17</v>
      </c>
      <c r="W47" s="772">
        <f t="shared" si="14"/>
        <v>100</v>
      </c>
      <c r="X47" s="1812"/>
      <c r="Y47" s="3232"/>
      <c r="Z47" s="1813">
        <f t="shared" si="15"/>
        <v>111</v>
      </c>
      <c r="AA47" s="1810">
        <f t="shared" si="3"/>
        <v>1</v>
      </c>
      <c r="AB47" s="1810">
        <f t="shared" si="4"/>
        <v>1</v>
      </c>
      <c r="AC47" s="2669">
        <f t="shared" si="5"/>
        <v>1</v>
      </c>
    </row>
    <row r="48" spans="1:29" ht="15">
      <c r="A48" s="479" t="s">
        <v>2572</v>
      </c>
      <c r="B48" s="480"/>
      <c r="C48" s="1407" t="s">
        <v>1</v>
      </c>
      <c r="D48" s="1408"/>
      <c r="E48" s="1409"/>
      <c r="F48" s="1410"/>
      <c r="G48" s="1411"/>
      <c r="H48" s="1412"/>
      <c r="I48" s="1409"/>
      <c r="J48" s="485"/>
      <c r="K48" s="780"/>
      <c r="L48" s="1143"/>
      <c r="M48" s="1131"/>
      <c r="N48" s="1131"/>
      <c r="O48" s="1131"/>
      <c r="P48" s="3205" t="str">
        <f>A48</f>
        <v>成交单价（元/平方米）</v>
      </c>
      <c r="Q48" s="3224"/>
      <c r="R48" s="3225">
        <f>E48</f>
        <v>0</v>
      </c>
      <c r="S48" s="3225"/>
      <c r="T48" s="3225">
        <f>G48</f>
        <v>0</v>
      </c>
      <c r="U48" s="3225"/>
      <c r="V48" s="3225">
        <f>I48</f>
        <v>0</v>
      </c>
      <c r="W48" s="3225"/>
      <c r="X48" s="446"/>
      <c r="Y48" s="778"/>
      <c r="Z48" s="446"/>
      <c r="AA48" s="446"/>
      <c r="AB48" s="446"/>
      <c r="AC48" s="629"/>
    </row>
    <row r="49" spans="1:29" ht="15.75" thickBot="1">
      <c r="A49" s="486" t="s">
        <v>2663</v>
      </c>
      <c r="B49" s="487"/>
      <c r="C49" s="1413" t="e">
        <f>R50</f>
        <v>#DIV/0!</v>
      </c>
      <c r="D49" s="1414"/>
      <c r="E49" s="1415" t="e">
        <f>R49</f>
        <v>#DIV/0!</v>
      </c>
      <c r="F49" s="1415"/>
      <c r="G49" s="1413" t="e">
        <f>T49</f>
        <v>#DIV/0!</v>
      </c>
      <c r="H49" s="1414"/>
      <c r="I49" s="1415" t="e">
        <f>V49</f>
        <v>#DIV/0!</v>
      </c>
      <c r="J49" s="489"/>
      <c r="K49" s="781"/>
      <c r="L49" s="1143"/>
      <c r="M49" s="1131"/>
      <c r="N49" s="1131"/>
      <c r="O49" s="1131"/>
      <c r="P49" s="3205" t="str">
        <f>A49</f>
        <v>比较价值（元/平方米）</v>
      </c>
      <c r="Q49" s="3224"/>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446"/>
      <c r="Y49" s="446"/>
      <c r="Z49" s="446"/>
      <c r="AA49" s="446"/>
      <c r="AB49" s="446"/>
      <c r="AC49" s="629"/>
    </row>
    <row r="50" spans="1:29" ht="15.75" thickBot="1">
      <c r="A50" s="492" t="s">
        <v>2664</v>
      </c>
      <c r="B50" s="493"/>
      <c r="C50" s="1417" t="e">
        <f>R50</f>
        <v>#DIV/0!</v>
      </c>
      <c r="D50" s="1417"/>
      <c r="E50" s="1417"/>
      <c r="F50" s="1417"/>
      <c r="G50" s="1417"/>
      <c r="H50" s="1417"/>
      <c r="I50" s="1417"/>
      <c r="J50" s="494"/>
      <c r="K50" s="782"/>
      <c r="L50" s="1143"/>
      <c r="M50" s="1131"/>
      <c r="N50" s="1131"/>
      <c r="O50" s="1131"/>
      <c r="P50" s="3248" t="str">
        <f>A50</f>
        <v>估价对象XX用房的比较价值（楼面单价，元/平方米）</v>
      </c>
      <c r="Q50" s="3249"/>
      <c r="R50" s="3250" t="e">
        <f>IF(F1="售价",ROUND(AVERAGE(R49:V49),0),ROUND(AVERAGE(R49:V49),1))</f>
        <v>#DIV/0!</v>
      </c>
      <c r="S50" s="3250"/>
      <c r="T50" s="3250"/>
      <c r="U50" s="3250"/>
      <c r="V50" s="3250"/>
      <c r="W50" s="3250"/>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5"/>
    </row>
    <row r="56" spans="1:29" s="502"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1.75" thickBot="1">
      <c r="A58" s="760" t="s">
        <v>2668</v>
      </c>
      <c r="B58" s="756"/>
      <c r="C58" s="761"/>
      <c r="D58" s="761"/>
      <c r="E58" s="761"/>
      <c r="F58" s="762"/>
      <c r="G58" s="762"/>
      <c r="H58" s="761"/>
      <c r="I58" s="761"/>
      <c r="J58" s="761"/>
      <c r="K58" s="763"/>
      <c r="L58" s="1161"/>
      <c r="M58" s="1159"/>
      <c r="N58" s="1159"/>
      <c r="O58" s="1159"/>
      <c r="P58" s="2676"/>
      <c r="Q58" s="504"/>
    </row>
    <row r="59" spans="1:29" s="508" customFormat="1" ht="15">
      <c r="A59" s="505" t="s">
        <v>2543</v>
      </c>
      <c r="B59" s="506"/>
      <c r="C59" s="1574" t="str">
        <f>YEAR(C7)&amp;"-"&amp;MONTH(C7)</f>
        <v>2018-8</v>
      </c>
      <c r="D59" s="1575">
        <f>EDATE(C59,-1)</f>
        <v>43282</v>
      </c>
      <c r="E59" s="1575">
        <f>EDATE(D59,-1)</f>
        <v>43252</v>
      </c>
      <c r="F59" s="1575">
        <f t="shared" ref="F59:O59" si="16">EDATE(E59,-1)</f>
        <v>43221</v>
      </c>
      <c r="G59" s="1575">
        <f t="shared" si="16"/>
        <v>43191</v>
      </c>
      <c r="H59" s="1575">
        <f t="shared" si="16"/>
        <v>43160</v>
      </c>
      <c r="I59" s="1575">
        <f t="shared" si="16"/>
        <v>43132</v>
      </c>
      <c r="J59" s="1575">
        <f t="shared" si="16"/>
        <v>43101</v>
      </c>
      <c r="K59" s="1575">
        <f t="shared" si="16"/>
        <v>43070</v>
      </c>
      <c r="L59" s="1575">
        <f t="shared" si="16"/>
        <v>43040</v>
      </c>
      <c r="M59" s="1575">
        <f t="shared" si="16"/>
        <v>43009</v>
      </c>
      <c r="N59" s="1575">
        <f t="shared" si="16"/>
        <v>42979</v>
      </c>
      <c r="O59" s="1575">
        <f t="shared" si="16"/>
        <v>42948</v>
      </c>
      <c r="P59" s="1571"/>
    </row>
    <row r="60" spans="1:29" s="117" customFormat="1" ht="15">
      <c r="A60" s="509"/>
      <c r="B60" s="510"/>
      <c r="C60" s="1573">
        <v>100</v>
      </c>
      <c r="D60" s="512"/>
      <c r="E60" s="512"/>
      <c r="F60" s="512"/>
      <c r="G60" s="512"/>
      <c r="H60" s="512"/>
      <c r="I60" s="512"/>
      <c r="J60" s="512"/>
      <c r="K60" s="512"/>
      <c r="L60" s="512"/>
      <c r="M60" s="513"/>
      <c r="N60" s="512"/>
      <c r="O60" s="513"/>
      <c r="P60" s="2677"/>
    </row>
    <row r="61" spans="1:29" s="117" customFormat="1" ht="15.75" thickBot="1">
      <c r="A61" s="515" t="s">
        <v>2580</v>
      </c>
      <c r="B61" s="516"/>
      <c r="C61" s="517"/>
      <c r="D61" s="518"/>
      <c r="E61" s="518"/>
      <c r="F61" s="518"/>
      <c r="G61" s="518"/>
      <c r="H61" s="518"/>
      <c r="I61" s="518"/>
      <c r="J61" s="518"/>
      <c r="K61" s="518"/>
      <c r="L61" s="518"/>
      <c r="M61" s="519"/>
      <c r="N61" s="518"/>
      <c r="O61" s="519"/>
      <c r="P61" s="2677"/>
      <c r="Q61" s="504"/>
    </row>
    <row r="62" spans="1:29" s="117" customFormat="1" ht="15">
      <c r="A62" s="521" t="s">
        <v>2545</v>
      </c>
      <c r="B62" s="510"/>
      <c r="C62" s="522" t="s">
        <v>2647</v>
      </c>
      <c r="D62" s="523"/>
      <c r="E62" s="523"/>
      <c r="F62" s="523"/>
      <c r="G62" s="523"/>
      <c r="H62" s="523"/>
      <c r="I62" s="523"/>
      <c r="J62" s="523"/>
      <c r="K62" s="523"/>
      <c r="L62" s="524"/>
      <c r="M62" s="525"/>
      <c r="N62" s="1151"/>
      <c r="O62" s="1151"/>
      <c r="P62" s="2678"/>
      <c r="Q62" s="504"/>
    </row>
    <row r="63" spans="1:29" s="117" customFormat="1" ht="15.75" thickBot="1">
      <c r="A63" s="521"/>
      <c r="B63" s="510"/>
      <c r="C63" s="511">
        <v>100</v>
      </c>
      <c r="D63" s="512"/>
      <c r="E63" s="512"/>
      <c r="F63" s="512"/>
      <c r="G63" s="512"/>
      <c r="H63" s="512"/>
      <c r="I63" s="512"/>
      <c r="J63" s="512"/>
      <c r="K63" s="512"/>
      <c r="L63" s="512"/>
      <c r="M63" s="514"/>
      <c r="N63" s="1151"/>
      <c r="O63" s="1151"/>
      <c r="P63" s="2677"/>
      <c r="Q63" s="504"/>
    </row>
    <row r="64" spans="1:29">
      <c r="A64" s="527" t="s">
        <v>2583</v>
      </c>
      <c r="B64" s="528" t="s">
        <v>2549</v>
      </c>
      <c r="C64" s="529">
        <f>C9</f>
        <v>0</v>
      </c>
      <c r="D64" s="530"/>
      <c r="E64" s="530"/>
      <c r="F64" s="530"/>
      <c r="G64" s="530"/>
      <c r="H64" s="530"/>
      <c r="I64" s="530"/>
      <c r="J64" s="530"/>
      <c r="K64" s="531"/>
      <c r="L64" s="532"/>
      <c r="M64" s="533"/>
      <c r="N64" s="1152"/>
      <c r="O64" s="1152"/>
      <c r="P64" s="2679"/>
      <c r="Q64" s="504"/>
    </row>
    <row r="65" spans="1:17" ht="15.75" thickBot="1">
      <c r="A65" s="534"/>
      <c r="B65" s="535"/>
      <c r="C65" s="536">
        <v>100</v>
      </c>
      <c r="D65" s="536"/>
      <c r="E65" s="536"/>
      <c r="F65" s="536"/>
      <c r="G65" s="536"/>
      <c r="H65" s="536"/>
      <c r="I65" s="536"/>
      <c r="J65" s="536"/>
      <c r="K65" s="536"/>
      <c r="L65" s="536"/>
      <c r="M65" s="537"/>
      <c r="N65" s="1153"/>
      <c r="O65" s="1153"/>
      <c r="P65" s="2679"/>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9"/>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9"/>
      <c r="Q68" s="504"/>
    </row>
    <row r="69" spans="1:17" ht="15">
      <c r="A69" s="534"/>
      <c r="B69" s="548"/>
      <c r="C69" s="549"/>
      <c r="D69" s="549"/>
      <c r="E69" s="549"/>
      <c r="F69" s="549"/>
      <c r="G69" s="549"/>
      <c r="H69" s="549"/>
      <c r="I69" s="549"/>
      <c r="J69" s="549"/>
      <c r="K69" s="550"/>
      <c r="L69" s="551"/>
      <c r="M69" s="552"/>
      <c r="N69" s="1152"/>
      <c r="O69" s="1152"/>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9"/>
      <c r="Q70" s="504"/>
    </row>
    <row r="71" spans="1:17" s="471" customFormat="1" ht="15.75" thickTop="1">
      <c r="A71" s="553"/>
      <c r="B71" s="538">
        <f>B12</f>
        <v>111</v>
      </c>
      <c r="C71" s="554"/>
      <c r="D71" s="554"/>
      <c r="E71" s="554"/>
      <c r="F71" s="554"/>
      <c r="G71" s="554"/>
      <c r="H71" s="555"/>
      <c r="I71" s="555"/>
      <c r="J71" s="555"/>
      <c r="K71" s="555"/>
      <c r="L71" s="556"/>
      <c r="M71" s="557"/>
      <c r="N71" s="1154"/>
      <c r="O71" s="1154"/>
      <c r="P71" s="2680"/>
      <c r="Q71" s="559"/>
    </row>
    <row r="72" spans="1:17" s="471" customFormat="1" ht="15.75" thickBot="1">
      <c r="A72" s="553"/>
      <c r="B72" s="543"/>
      <c r="C72" s="560"/>
      <c r="D72" s="536"/>
      <c r="E72" s="536"/>
      <c r="F72" s="536"/>
      <c r="G72" s="536"/>
      <c r="H72" s="536"/>
      <c r="I72" s="536"/>
      <c r="J72" s="536"/>
      <c r="K72" s="536"/>
      <c r="L72" s="536"/>
      <c r="M72" s="537"/>
      <c r="N72" s="1153"/>
      <c r="O72" s="1153"/>
      <c r="P72" s="2680"/>
      <c r="Q72" s="559"/>
    </row>
    <row r="73" spans="1:17" s="471" customFormat="1" ht="15.75" thickTop="1">
      <c r="A73" s="553"/>
      <c r="B73" s="538">
        <f>B13</f>
        <v>111</v>
      </c>
      <c r="C73" s="554"/>
      <c r="D73" s="554"/>
      <c r="E73" s="554"/>
      <c r="F73" s="554"/>
      <c r="G73" s="554"/>
      <c r="H73" s="555"/>
      <c r="I73" s="555"/>
      <c r="J73" s="555"/>
      <c r="K73" s="555"/>
      <c r="L73" s="556"/>
      <c r="M73" s="557"/>
      <c r="N73" s="1154"/>
      <c r="O73" s="1154"/>
      <c r="P73" s="2681"/>
      <c r="Q73" s="561"/>
    </row>
    <row r="74" spans="1:17" s="471" customFormat="1" ht="15.75" thickBot="1">
      <c r="A74" s="553"/>
      <c r="B74" s="543"/>
      <c r="C74" s="560"/>
      <c r="D74" s="560"/>
      <c r="E74" s="560"/>
      <c r="F74" s="560"/>
      <c r="G74" s="560"/>
      <c r="H74" s="562"/>
      <c r="I74" s="562"/>
      <c r="J74" s="562"/>
      <c r="K74" s="562"/>
      <c r="L74" s="562"/>
      <c r="M74" s="563"/>
      <c r="N74" s="1154"/>
      <c r="O74" s="1154"/>
      <c r="P74" s="2680"/>
      <c r="Q74" s="559"/>
    </row>
    <row r="75" spans="1:17" s="471" customFormat="1" ht="15.75" thickTop="1">
      <c r="A75" s="553"/>
      <c r="B75" s="546">
        <f>B14</f>
        <v>111</v>
      </c>
      <c r="C75" s="523"/>
      <c r="D75" s="523"/>
      <c r="E75" s="523"/>
      <c r="F75" s="523"/>
      <c r="G75" s="523"/>
      <c r="H75" s="564"/>
      <c r="I75" s="564"/>
      <c r="J75" s="564"/>
      <c r="K75" s="564"/>
      <c r="L75" s="565"/>
      <c r="M75" s="566"/>
      <c r="N75" s="1154"/>
      <c r="O75" s="1154"/>
      <c r="P75" s="2682"/>
      <c r="Q75" s="559"/>
    </row>
    <row r="76" spans="1:17" s="471" customFormat="1" ht="15.75" thickBot="1">
      <c r="A76" s="568"/>
      <c r="B76" s="569"/>
      <c r="C76" s="570"/>
      <c r="D76" s="570"/>
      <c r="E76" s="570"/>
      <c r="F76" s="570"/>
      <c r="G76" s="570"/>
      <c r="H76" s="571"/>
      <c r="I76" s="571"/>
      <c r="J76" s="571"/>
      <c r="K76" s="571"/>
      <c r="L76" s="571"/>
      <c r="M76" s="572"/>
      <c r="N76" s="1154"/>
      <c r="O76" s="1154"/>
      <c r="P76" s="2680"/>
      <c r="Q76" s="559"/>
    </row>
    <row r="77" spans="1:17">
      <c r="A77" s="527" t="s">
        <v>2554</v>
      </c>
      <c r="B77" s="528" t="s">
        <v>2691</v>
      </c>
      <c r="C77" s="573" t="s">
        <v>2592</v>
      </c>
      <c r="D77" s="573" t="s">
        <v>2593</v>
      </c>
      <c r="E77" s="573" t="s">
        <v>2594</v>
      </c>
      <c r="F77" s="573" t="s">
        <v>2595</v>
      </c>
      <c r="G77" s="573" t="s">
        <v>2596</v>
      </c>
      <c r="H77" s="529"/>
      <c r="I77" s="529"/>
      <c r="J77" s="529"/>
      <c r="K77" s="574"/>
      <c r="L77" s="575"/>
      <c r="M77" s="576"/>
      <c r="N77" s="1152"/>
      <c r="O77" s="1152"/>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9"/>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9"/>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9"/>
      <c r="Q82" s="504"/>
    </row>
    <row r="83" spans="1:17" ht="15.75" thickTop="1">
      <c r="A83" s="534"/>
      <c r="B83" s="546" t="s">
        <v>2683</v>
      </c>
      <c r="C83" s="659" t="s">
        <v>2669</v>
      </c>
      <c r="D83" s="659" t="s">
        <v>2670</v>
      </c>
      <c r="E83" s="659" t="s">
        <v>2671</v>
      </c>
      <c r="F83" s="659" t="s">
        <v>2672</v>
      </c>
      <c r="G83" s="659" t="s">
        <v>2673</v>
      </c>
      <c r="H83" s="539"/>
      <c r="I83" s="539"/>
      <c r="J83" s="539"/>
      <c r="K83" s="539"/>
      <c r="L83" s="539"/>
      <c r="M83" s="1382"/>
      <c r="N83" s="1153"/>
      <c r="O83" s="1153"/>
      <c r="P83" s="2679"/>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3"/>
      <c r="O84" s="1153"/>
      <c r="P84" s="2679"/>
      <c r="Q84" s="504"/>
    </row>
    <row r="85" spans="1:17" ht="15.75" thickTop="1">
      <c r="A85" s="534"/>
      <c r="B85" s="538" t="s">
        <v>2692</v>
      </c>
      <c r="C85" s="578" t="s">
        <v>2592</v>
      </c>
      <c r="D85" s="578" t="s">
        <v>2593</v>
      </c>
      <c r="E85" s="578" t="s">
        <v>2594</v>
      </c>
      <c r="F85" s="578" t="s">
        <v>2595</v>
      </c>
      <c r="G85" s="578" t="s">
        <v>2596</v>
      </c>
      <c r="H85" s="539"/>
      <c r="I85" s="539"/>
      <c r="J85" s="539"/>
      <c r="K85" s="540"/>
      <c r="L85" s="541"/>
      <c r="M85" s="542"/>
      <c r="N85" s="1152"/>
      <c r="O85" s="1152"/>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9"/>
      <c r="Q86" s="504"/>
    </row>
    <row r="87" spans="1:17" s="117" customFormat="1" ht="27.75" thickTop="1">
      <c r="A87" s="579"/>
      <c r="B87" s="538" t="s">
        <v>2693</v>
      </c>
      <c r="C87" s="554"/>
      <c r="D87" s="554"/>
      <c r="E87" s="554"/>
      <c r="F87" s="554"/>
      <c r="G87" s="554"/>
      <c r="H87" s="554"/>
      <c r="I87" s="554"/>
      <c r="J87" s="554"/>
      <c r="K87" s="554"/>
      <c r="L87" s="580"/>
      <c r="M87" s="581"/>
      <c r="N87" s="1151"/>
      <c r="O87" s="1151"/>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9"/>
      <c r="Q88" s="504"/>
    </row>
    <row r="89" spans="1:17" s="117" customFormat="1" ht="15.75" thickTop="1">
      <c r="A89" s="579"/>
      <c r="B89" s="538" t="str">
        <f>B27</f>
        <v>楼层</v>
      </c>
      <c r="C89" s="554"/>
      <c r="D89" s="554"/>
      <c r="E89" s="554"/>
      <c r="F89" s="2630"/>
      <c r="G89" s="554"/>
      <c r="H89" s="554"/>
      <c r="I89" s="554"/>
      <c r="J89" s="554"/>
      <c r="K89" s="554"/>
      <c r="L89" s="554"/>
      <c r="M89" s="581"/>
      <c r="N89" s="1151"/>
      <c r="O89" s="1151"/>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9"/>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0"/>
      <c r="Q92" s="559"/>
    </row>
    <row r="93" spans="1:17" ht="15.75" thickTop="1">
      <c r="A93" s="534"/>
      <c r="B93" s="538">
        <f>B29</f>
        <v>111</v>
      </c>
      <c r="C93" s="554"/>
      <c r="D93" s="554"/>
      <c r="E93" s="554"/>
      <c r="F93" s="554"/>
      <c r="G93" s="554"/>
      <c r="H93" s="554"/>
      <c r="I93" s="554"/>
      <c r="J93" s="554"/>
      <c r="K93" s="554"/>
      <c r="L93" s="580"/>
      <c r="M93" s="581"/>
      <c r="N93" s="1152"/>
      <c r="O93" s="1152"/>
      <c r="P93" s="2679"/>
      <c r="Q93" s="504"/>
    </row>
    <row r="94" spans="1:17" ht="15.75" thickBot="1">
      <c r="A94" s="534"/>
      <c r="B94" s="543"/>
      <c r="C94" s="560"/>
      <c r="D94" s="536"/>
      <c r="E94" s="536"/>
      <c r="F94" s="536"/>
      <c r="G94" s="536"/>
      <c r="H94" s="536"/>
      <c r="I94" s="536"/>
      <c r="J94" s="536"/>
      <c r="K94" s="536"/>
      <c r="L94" s="536"/>
      <c r="M94" s="537"/>
      <c r="N94" s="1153"/>
      <c r="O94" s="1153"/>
      <c r="P94" s="2679"/>
      <c r="Q94" s="504"/>
    </row>
    <row r="95" spans="1:17" ht="15.75" thickTop="1">
      <c r="A95" s="534"/>
      <c r="B95" s="538">
        <f>B30</f>
        <v>111</v>
      </c>
      <c r="C95" s="554"/>
      <c r="D95" s="554"/>
      <c r="E95" s="554"/>
      <c r="F95" s="554"/>
      <c r="G95" s="583"/>
      <c r="H95" s="583"/>
      <c r="I95" s="583"/>
      <c r="J95" s="583"/>
      <c r="K95" s="584"/>
      <c r="L95" s="585"/>
      <c r="M95" s="586"/>
      <c r="N95" s="1152"/>
      <c r="O95" s="1152"/>
      <c r="P95" s="2679"/>
      <c r="Q95" s="504"/>
    </row>
    <row r="96" spans="1:17" ht="15.75" thickBot="1">
      <c r="A96" s="534"/>
      <c r="B96" s="543"/>
      <c r="C96" s="560"/>
      <c r="D96" s="560"/>
      <c r="E96" s="560"/>
      <c r="F96" s="560"/>
      <c r="G96" s="536"/>
      <c r="H96" s="536"/>
      <c r="I96" s="536"/>
      <c r="J96" s="536"/>
      <c r="K96" s="536"/>
      <c r="L96" s="536"/>
      <c r="M96" s="537"/>
      <c r="N96" s="1153"/>
      <c r="O96" s="1153"/>
      <c r="P96" s="2679"/>
      <c r="Q96" s="504"/>
    </row>
    <row r="97" spans="1:17" ht="15.75" thickTop="1">
      <c r="A97" s="534"/>
      <c r="B97" s="538">
        <f>B31</f>
        <v>111</v>
      </c>
      <c r="C97" s="554"/>
      <c r="D97" s="554"/>
      <c r="E97" s="554"/>
      <c r="F97" s="554"/>
      <c r="G97" s="583"/>
      <c r="H97" s="583"/>
      <c r="I97" s="583"/>
      <c r="J97" s="583"/>
      <c r="K97" s="584"/>
      <c r="L97" s="585"/>
      <c r="M97" s="586"/>
      <c r="N97" s="1152"/>
      <c r="O97" s="1152"/>
      <c r="P97" s="2679"/>
      <c r="Q97" s="504"/>
    </row>
    <row r="98" spans="1:17" ht="15.75" thickBot="1">
      <c r="A98" s="534"/>
      <c r="B98" s="543"/>
      <c r="C98" s="560"/>
      <c r="D98" s="536"/>
      <c r="E98" s="536"/>
      <c r="F98" s="536"/>
      <c r="G98" s="536"/>
      <c r="H98" s="536"/>
      <c r="I98" s="536"/>
      <c r="J98" s="536"/>
      <c r="K98" s="536"/>
      <c r="L98" s="536"/>
      <c r="M98" s="537"/>
      <c r="N98" s="1153"/>
      <c r="O98" s="1153"/>
      <c r="P98" s="2679"/>
      <c r="Q98" s="504"/>
    </row>
    <row r="99" spans="1:17" ht="15.75" thickTop="1">
      <c r="A99" s="534"/>
      <c r="B99" s="546">
        <f>B32</f>
        <v>111</v>
      </c>
      <c r="C99" s="523"/>
      <c r="D99" s="523"/>
      <c r="E99" s="523"/>
      <c r="F99" s="523"/>
      <c r="G99" s="587"/>
      <c r="H99" s="587"/>
      <c r="I99" s="587"/>
      <c r="J99" s="587"/>
      <c r="K99" s="588"/>
      <c r="L99" s="589"/>
      <c r="M99" s="590"/>
      <c r="N99" s="1152"/>
      <c r="O99" s="1152"/>
      <c r="P99" s="2679"/>
      <c r="Q99" s="504"/>
    </row>
    <row r="100" spans="1:17" ht="15.75" thickBot="1">
      <c r="A100" s="2631"/>
      <c r="B100" s="569"/>
      <c r="C100" s="570"/>
      <c r="D100" s="570"/>
      <c r="E100" s="570"/>
      <c r="F100" s="570"/>
      <c r="G100" s="591"/>
      <c r="H100" s="591"/>
      <c r="I100" s="591"/>
      <c r="J100" s="591"/>
      <c r="K100" s="591"/>
      <c r="L100" s="591"/>
      <c r="M100" s="592"/>
      <c r="N100" s="1153"/>
      <c r="O100" s="1153"/>
      <c r="P100" s="2679"/>
      <c r="Q100" s="504"/>
    </row>
    <row r="101" spans="1:17">
      <c r="A101" s="527" t="s">
        <v>2558</v>
      </c>
      <c r="B101" s="528" t="s">
        <v>2607</v>
      </c>
      <c r="C101" s="530"/>
      <c r="D101" s="530"/>
      <c r="E101" s="530"/>
      <c r="F101" s="530"/>
      <c r="G101" s="530"/>
      <c r="H101" s="530"/>
      <c r="I101" s="530"/>
      <c r="J101" s="530"/>
      <c r="K101" s="531"/>
      <c r="L101" s="532"/>
      <c r="M101" s="533"/>
      <c r="N101" s="1152"/>
      <c r="O101" s="1152"/>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9"/>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1"/>
      <c r="O103" s="1151"/>
      <c r="P103" s="2679"/>
      <c r="Q103" s="504"/>
    </row>
    <row r="104" spans="1:17" s="471" customFormat="1">
      <c r="A104" s="593"/>
      <c r="B104" s="594"/>
      <c r="C104" s="595"/>
      <c r="D104" s="595"/>
      <c r="E104" s="595"/>
      <c r="F104" s="595"/>
      <c r="G104" s="595"/>
      <c r="H104" s="595"/>
      <c r="I104" s="595"/>
      <c r="J104" s="596"/>
      <c r="K104" s="596"/>
      <c r="L104" s="597"/>
      <c r="M104" s="598"/>
      <c r="N104" s="1154"/>
      <c r="O104" s="1154"/>
      <c r="P104" s="2680"/>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0"/>
      <c r="Q105" s="559"/>
    </row>
    <row r="106" spans="1:17" ht="15" thickTop="1">
      <c r="A106" s="599"/>
      <c r="B106" s="538" t="s">
        <v>2609</v>
      </c>
      <c r="C106" s="554"/>
      <c r="D106" s="554"/>
      <c r="E106" s="583"/>
      <c r="F106" s="583"/>
      <c r="G106" s="583"/>
      <c r="H106" s="583"/>
      <c r="I106" s="583"/>
      <c r="J106" s="583"/>
      <c r="K106" s="584"/>
      <c r="L106" s="585"/>
      <c r="M106" s="586"/>
      <c r="N106" s="1152"/>
      <c r="O106" s="1152"/>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9"/>
      <c r="Q107" s="504"/>
    </row>
    <row r="108" spans="1:17" ht="15" thickTop="1">
      <c r="A108" s="599"/>
      <c r="B108" s="538" t="s">
        <v>2611</v>
      </c>
      <c r="C108" s="554"/>
      <c r="D108" s="554"/>
      <c r="E108" s="554"/>
      <c r="F108" s="583"/>
      <c r="G108" s="583"/>
      <c r="H108" s="583"/>
      <c r="I108" s="583"/>
      <c r="J108" s="583"/>
      <c r="K108" s="584"/>
      <c r="L108" s="585"/>
      <c r="M108" s="586"/>
      <c r="N108" s="1152"/>
      <c r="O108" s="1152"/>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9"/>
      <c r="Q110" s="504"/>
    </row>
    <row r="111" spans="1:17">
      <c r="A111" s="599"/>
      <c r="B111" s="546"/>
      <c r="C111" s="603">
        <v>0.5</v>
      </c>
      <c r="D111" s="603">
        <v>0.6</v>
      </c>
      <c r="E111" s="603">
        <v>0.7</v>
      </c>
      <c r="F111" s="603">
        <v>0.8</v>
      </c>
      <c r="G111" s="603">
        <v>0.9</v>
      </c>
      <c r="H111" s="603">
        <v>1.0001</v>
      </c>
      <c r="I111" s="622"/>
      <c r="J111" s="622"/>
      <c r="K111" s="623"/>
      <c r="L111" s="624"/>
      <c r="M111" s="625"/>
      <c r="N111" s="1152"/>
      <c r="O111" s="1152"/>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9"/>
      <c r="Q112" s="504"/>
    </row>
    <row r="113" spans="1:17" s="471" customFormat="1" ht="15" thickTop="1">
      <c r="A113" s="593"/>
      <c r="B113" s="538" t="s">
        <v>2694</v>
      </c>
      <c r="C113" s="554"/>
      <c r="D113" s="554"/>
      <c r="E113" s="554"/>
      <c r="F113" s="554"/>
      <c r="G113" s="554"/>
      <c r="H113" s="583"/>
      <c r="I113" s="583"/>
      <c r="J113" s="583"/>
      <c r="K113" s="584"/>
      <c r="L113" s="585"/>
      <c r="M113" s="586"/>
      <c r="N113" s="1154"/>
      <c r="O113" s="1154"/>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0"/>
      <c r="Q114" s="559"/>
    </row>
    <row r="115" spans="1:17" ht="15" thickTop="1">
      <c r="A115" s="599"/>
      <c r="B115" s="538" t="s">
        <v>2612</v>
      </c>
      <c r="C115" s="554"/>
      <c r="D115" s="554"/>
      <c r="E115" s="583"/>
      <c r="F115" s="583"/>
      <c r="G115" s="583"/>
      <c r="H115" s="583"/>
      <c r="I115" s="583"/>
      <c r="J115" s="583"/>
      <c r="K115" s="584"/>
      <c r="L115" s="585"/>
      <c r="M115" s="586"/>
      <c r="N115" s="1152"/>
      <c r="O115" s="1152"/>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9"/>
      <c r="Q116" s="504"/>
    </row>
    <row r="117" spans="1:17" ht="15" thickTop="1">
      <c r="A117" s="599"/>
      <c r="B117" s="538" t="s">
        <v>2613</v>
      </c>
      <c r="C117" s="554"/>
      <c r="D117" s="554"/>
      <c r="E117" s="554"/>
      <c r="F117" s="554"/>
      <c r="G117" s="554"/>
      <c r="H117" s="583"/>
      <c r="I117" s="583"/>
      <c r="J117" s="583"/>
      <c r="K117" s="584"/>
      <c r="L117" s="585"/>
      <c r="M117" s="586"/>
      <c r="N117" s="1152"/>
      <c r="O117" s="1152"/>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9"/>
      <c r="Q118" s="504"/>
    </row>
    <row r="119" spans="1:17" ht="15" thickTop="1">
      <c r="A119" s="599"/>
      <c r="B119" s="635" t="s">
        <v>2695</v>
      </c>
      <c r="C119" s="583"/>
      <c r="D119" s="583"/>
      <c r="E119" s="583"/>
      <c r="F119" s="583"/>
      <c r="G119" s="583"/>
      <c r="H119" s="583"/>
      <c r="I119" s="583"/>
      <c r="J119" s="583"/>
      <c r="K119" s="583"/>
      <c r="L119" s="2684"/>
      <c r="M119" s="2685"/>
      <c r="N119" s="1153"/>
      <c r="O119" s="1153"/>
      <c r="P119" s="2686"/>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9"/>
      <c r="Q120" s="504"/>
    </row>
    <row r="121" spans="1:17" s="471" customFormat="1" ht="15" thickTop="1">
      <c r="A121" s="593"/>
      <c r="B121" s="538" t="s">
        <v>2678</v>
      </c>
      <c r="C121" s="554"/>
      <c r="D121" s="554"/>
      <c r="E121" s="554"/>
      <c r="F121" s="583"/>
      <c r="G121" s="555"/>
      <c r="H121" s="555"/>
      <c r="I121" s="555"/>
      <c r="J121" s="555"/>
      <c r="K121" s="555"/>
      <c r="L121" s="556"/>
      <c r="M121" s="557"/>
      <c r="N121" s="1154"/>
      <c r="O121" s="1154"/>
      <c r="P121" s="2680"/>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0"/>
      <c r="Q122" s="559"/>
    </row>
    <row r="123" spans="1:17" ht="15" thickTop="1">
      <c r="A123" s="599"/>
      <c r="B123" s="538" t="s">
        <v>2615</v>
      </c>
      <c r="C123" s="554"/>
      <c r="D123" s="554"/>
      <c r="E123" s="554"/>
      <c r="F123" s="583"/>
      <c r="G123" s="583"/>
      <c r="H123" s="583"/>
      <c r="I123" s="583"/>
      <c r="J123" s="583"/>
      <c r="K123" s="584"/>
      <c r="L123" s="585"/>
      <c r="M123" s="586"/>
      <c r="N123" s="1152"/>
      <c r="O123" s="1152"/>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9"/>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9"/>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0"/>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0"/>
      <c r="Q128" s="559"/>
    </row>
    <row r="129" spans="1:17" ht="15" thickTop="1">
      <c r="A129" s="599"/>
      <c r="B129" s="538">
        <f>B46</f>
        <v>111</v>
      </c>
      <c r="C129" s="554"/>
      <c r="D129" s="554"/>
      <c r="E129" s="554"/>
      <c r="F129" s="554"/>
      <c r="G129" s="583"/>
      <c r="H129" s="583"/>
      <c r="I129" s="583"/>
      <c r="J129" s="583"/>
      <c r="K129" s="584"/>
      <c r="L129" s="585"/>
      <c r="M129" s="586"/>
      <c r="N129" s="1152"/>
      <c r="O129" s="1152"/>
      <c r="P129" s="2679"/>
      <c r="Q129" s="504"/>
    </row>
    <row r="130" spans="1:17" ht="15.75" thickBot="1">
      <c r="A130" s="534"/>
      <c r="B130" s="543"/>
      <c r="C130" s="560"/>
      <c r="D130" s="560"/>
      <c r="E130" s="560"/>
      <c r="F130" s="560"/>
      <c r="G130" s="536"/>
      <c r="H130" s="536"/>
      <c r="I130" s="536"/>
      <c r="J130" s="536"/>
      <c r="K130" s="536"/>
      <c r="L130" s="536"/>
      <c r="M130" s="537"/>
      <c r="N130" s="1153"/>
      <c r="O130" s="1153"/>
      <c r="P130" s="2679"/>
      <c r="Q130" s="504"/>
    </row>
    <row r="131" spans="1:17" ht="15" thickTop="1">
      <c r="A131" s="599"/>
      <c r="B131" s="546">
        <f>B47</f>
        <v>111</v>
      </c>
      <c r="C131" s="523"/>
      <c r="D131" s="523"/>
      <c r="E131" s="523"/>
      <c r="F131" s="523"/>
      <c r="G131" s="587"/>
      <c r="H131" s="587"/>
      <c r="I131" s="587"/>
      <c r="J131" s="587"/>
      <c r="K131" s="523"/>
      <c r="L131" s="524"/>
      <c r="M131" s="590"/>
      <c r="N131" s="1152"/>
      <c r="O131" s="1152"/>
      <c r="P131" s="2679"/>
      <c r="Q131" s="504"/>
    </row>
    <row r="132" spans="1:17" ht="15.75" thickBot="1">
      <c r="A132" s="2631"/>
      <c r="B132" s="569"/>
      <c r="C132" s="570"/>
      <c r="D132" s="570"/>
      <c r="E132" s="570"/>
      <c r="F132" s="570"/>
      <c r="G132" s="591"/>
      <c r="H132" s="591"/>
      <c r="I132" s="591"/>
      <c r="J132" s="591"/>
      <c r="K132" s="591"/>
      <c r="L132" s="591"/>
      <c r="M132" s="592"/>
      <c r="N132" s="1153"/>
      <c r="O132" s="1153"/>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L7" sqref="L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4" t="s">
        <v>2696</v>
      </c>
      <c r="C1" s="1620" t="s">
        <v>2525</v>
      </c>
      <c r="D1" s="1621"/>
      <c r="E1" s="1630"/>
      <c r="F1" s="2580"/>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82"/>
      <c r="D2" s="1124" t="e">
        <f ca="1">SUMIF(INDIRECT("'"&amp;F2&amp;"'"&amp;"!A:A"),"承租人权益价值",INDIRECT("'"&amp;F2&amp;"'"&amp;"!c:c"))</f>
        <v>#REF!</v>
      </c>
      <c r="E2" s="2583" t="s">
        <v>2323</v>
      </c>
      <c r="F2" s="2584"/>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8" customFormat="1" ht="28.5" customHeight="1" thickBot="1">
      <c r="A3" s="247" t="s">
        <v>2324</v>
      </c>
      <c r="B3" s="609" t="e">
        <f ca="1">IF(C2="——",C43,ROUND(B2*10000/D3,0))</f>
        <v>#DIV/0!</v>
      </c>
      <c r="C3" s="400" t="s">
        <v>2639</v>
      </c>
      <c r="D3" s="399">
        <f>IF(D1="",'数据-汇总表'!E3,SUMIF('数据-汇总表'!$C19:$C33,D1,'数据-汇总表'!$E19:$E33))</f>
        <v>25398.790000000015</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2640</v>
      </c>
      <c r="B4" s="402"/>
      <c r="C4" s="3206" t="s">
        <v>2641</v>
      </c>
      <c r="D4" s="3207"/>
      <c r="E4" s="3208" t="s">
        <v>2642</v>
      </c>
      <c r="F4" s="3209"/>
      <c r="G4" s="3206" t="s">
        <v>2643</v>
      </c>
      <c r="H4" s="3207"/>
      <c r="I4" s="3206" t="s">
        <v>2644</v>
      </c>
      <c r="J4" s="3207"/>
      <c r="K4" s="610" t="s">
        <v>2645</v>
      </c>
      <c r="L4" s="1130"/>
      <c r="M4" s="1131"/>
      <c r="N4" s="1131"/>
      <c r="O4" s="1131"/>
      <c r="P4" s="3210" t="s">
        <v>2646</v>
      </c>
      <c r="Q4" s="3211"/>
      <c r="R4" s="3193" t="s">
        <v>2642</v>
      </c>
      <c r="S4" s="3194"/>
      <c r="T4" s="3193" t="s">
        <v>2643</v>
      </c>
      <c r="U4" s="3194"/>
      <c r="V4" s="3218" t="s">
        <v>2644</v>
      </c>
      <c r="W4" s="3218"/>
      <c r="X4" s="1812"/>
      <c r="Y4" s="3193" t="s">
        <v>2646</v>
      </c>
      <c r="Z4" s="3194"/>
      <c r="AA4" s="3188" t="s">
        <v>2642</v>
      </c>
      <c r="AB4" s="3189" t="s">
        <v>2643</v>
      </c>
      <c r="AC4" s="3188" t="s">
        <v>2644</v>
      </c>
    </row>
    <row r="5" spans="1:29" ht="15">
      <c r="A5" s="404"/>
      <c r="B5" s="405"/>
      <c r="C5" s="3219" t="s">
        <v>2537</v>
      </c>
      <c r="D5" s="3200"/>
      <c r="E5" s="3238" t="s">
        <v>2538</v>
      </c>
      <c r="F5" s="3198"/>
      <c r="G5" s="3219" t="s">
        <v>2539</v>
      </c>
      <c r="H5" s="3200"/>
      <c r="I5" s="3219" t="s">
        <v>2540</v>
      </c>
      <c r="J5" s="3200"/>
      <c r="K5" s="610"/>
      <c r="L5" s="1130"/>
      <c r="M5" s="1131"/>
      <c r="N5" s="1131"/>
      <c r="O5" s="1131"/>
      <c r="P5" s="3212"/>
      <c r="Q5" s="3213"/>
      <c r="R5" s="3195"/>
      <c r="S5" s="3196"/>
      <c r="T5" s="3195"/>
      <c r="U5" s="3196"/>
      <c r="V5" s="3218"/>
      <c r="W5" s="3218"/>
      <c r="X5" s="1812"/>
      <c r="Y5" s="3195"/>
      <c r="Z5" s="3196"/>
      <c r="AA5" s="3189"/>
      <c r="AB5" s="3189"/>
      <c r="AC5" s="3189"/>
    </row>
    <row r="6" spans="1:29" ht="15.75" thickBot="1">
      <c r="A6" s="406"/>
      <c r="B6" s="407"/>
      <c r="C6" s="3201" t="s">
        <v>2541</v>
      </c>
      <c r="D6" s="3202"/>
      <c r="E6" s="3203" t="s">
        <v>2541</v>
      </c>
      <c r="F6" s="3204"/>
      <c r="G6" s="3201" t="s">
        <v>2541</v>
      </c>
      <c r="H6" s="3202"/>
      <c r="I6" s="3201" t="s">
        <v>2541</v>
      </c>
      <c r="J6" s="3202"/>
      <c r="K6" s="610" t="s">
        <v>2542</v>
      </c>
      <c r="L6" s="1130"/>
      <c r="M6" s="1131"/>
      <c r="N6" s="1131"/>
      <c r="O6" s="1131"/>
      <c r="P6" s="3214"/>
      <c r="Q6" s="3215"/>
      <c r="R6" s="3195"/>
      <c r="S6" s="3196"/>
      <c r="T6" s="3216"/>
      <c r="U6" s="3217"/>
      <c r="V6" s="3218"/>
      <c r="W6" s="3218"/>
      <c r="X6" s="1812"/>
      <c r="Y6" s="3216"/>
      <c r="Z6" s="3217"/>
      <c r="AA6" s="3190"/>
      <c r="AB6" s="3190"/>
      <c r="AC6" s="3190"/>
    </row>
    <row r="7" spans="1:29" s="117" customFormat="1" ht="15.75" thickBot="1">
      <c r="A7" s="408" t="s">
        <v>2543</v>
      </c>
      <c r="B7" s="409"/>
      <c r="C7" s="410">
        <f>'数据-取费表'!B2</f>
        <v>43335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1" t="s">
        <v>2544</v>
      </c>
      <c r="Q7" s="3220"/>
      <c r="R7" s="767" t="s">
        <v>17</v>
      </c>
      <c r="S7" s="768">
        <f t="shared" ref="S7:S15" si="0">F7</f>
        <v>0</v>
      </c>
      <c r="T7" s="767" t="s">
        <v>17</v>
      </c>
      <c r="U7" s="768">
        <f t="shared" ref="U7:U15" si="1">H7</f>
        <v>0</v>
      </c>
      <c r="V7" s="767" t="s">
        <v>17</v>
      </c>
      <c r="W7" s="768">
        <f t="shared" ref="W7:W15" si="2">J7</f>
        <v>0</v>
      </c>
      <c r="X7" s="769"/>
      <c r="Y7" s="3191" t="s">
        <v>2544</v>
      </c>
      <c r="Z7" s="3192"/>
      <c r="AA7" s="770" t="e">
        <f>D7/F7</f>
        <v>#DIV/0!</v>
      </c>
      <c r="AB7" s="770" t="e">
        <f>D7/H7</f>
        <v>#DIV/0!</v>
      </c>
      <c r="AC7" s="770"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1" t="s">
        <v>2547</v>
      </c>
      <c r="Q8" s="3192"/>
      <c r="R8" s="767" t="s">
        <v>17</v>
      </c>
      <c r="S8" s="768">
        <f t="shared" si="0"/>
        <v>0</v>
      </c>
      <c r="T8" s="767" t="s">
        <v>17</v>
      </c>
      <c r="U8" s="768">
        <f t="shared" si="1"/>
        <v>0</v>
      </c>
      <c r="V8" s="767" t="s">
        <v>17</v>
      </c>
      <c r="W8" s="768">
        <f t="shared" si="2"/>
        <v>0</v>
      </c>
      <c r="X8" s="769"/>
      <c r="Y8" s="3191" t="s">
        <v>2547</v>
      </c>
      <c r="Z8" s="3192"/>
      <c r="AA8" s="770" t="e">
        <f t="shared" ref="AA8:AA40" si="3">D8/F8</f>
        <v>#DIV/0!</v>
      </c>
      <c r="AB8" s="770" t="e">
        <f t="shared" ref="AB8:AB40" si="4">D8/H8</f>
        <v>#DIV/0!</v>
      </c>
      <c r="AC8" s="770"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4" t="s">
        <v>2550</v>
      </c>
      <c r="Q9" s="1794" t="str">
        <f t="shared" ref="Q9:Q15" si="6">B9</f>
        <v>用途</v>
      </c>
      <c r="R9" s="767" t="s">
        <v>17</v>
      </c>
      <c r="S9" s="768">
        <f t="shared" si="0"/>
        <v>100</v>
      </c>
      <c r="T9" s="767" t="s">
        <v>17</v>
      </c>
      <c r="U9" s="768">
        <f t="shared" si="1"/>
        <v>100</v>
      </c>
      <c r="V9" s="767" t="s">
        <v>17</v>
      </c>
      <c r="W9" s="768">
        <f t="shared" si="2"/>
        <v>100</v>
      </c>
      <c r="X9" s="769"/>
      <c r="Y9" s="3038" t="s">
        <v>2551</v>
      </c>
      <c r="Z9" s="55" t="str">
        <f t="shared" ref="Z9:Z15" si="7">Q9</f>
        <v>用途</v>
      </c>
      <c r="AA9" s="770">
        <f t="shared" si="3"/>
        <v>1</v>
      </c>
      <c r="AB9" s="770">
        <f t="shared" si="4"/>
        <v>1</v>
      </c>
      <c r="AC9" s="770">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4"/>
      <c r="Q10" s="1794" t="str">
        <f t="shared" si="6"/>
        <v>土地使用年限（年）</v>
      </c>
      <c r="R10" s="767" t="s">
        <v>17</v>
      </c>
      <c r="S10" s="768">
        <f t="shared" si="0"/>
        <v>100</v>
      </c>
      <c r="T10" s="767" t="s">
        <v>17</v>
      </c>
      <c r="U10" s="768">
        <f t="shared" si="1"/>
        <v>100</v>
      </c>
      <c r="V10" s="767" t="s">
        <v>17</v>
      </c>
      <c r="W10" s="768">
        <f t="shared" si="2"/>
        <v>100</v>
      </c>
      <c r="X10" s="769"/>
      <c r="Y10" s="3038"/>
      <c r="Z10" s="55" t="str">
        <f t="shared" si="7"/>
        <v>土地使用年限（年）</v>
      </c>
      <c r="AA10" s="770">
        <f t="shared" si="3"/>
        <v>1</v>
      </c>
      <c r="AB10" s="770">
        <f t="shared" si="4"/>
        <v>1</v>
      </c>
      <c r="AC10" s="770">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4"/>
      <c r="Q11" s="1794" t="str">
        <f t="shared" si="6"/>
        <v>容积率</v>
      </c>
      <c r="R11" s="767" t="s">
        <v>17</v>
      </c>
      <c r="S11" s="768" t="e">
        <f t="shared" si="0"/>
        <v>#N/A</v>
      </c>
      <c r="T11" s="767" t="s">
        <v>17</v>
      </c>
      <c r="U11" s="768" t="e">
        <f t="shared" si="1"/>
        <v>#N/A</v>
      </c>
      <c r="V11" s="767" t="s">
        <v>17</v>
      </c>
      <c r="W11" s="768" t="e">
        <f t="shared" si="2"/>
        <v>#N/A</v>
      </c>
      <c r="X11" s="769"/>
      <c r="Y11" s="3038"/>
      <c r="Z11" s="55" t="str">
        <f t="shared" si="7"/>
        <v>容积率</v>
      </c>
      <c r="AA11" s="770" t="e">
        <f t="shared" si="3"/>
        <v>#N/A</v>
      </c>
      <c r="AB11" s="770" t="e">
        <f t="shared" si="4"/>
        <v>#N/A</v>
      </c>
      <c r="AC11" s="770" t="e">
        <f t="shared" si="5"/>
        <v>#N/A</v>
      </c>
    </row>
    <row r="12" spans="1:29" s="117" customFormat="1" ht="15">
      <c r="A12" s="431"/>
      <c r="B12" s="2596">
        <v>111</v>
      </c>
      <c r="C12" s="432"/>
      <c r="D12" s="433">
        <v>100</v>
      </c>
      <c r="E12" s="434"/>
      <c r="F12" s="136">
        <f>SUMIF(64:64,E12,65:65)-SUMIF(64:64,C12,65:65)+100</f>
        <v>100</v>
      </c>
      <c r="G12" s="2687"/>
      <c r="H12" s="136">
        <f>SUMIF(64:64,G12,65:65)-SUMIF(64:64,C12,65:65)+100</f>
        <v>100</v>
      </c>
      <c r="I12" s="469"/>
      <c r="J12" s="136">
        <f>SUMIF(64:64,I12,65:65)-SUMIF(64:64,C12,65:65)+100</f>
        <v>100</v>
      </c>
      <c r="K12" s="613"/>
      <c r="L12" s="1132"/>
      <c r="M12" s="1133"/>
      <c r="N12" s="1133"/>
      <c r="O12" s="1134"/>
      <c r="P12" s="3224"/>
      <c r="Q12" s="1794">
        <f t="shared" si="6"/>
        <v>111</v>
      </c>
      <c r="R12" s="767" t="s">
        <v>17</v>
      </c>
      <c r="S12" s="768">
        <f t="shared" si="0"/>
        <v>100</v>
      </c>
      <c r="T12" s="767" t="s">
        <v>17</v>
      </c>
      <c r="U12" s="768">
        <f t="shared" si="1"/>
        <v>100</v>
      </c>
      <c r="V12" s="767" t="s">
        <v>17</v>
      </c>
      <c r="W12" s="768">
        <f t="shared" si="2"/>
        <v>100</v>
      </c>
      <c r="X12" s="769"/>
      <c r="Y12" s="3038"/>
      <c r="Z12" s="55">
        <f t="shared" si="7"/>
        <v>111</v>
      </c>
      <c r="AA12" s="770">
        <f>D12/F12</f>
        <v>1</v>
      </c>
      <c r="AB12" s="770">
        <f>D12/H12</f>
        <v>1</v>
      </c>
      <c r="AC12" s="770">
        <f>D12/J12</f>
        <v>1</v>
      </c>
    </row>
    <row r="13" spans="1:29" ht="15">
      <c r="A13" s="428"/>
      <c r="B13" s="2596">
        <v>111</v>
      </c>
      <c r="C13" s="434"/>
      <c r="D13" s="435">
        <v>100</v>
      </c>
      <c r="E13" s="434"/>
      <c r="F13" s="136">
        <f>SUMIF(66:66,E13,67:67)-SUMIF(66:66,C13,67:67)+100</f>
        <v>100</v>
      </c>
      <c r="G13" s="2687"/>
      <c r="H13" s="435">
        <f>SUMIF(66:66,G13,67:67)-SUMIF(66:66,C13,67:67)+100</f>
        <v>100</v>
      </c>
      <c r="I13" s="469"/>
      <c r="J13" s="435">
        <f>SUMIF(66:66,I13,67:67)-SUMIF(66:66,C13,67:67)+100</f>
        <v>100</v>
      </c>
      <c r="K13" s="613"/>
      <c r="L13" s="1140"/>
      <c r="M13" s="1131"/>
      <c r="N13" s="1131"/>
      <c r="O13" s="1139"/>
      <c r="P13" s="3224"/>
      <c r="Q13" s="1794">
        <f t="shared" si="6"/>
        <v>111</v>
      </c>
      <c r="R13" s="767" t="s">
        <v>17</v>
      </c>
      <c r="S13" s="768">
        <f t="shared" si="0"/>
        <v>100</v>
      </c>
      <c r="T13" s="767" t="s">
        <v>17</v>
      </c>
      <c r="U13" s="768">
        <f t="shared" si="1"/>
        <v>100</v>
      </c>
      <c r="V13" s="767" t="s">
        <v>17</v>
      </c>
      <c r="W13" s="768">
        <f t="shared" si="2"/>
        <v>100</v>
      </c>
      <c r="X13" s="769"/>
      <c r="Y13" s="3038"/>
      <c r="Z13" s="55">
        <f t="shared" si="7"/>
        <v>111</v>
      </c>
      <c r="AA13" s="770">
        <f t="shared" si="3"/>
        <v>1</v>
      </c>
      <c r="AB13" s="770">
        <f t="shared" si="4"/>
        <v>1</v>
      </c>
      <c r="AC13" s="770">
        <f t="shared" si="5"/>
        <v>1</v>
      </c>
    </row>
    <row r="14" spans="1:29" ht="15.75" thickBot="1">
      <c r="A14" s="436"/>
      <c r="B14" s="2598">
        <v>111</v>
      </c>
      <c r="C14" s="437"/>
      <c r="D14" s="438">
        <v>100</v>
      </c>
      <c r="E14" s="437"/>
      <c r="F14" s="438">
        <f>SUMIF(68:68,E14,69:69)-SUMIF(68:68,C14,69:69)+100</f>
        <v>100</v>
      </c>
      <c r="G14" s="2687"/>
      <c r="H14" s="438">
        <f>SUMIF(68:68,G14,69:69)-SUMIF(68:68,C14,69:69)+100</f>
        <v>100</v>
      </c>
      <c r="I14" s="469"/>
      <c r="J14" s="438">
        <f>SUMIF(68:68,I14,69:69)-SUMIF(68:68,C14,69:69)+100</f>
        <v>100</v>
      </c>
      <c r="K14" s="613"/>
      <c r="L14" s="1140"/>
      <c r="M14" s="1131"/>
      <c r="N14" s="1131"/>
      <c r="O14" s="1139"/>
      <c r="P14" s="3224"/>
      <c r="Q14" s="1794">
        <f t="shared" si="6"/>
        <v>111</v>
      </c>
      <c r="R14" s="767" t="s">
        <v>17</v>
      </c>
      <c r="S14" s="768">
        <f t="shared" si="0"/>
        <v>100</v>
      </c>
      <c r="T14" s="767" t="s">
        <v>17</v>
      </c>
      <c r="U14" s="768">
        <f t="shared" si="1"/>
        <v>100</v>
      </c>
      <c r="V14" s="767" t="s">
        <v>17</v>
      </c>
      <c r="W14" s="768">
        <f t="shared" si="2"/>
        <v>100</v>
      </c>
      <c r="X14" s="769"/>
      <c r="Y14" s="3038"/>
      <c r="Z14" s="55">
        <f t="shared" si="7"/>
        <v>111</v>
      </c>
      <c r="AA14" s="770">
        <f t="shared" si="3"/>
        <v>1</v>
      </c>
      <c r="AB14" s="770">
        <f t="shared" si="4"/>
        <v>1</v>
      </c>
      <c r="AC14" s="770">
        <f t="shared" si="5"/>
        <v>1</v>
      </c>
    </row>
    <row r="15" spans="1:29" ht="57">
      <c r="A15" s="440" t="s">
        <v>2554</v>
      </c>
      <c r="B15" s="69" t="s">
        <v>2697</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6" t="s">
        <v>2555</v>
      </c>
      <c r="Q15" s="1809" t="str">
        <f t="shared" si="6"/>
        <v>产业集聚程度</v>
      </c>
      <c r="R15" s="771" t="s">
        <v>17</v>
      </c>
      <c r="S15" s="772">
        <f t="shared" si="0"/>
        <v>100</v>
      </c>
      <c r="T15" s="771" t="s">
        <v>17</v>
      </c>
      <c r="U15" s="772">
        <f t="shared" si="1"/>
        <v>100</v>
      </c>
      <c r="V15" s="771" t="s">
        <v>17</v>
      </c>
      <c r="W15" s="772">
        <f t="shared" si="2"/>
        <v>100</v>
      </c>
      <c r="X15" s="1812"/>
      <c r="Y15" s="3226" t="s">
        <v>2555</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27"/>
      <c r="Q16" s="1809"/>
      <c r="R16" s="771"/>
      <c r="S16" s="772"/>
      <c r="T16" s="771"/>
      <c r="U16" s="772"/>
      <c r="V16" s="771"/>
      <c r="W16" s="772"/>
      <c r="X16" s="1812"/>
      <c r="Y16" s="3227"/>
      <c r="Z16" s="1813"/>
      <c r="AA16" s="1810">
        <v>1</v>
      </c>
      <c r="AB16" s="1810">
        <v>1</v>
      </c>
      <c r="AC16" s="1810">
        <v>1</v>
      </c>
    </row>
    <row r="17" spans="1:29" ht="85.5">
      <c r="A17" s="428"/>
      <c r="B17" s="451" t="s">
        <v>2094</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7"/>
      <c r="Q17" s="1809" t="str">
        <f>B17</f>
        <v>交通便捷度</v>
      </c>
      <c r="R17" s="771" t="s">
        <v>17</v>
      </c>
      <c r="S17" s="772">
        <f>F17</f>
        <v>100</v>
      </c>
      <c r="T17" s="771" t="s">
        <v>17</v>
      </c>
      <c r="U17" s="772">
        <f>H17</f>
        <v>100</v>
      </c>
      <c r="V17" s="771" t="s">
        <v>17</v>
      </c>
      <c r="W17" s="772">
        <f>J17</f>
        <v>100</v>
      </c>
      <c r="X17" s="1812"/>
      <c r="Y17" s="3227"/>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9"/>
      <c r="P18" s="3227"/>
      <c r="Q18" s="1809"/>
      <c r="R18" s="771"/>
      <c r="S18" s="772"/>
      <c r="T18" s="771"/>
      <c r="U18" s="772"/>
      <c r="V18" s="771"/>
      <c r="W18" s="772"/>
      <c r="X18" s="1812"/>
      <c r="Y18" s="3227"/>
      <c r="Z18" s="1813"/>
      <c r="AA18" s="1810">
        <v>1</v>
      </c>
      <c r="AB18" s="1810">
        <v>1</v>
      </c>
      <c r="AC18" s="1810">
        <v>1</v>
      </c>
    </row>
    <row r="19" spans="1:29" ht="42.75">
      <c r="A19" s="428"/>
      <c r="B19" s="451" t="s">
        <v>2682</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7"/>
      <c r="Q19" s="1809" t="str">
        <f>B19</f>
        <v>公共配套设施</v>
      </c>
      <c r="R19" s="771" t="s">
        <v>17</v>
      </c>
      <c r="S19" s="772">
        <f>F19</f>
        <v>100</v>
      </c>
      <c r="T19" s="771" t="s">
        <v>17</v>
      </c>
      <c r="U19" s="772">
        <f>H19</f>
        <v>100</v>
      </c>
      <c r="V19" s="771" t="s">
        <v>17</v>
      </c>
      <c r="W19" s="772">
        <f>J19</f>
        <v>100</v>
      </c>
      <c r="X19" s="1812"/>
      <c r="Y19" s="3227"/>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9"/>
      <c r="P20" s="3227"/>
      <c r="Q20" s="1809"/>
      <c r="R20" s="771"/>
      <c r="S20" s="772"/>
      <c r="T20" s="771"/>
      <c r="U20" s="772"/>
      <c r="V20" s="771"/>
      <c r="W20" s="772"/>
      <c r="X20" s="1812"/>
      <c r="Y20" s="3227"/>
      <c r="Z20" s="1813"/>
      <c r="AA20" s="1810">
        <v>1</v>
      </c>
      <c r="AB20" s="1810">
        <v>1</v>
      </c>
      <c r="AC20" s="1810">
        <v>1</v>
      </c>
    </row>
    <row r="21" spans="1:29" ht="28.5">
      <c r="A21" s="428"/>
      <c r="B21" s="1384" t="s">
        <v>2683</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7"/>
      <c r="Q21" s="1809" t="str">
        <f>B21</f>
        <v>基础设施水平</v>
      </c>
      <c r="R21" s="771" t="s">
        <v>17</v>
      </c>
      <c r="S21" s="772">
        <f>F21</f>
        <v>100</v>
      </c>
      <c r="T21" s="771" t="s">
        <v>17</v>
      </c>
      <c r="U21" s="772">
        <f>H21</f>
        <v>100</v>
      </c>
      <c r="V21" s="771" t="s">
        <v>17</v>
      </c>
      <c r="W21" s="772">
        <f>J21</f>
        <v>100</v>
      </c>
      <c r="X21" s="1812"/>
      <c r="Y21" s="3227"/>
      <c r="Z21" s="1813" t="str">
        <f>Q21</f>
        <v>基础设施水平</v>
      </c>
      <c r="AA21" s="1810">
        <f t="shared" ref="AA21" si="8">D21/F21</f>
        <v>1</v>
      </c>
      <c r="AB21" s="1810">
        <f t="shared" ref="AB21" si="9">D21/H21</f>
        <v>1</v>
      </c>
      <c r="AC21" s="1810">
        <f t="shared" ref="AC21" si="10">D21/J21</f>
        <v>1</v>
      </c>
    </row>
    <row r="22" spans="1:29" ht="15">
      <c r="A22" s="428"/>
      <c r="B22" s="1384"/>
      <c r="C22" s="2604"/>
      <c r="D22" s="448"/>
      <c r="E22" s="447"/>
      <c r="F22" s="449"/>
      <c r="G22" s="447"/>
      <c r="H22" s="448"/>
      <c r="I22" s="447"/>
      <c r="J22" s="448"/>
      <c r="K22" s="1383"/>
      <c r="L22" s="1140"/>
      <c r="M22" s="1131"/>
      <c r="N22" s="1131"/>
      <c r="O22" s="1139"/>
      <c r="P22" s="3227"/>
      <c r="Q22" s="1809"/>
      <c r="R22" s="771"/>
      <c r="S22" s="772"/>
      <c r="T22" s="771"/>
      <c r="U22" s="772"/>
      <c r="V22" s="771"/>
      <c r="W22" s="772"/>
      <c r="X22" s="1812"/>
      <c r="Y22" s="3227"/>
      <c r="Z22" s="1813"/>
      <c r="AA22" s="1810">
        <v>1</v>
      </c>
      <c r="AB22" s="1810">
        <v>1</v>
      </c>
      <c r="AC22" s="1810">
        <v>1</v>
      </c>
    </row>
    <row r="23" spans="1:29" ht="71.25">
      <c r="A23" s="428"/>
      <c r="B23" s="451" t="s">
        <v>2684</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7"/>
      <c r="Q23" s="1809" t="str">
        <f>B23</f>
        <v>环境质量</v>
      </c>
      <c r="R23" s="771" t="s">
        <v>17</v>
      </c>
      <c r="S23" s="772">
        <f>F23</f>
        <v>100</v>
      </c>
      <c r="T23" s="771" t="s">
        <v>17</v>
      </c>
      <c r="U23" s="772">
        <f>H23</f>
        <v>100</v>
      </c>
      <c r="V23" s="771" t="s">
        <v>17</v>
      </c>
      <c r="W23" s="772">
        <f>J23</f>
        <v>100</v>
      </c>
      <c r="X23" s="1812"/>
      <c r="Y23" s="3227"/>
      <c r="Z23" s="1813" t="str">
        <f>Q23</f>
        <v>环境质量</v>
      </c>
      <c r="AA23" s="1810">
        <f t="shared" si="3"/>
        <v>1</v>
      </c>
      <c r="AB23" s="1810">
        <f t="shared" si="4"/>
        <v>1</v>
      </c>
      <c r="AC23" s="1810">
        <f t="shared" si="5"/>
        <v>1</v>
      </c>
    </row>
    <row r="24" spans="1:29" ht="15">
      <c r="A24" s="428"/>
      <c r="B24" s="1384"/>
      <c r="C24" s="447"/>
      <c r="D24" s="448"/>
      <c r="E24" s="2601"/>
      <c r="F24" s="449"/>
      <c r="G24" s="2600"/>
      <c r="H24" s="448"/>
      <c r="I24" s="2601"/>
      <c r="J24" s="448"/>
      <c r="K24" s="615"/>
      <c r="L24" s="1140"/>
      <c r="M24" s="1131"/>
      <c r="N24" s="1131"/>
      <c r="O24" s="1139"/>
      <c r="P24" s="3227"/>
      <c r="Q24" s="1809"/>
      <c r="R24" s="771"/>
      <c r="S24" s="772"/>
      <c r="T24" s="771"/>
      <c r="U24" s="772"/>
      <c r="V24" s="771"/>
      <c r="W24" s="772"/>
      <c r="X24" s="1812"/>
      <c r="Y24" s="322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7"/>
      <c r="Q25" s="1809">
        <f>B25</f>
        <v>111</v>
      </c>
      <c r="R25" s="771" t="s">
        <v>17</v>
      </c>
      <c r="S25" s="772">
        <f>F25</f>
        <v>100</v>
      </c>
      <c r="T25" s="771" t="s">
        <v>17</v>
      </c>
      <c r="U25" s="772">
        <f>H25</f>
        <v>100</v>
      </c>
      <c r="V25" s="771" t="s">
        <v>17</v>
      </c>
      <c r="W25" s="772">
        <f>J25</f>
        <v>100</v>
      </c>
      <c r="X25" s="1812"/>
      <c r="Y25" s="322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7"/>
      <c r="Q26" s="1809">
        <f t="shared" ref="Q26:Q40" si="11">B26</f>
        <v>111</v>
      </c>
      <c r="R26" s="771" t="s">
        <v>17</v>
      </c>
      <c r="S26" s="772">
        <f>F26</f>
        <v>100</v>
      </c>
      <c r="T26" s="771" t="s">
        <v>17</v>
      </c>
      <c r="U26" s="772">
        <f>H26</f>
        <v>100</v>
      </c>
      <c r="V26" s="771" t="s">
        <v>17</v>
      </c>
      <c r="W26" s="772">
        <f>J26</f>
        <v>100</v>
      </c>
      <c r="X26" s="1812"/>
      <c r="Y26" s="3227"/>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7"/>
      <c r="Q27" s="1794">
        <f t="shared" si="11"/>
        <v>111</v>
      </c>
      <c r="R27" s="767" t="s">
        <v>17</v>
      </c>
      <c r="S27" s="768">
        <f>F27</f>
        <v>100</v>
      </c>
      <c r="T27" s="767" t="s">
        <v>17</v>
      </c>
      <c r="U27" s="768">
        <f>H27</f>
        <v>100</v>
      </c>
      <c r="V27" s="767" t="s">
        <v>17</v>
      </c>
      <c r="W27" s="768">
        <f>J27</f>
        <v>100</v>
      </c>
      <c r="X27" s="769"/>
      <c r="Y27" s="3227"/>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7"/>
      <c r="Q28" s="1809">
        <f t="shared" si="11"/>
        <v>111</v>
      </c>
      <c r="R28" s="771" t="s">
        <v>17</v>
      </c>
      <c r="S28" s="772">
        <f t="shared" ref="S28:S40" si="12">F28</f>
        <v>100</v>
      </c>
      <c r="T28" s="771" t="s">
        <v>17</v>
      </c>
      <c r="U28" s="772">
        <f t="shared" ref="U28:U40" si="13">H28</f>
        <v>100</v>
      </c>
      <c r="V28" s="771" t="s">
        <v>17</v>
      </c>
      <c r="W28" s="772">
        <f t="shared" ref="W28:W40" si="14">J28</f>
        <v>100</v>
      </c>
      <c r="X28" s="1812"/>
      <c r="Y28" s="3227"/>
      <c r="Z28" s="1813">
        <f t="shared" ref="Z28:Z40" si="15">Q28</f>
        <v>111</v>
      </c>
      <c r="AA28" s="1810">
        <f t="shared" si="3"/>
        <v>1</v>
      </c>
      <c r="AB28" s="1810">
        <f t="shared" si="4"/>
        <v>1</v>
      </c>
      <c r="AC28" s="1810">
        <f t="shared" si="5"/>
        <v>1</v>
      </c>
    </row>
    <row r="29" spans="1:29" ht="15">
      <c r="A29" s="466" t="s">
        <v>2558</v>
      </c>
      <c r="B29" s="71" t="s">
        <v>2687</v>
      </c>
      <c r="C29" s="2674"/>
      <c r="D29" s="467">
        <v>100</v>
      </c>
      <c r="E29" s="2674"/>
      <c r="F29" s="461">
        <f>SUMIF(88:88,E29,89:89)-SUMIF(88:88,C29,89:89)+100</f>
        <v>100</v>
      </c>
      <c r="G29" s="2674"/>
      <c r="H29" s="435">
        <f>SUMIF(88:88,G29,89:89)-SUMIF(88:88,C29,89:89)+100</f>
        <v>100</v>
      </c>
      <c r="I29" s="2674"/>
      <c r="J29" s="467">
        <f>SUMIF(88:88,I29,89:89)-SUMIF(88:88,C29,89:89)+100</f>
        <v>100</v>
      </c>
      <c r="K29" s="612"/>
      <c r="L29" s="1140"/>
      <c r="M29" s="1131"/>
      <c r="N29" s="1131"/>
      <c r="O29" s="1139"/>
      <c r="P29" s="3251" t="s">
        <v>2560</v>
      </c>
      <c r="Q29" s="1809" t="str">
        <f t="shared" si="11"/>
        <v>建筑类型</v>
      </c>
      <c r="R29" s="771" t="s">
        <v>17</v>
      </c>
      <c r="S29" s="772">
        <f t="shared" si="12"/>
        <v>100</v>
      </c>
      <c r="T29" s="771" t="s">
        <v>17</v>
      </c>
      <c r="U29" s="772">
        <f t="shared" si="13"/>
        <v>100</v>
      </c>
      <c r="V29" s="771" t="s">
        <v>17</v>
      </c>
      <c r="W29" s="772">
        <f t="shared" si="14"/>
        <v>100</v>
      </c>
      <c r="X29" s="1812"/>
      <c r="Y29" s="3231" t="s">
        <v>2560</v>
      </c>
      <c r="Z29" s="1813" t="str">
        <f t="shared" si="15"/>
        <v>建筑类型</v>
      </c>
      <c r="AA29" s="1810">
        <f t="shared" si="3"/>
        <v>1</v>
      </c>
      <c r="AB29" s="1810">
        <f t="shared" si="4"/>
        <v>1</v>
      </c>
      <c r="AC29" s="1810">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1"/>
      <c r="Q30" s="773" t="str">
        <f t="shared" si="11"/>
        <v>项目建筑规模</v>
      </c>
      <c r="R30" s="774" t="s">
        <v>17</v>
      </c>
      <c r="S30" s="775" t="e">
        <f t="shared" si="12"/>
        <v>#N/A</v>
      </c>
      <c r="T30" s="774" t="s">
        <v>17</v>
      </c>
      <c r="U30" s="775" t="e">
        <f t="shared" si="13"/>
        <v>#N/A</v>
      </c>
      <c r="V30" s="774" t="s">
        <v>17</v>
      </c>
      <c r="W30" s="775" t="e">
        <f t="shared" si="14"/>
        <v>#N/A</v>
      </c>
      <c r="X30" s="776"/>
      <c r="Y30" s="3231"/>
      <c r="Z30" s="777" t="str">
        <f t="shared" si="15"/>
        <v>项目建筑规模</v>
      </c>
      <c r="AA30" s="1810" t="e">
        <f t="shared" si="3"/>
        <v>#N/A</v>
      </c>
      <c r="AB30" s="1810" t="e">
        <f t="shared" si="4"/>
        <v>#N/A</v>
      </c>
      <c r="AC30" s="1810"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1"/>
      <c r="Q31" s="1809" t="str">
        <f t="shared" si="11"/>
        <v>建筑结构</v>
      </c>
      <c r="R31" s="771" t="s">
        <v>17</v>
      </c>
      <c r="S31" s="772">
        <f t="shared" si="12"/>
        <v>100</v>
      </c>
      <c r="T31" s="771" t="s">
        <v>17</v>
      </c>
      <c r="U31" s="772">
        <f t="shared" si="13"/>
        <v>100</v>
      </c>
      <c r="V31" s="771" t="s">
        <v>17</v>
      </c>
      <c r="W31" s="772">
        <f t="shared" si="14"/>
        <v>100</v>
      </c>
      <c r="X31" s="1812"/>
      <c r="Y31" s="3231"/>
      <c r="Z31" s="1813" t="str">
        <f t="shared" si="15"/>
        <v>建筑结构</v>
      </c>
      <c r="AA31" s="1810">
        <f t="shared" si="3"/>
        <v>1</v>
      </c>
      <c r="AB31" s="1810">
        <f t="shared" si="4"/>
        <v>1</v>
      </c>
      <c r="AC31" s="1810">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1"/>
      <c r="Q32" s="1809" t="str">
        <f t="shared" si="11"/>
        <v>公共部分装修</v>
      </c>
      <c r="R32" s="771" t="s">
        <v>17</v>
      </c>
      <c r="S32" s="772">
        <f t="shared" si="12"/>
        <v>100</v>
      </c>
      <c r="T32" s="771" t="s">
        <v>17</v>
      </c>
      <c r="U32" s="772">
        <f t="shared" si="13"/>
        <v>100</v>
      </c>
      <c r="V32" s="771" t="s">
        <v>17</v>
      </c>
      <c r="W32" s="772">
        <f t="shared" si="14"/>
        <v>100</v>
      </c>
      <c r="X32" s="1812"/>
      <c r="Y32" s="3231"/>
      <c r="Z32" s="1813" t="str">
        <f t="shared" si="15"/>
        <v>公共部分装修</v>
      </c>
      <c r="AA32" s="1810">
        <f t="shared" si="3"/>
        <v>1</v>
      </c>
      <c r="AB32" s="1810">
        <f t="shared" si="4"/>
        <v>1</v>
      </c>
      <c r="AC32" s="1810">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1"/>
      <c r="Q33" s="1809" t="str">
        <f t="shared" si="11"/>
        <v>成新度</v>
      </c>
      <c r="R33" s="771" t="s">
        <v>17</v>
      </c>
      <c r="S33" s="772" t="e">
        <f t="shared" si="12"/>
        <v>#N/A</v>
      </c>
      <c r="T33" s="771" t="s">
        <v>17</v>
      </c>
      <c r="U33" s="772" t="e">
        <f t="shared" si="13"/>
        <v>#N/A</v>
      </c>
      <c r="V33" s="771" t="s">
        <v>17</v>
      </c>
      <c r="W33" s="772" t="e">
        <f t="shared" si="14"/>
        <v>#N/A</v>
      </c>
      <c r="X33" s="1812"/>
      <c r="Y33" s="3231"/>
      <c r="Z33" s="1813" t="str">
        <f t="shared" si="15"/>
        <v>成新度</v>
      </c>
      <c r="AA33" s="1810" t="e">
        <f t="shared" si="3"/>
        <v>#N/A</v>
      </c>
      <c r="AB33" s="1810" t="e">
        <f t="shared" si="4"/>
        <v>#N/A</v>
      </c>
      <c r="AC33" s="1810"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1"/>
      <c r="Q34" s="1794" t="str">
        <f t="shared" si="11"/>
        <v>物业管理</v>
      </c>
      <c r="R34" s="767" t="s">
        <v>17</v>
      </c>
      <c r="S34" s="768">
        <f t="shared" si="12"/>
        <v>100</v>
      </c>
      <c r="T34" s="767" t="s">
        <v>17</v>
      </c>
      <c r="U34" s="768">
        <f t="shared" si="13"/>
        <v>100</v>
      </c>
      <c r="V34" s="767" t="s">
        <v>17</v>
      </c>
      <c r="W34" s="768">
        <f t="shared" si="14"/>
        <v>100</v>
      </c>
      <c r="X34" s="769"/>
      <c r="Y34" s="3231"/>
      <c r="Z34" s="55" t="str">
        <f t="shared" si="15"/>
        <v>物业管理</v>
      </c>
      <c r="AA34" s="770">
        <f t="shared" si="3"/>
        <v>1</v>
      </c>
      <c r="AB34" s="770">
        <f t="shared" si="4"/>
        <v>1</v>
      </c>
      <c r="AC34" s="770">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1" t="s">
        <v>2560</v>
      </c>
      <c r="Q35" s="1809" t="str">
        <f t="shared" si="11"/>
        <v>市政基础设施</v>
      </c>
      <c r="R35" s="771" t="s">
        <v>17</v>
      </c>
      <c r="S35" s="772">
        <f t="shared" si="12"/>
        <v>100</v>
      </c>
      <c r="T35" s="771" t="s">
        <v>17</v>
      </c>
      <c r="U35" s="772">
        <f t="shared" si="13"/>
        <v>100</v>
      </c>
      <c r="V35" s="771" t="s">
        <v>17</v>
      </c>
      <c r="W35" s="772">
        <f t="shared" si="14"/>
        <v>100</v>
      </c>
      <c r="X35" s="1812"/>
      <c r="Y35" s="3231" t="s">
        <v>2560</v>
      </c>
      <c r="Z35" s="1813" t="str">
        <f t="shared" si="15"/>
        <v>市政基础设施</v>
      </c>
      <c r="AA35" s="1810">
        <f t="shared" si="3"/>
        <v>1</v>
      </c>
      <c r="AB35" s="1810">
        <f t="shared" si="4"/>
        <v>1</v>
      </c>
      <c r="AC35" s="1810">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1"/>
      <c r="Q36" s="1809" t="str">
        <f t="shared" si="11"/>
        <v>内部装修</v>
      </c>
      <c r="R36" s="771" t="s">
        <v>17</v>
      </c>
      <c r="S36" s="772">
        <f t="shared" si="12"/>
        <v>100</v>
      </c>
      <c r="T36" s="771" t="s">
        <v>17</v>
      </c>
      <c r="U36" s="772">
        <f t="shared" si="13"/>
        <v>100</v>
      </c>
      <c r="V36" s="771" t="s">
        <v>17</v>
      </c>
      <c r="W36" s="772">
        <f t="shared" si="14"/>
        <v>100</v>
      </c>
      <c r="X36" s="1812"/>
      <c r="Y36" s="3231"/>
      <c r="Z36" s="1813" t="str">
        <f t="shared" si="15"/>
        <v>内部装修</v>
      </c>
      <c r="AA36" s="1810">
        <f t="shared" si="3"/>
        <v>1</v>
      </c>
      <c r="AB36" s="1810">
        <f t="shared" si="4"/>
        <v>1</v>
      </c>
      <c r="AC36" s="1810">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1"/>
      <c r="Q37" s="1809" t="str">
        <f t="shared" si="11"/>
        <v>内部装修状况</v>
      </c>
      <c r="R37" s="771" t="s">
        <v>17</v>
      </c>
      <c r="S37" s="772">
        <f t="shared" si="12"/>
        <v>100</v>
      </c>
      <c r="T37" s="771" t="s">
        <v>17</v>
      </c>
      <c r="U37" s="772">
        <f t="shared" si="13"/>
        <v>100</v>
      </c>
      <c r="V37" s="771" t="s">
        <v>17</v>
      </c>
      <c r="W37" s="772">
        <f t="shared" si="14"/>
        <v>100</v>
      </c>
      <c r="X37" s="1812"/>
      <c r="Y37" s="3231"/>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1"/>
      <c r="Q38" s="773">
        <f t="shared" si="11"/>
        <v>111</v>
      </c>
      <c r="R38" s="774" t="s">
        <v>17</v>
      </c>
      <c r="S38" s="775">
        <f t="shared" si="12"/>
        <v>100</v>
      </c>
      <c r="T38" s="774" t="s">
        <v>17</v>
      </c>
      <c r="U38" s="775">
        <f t="shared" si="13"/>
        <v>100</v>
      </c>
      <c r="V38" s="774" t="s">
        <v>17</v>
      </c>
      <c r="W38" s="775">
        <f t="shared" si="14"/>
        <v>100</v>
      </c>
      <c r="X38" s="776"/>
      <c r="Y38" s="3231"/>
      <c r="Z38" s="777">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1"/>
      <c r="Q39" s="1809">
        <f t="shared" si="11"/>
        <v>111</v>
      </c>
      <c r="R39" s="771" t="s">
        <v>17</v>
      </c>
      <c r="S39" s="772">
        <f t="shared" si="12"/>
        <v>100</v>
      </c>
      <c r="T39" s="771" t="s">
        <v>17</v>
      </c>
      <c r="U39" s="772">
        <f t="shared" si="13"/>
        <v>100</v>
      </c>
      <c r="V39" s="771" t="s">
        <v>17</v>
      </c>
      <c r="W39" s="772">
        <f t="shared" si="14"/>
        <v>100</v>
      </c>
      <c r="X39" s="1812"/>
      <c r="Y39" s="3231"/>
      <c r="Z39" s="1813">
        <f t="shared" si="15"/>
        <v>111</v>
      </c>
      <c r="AA39" s="1810">
        <f t="shared" si="3"/>
        <v>1</v>
      </c>
      <c r="AB39" s="1810">
        <f t="shared" si="4"/>
        <v>1</v>
      </c>
      <c r="AC39" s="1810">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2"/>
      <c r="Q40" s="1809">
        <f t="shared" si="11"/>
        <v>111</v>
      </c>
      <c r="R40" s="771" t="s">
        <v>17</v>
      </c>
      <c r="S40" s="772">
        <f t="shared" si="12"/>
        <v>100</v>
      </c>
      <c r="T40" s="771" t="s">
        <v>17</v>
      </c>
      <c r="U40" s="772">
        <f t="shared" si="13"/>
        <v>100</v>
      </c>
      <c r="V40" s="771" t="s">
        <v>17</v>
      </c>
      <c r="W40" s="772">
        <f t="shared" si="14"/>
        <v>100</v>
      </c>
      <c r="X40" s="1812"/>
      <c r="Y40" s="3232"/>
      <c r="Z40" s="1813">
        <f t="shared" si="15"/>
        <v>111</v>
      </c>
      <c r="AA40" s="1810">
        <f t="shared" si="3"/>
        <v>1</v>
      </c>
      <c r="AB40" s="1810">
        <f t="shared" si="4"/>
        <v>1</v>
      </c>
      <c r="AC40" s="1810">
        <f t="shared" si="5"/>
        <v>1</v>
      </c>
    </row>
    <row r="41" spans="1:29" ht="15">
      <c r="A41" s="479" t="s">
        <v>2572</v>
      </c>
      <c r="B41" s="480"/>
      <c r="C41" s="1407" t="s">
        <v>1</v>
      </c>
      <c r="D41" s="1408"/>
      <c r="E41" s="1409"/>
      <c r="F41" s="1410"/>
      <c r="G41" s="1411"/>
      <c r="H41" s="1412"/>
      <c r="I41" s="1409"/>
      <c r="J41" s="1412"/>
      <c r="K41" s="780"/>
      <c r="L41" s="1143"/>
      <c r="M41" s="1144"/>
      <c r="N41" s="1131"/>
      <c r="O41" s="1144"/>
      <c r="P41" s="3224" t="str">
        <f>A41</f>
        <v>成交单价（元/平方米）</v>
      </c>
      <c r="Q41" s="3224"/>
      <c r="R41" s="3225">
        <f>E41</f>
        <v>0</v>
      </c>
      <c r="S41" s="3225"/>
      <c r="T41" s="3225">
        <f>G41</f>
        <v>0</v>
      </c>
      <c r="U41" s="3225"/>
      <c r="V41" s="3225">
        <f>I41</f>
        <v>0</v>
      </c>
      <c r="W41" s="3225"/>
      <c r="X41" s="756"/>
      <c r="Y41" s="778"/>
      <c r="Z41" s="756"/>
      <c r="AA41" s="756"/>
      <c r="AB41" s="756"/>
      <c r="AC41" s="756"/>
    </row>
    <row r="42" spans="1:29" ht="15.75" thickBot="1">
      <c r="A42" s="486" t="s">
        <v>2663</v>
      </c>
      <c r="B42" s="487"/>
      <c r="C42" s="1413" t="e">
        <f>R43</f>
        <v>#DIV/0!</v>
      </c>
      <c r="D42" s="1414"/>
      <c r="E42" s="1415" t="e">
        <f>R42</f>
        <v>#DIV/0!</v>
      </c>
      <c r="F42" s="1415"/>
      <c r="G42" s="1413" t="e">
        <f>T42</f>
        <v>#DIV/0!</v>
      </c>
      <c r="H42" s="1414"/>
      <c r="I42" s="1415" t="e">
        <f>V42</f>
        <v>#DIV/0!</v>
      </c>
      <c r="J42" s="1414"/>
      <c r="K42" s="781"/>
      <c r="L42" s="1143"/>
      <c r="M42" s="1144"/>
      <c r="N42" s="1131"/>
      <c r="O42" s="1144"/>
      <c r="P42" s="3224" t="str">
        <f>A42</f>
        <v>比较价值（元/平方米）</v>
      </c>
      <c r="Q42" s="3224"/>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756"/>
      <c r="Y42" s="756"/>
      <c r="Z42" s="756"/>
      <c r="AA42" s="756"/>
      <c r="AB42" s="756"/>
      <c r="AC42" s="756"/>
    </row>
    <row r="43" spans="1:29" ht="15.75" thickBot="1">
      <c r="A43" s="492" t="s">
        <v>2664</v>
      </c>
      <c r="B43" s="493"/>
      <c r="C43" s="1417" t="e">
        <f>R43</f>
        <v>#DIV/0!</v>
      </c>
      <c r="D43" s="1417"/>
      <c r="E43" s="1417"/>
      <c r="F43" s="1417"/>
      <c r="G43" s="1417"/>
      <c r="H43" s="1417"/>
      <c r="I43" s="1417"/>
      <c r="J43" s="1417"/>
      <c r="K43" s="782"/>
      <c r="L43" s="1143"/>
      <c r="M43" s="1144"/>
      <c r="N43" s="1144"/>
      <c r="O43" s="1144"/>
      <c r="P43" s="3221" t="str">
        <f>A43</f>
        <v>估价对象XX用房的比较价值（楼面单价，元/平方米）</v>
      </c>
      <c r="Q43" s="3222"/>
      <c r="R43" s="3223" t="e">
        <f>IF(F1="售价",ROUND(AVERAGE(R42:V42),0),ROUND(AVERAGE(R42:V42),1))</f>
        <v>#DIV/0!</v>
      </c>
      <c r="S43" s="3223"/>
      <c r="T43" s="3223"/>
      <c r="U43" s="3223"/>
      <c r="V43" s="3223"/>
      <c r="W43" s="3223"/>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2668</v>
      </c>
      <c r="B51" s="756"/>
      <c r="C51" s="761"/>
      <c r="D51" s="761"/>
      <c r="E51" s="761"/>
      <c r="F51" s="762"/>
      <c r="G51" s="762"/>
      <c r="H51" s="761"/>
      <c r="I51" s="761"/>
      <c r="J51" s="761"/>
      <c r="K51" s="1160"/>
      <c r="L51" s="1161"/>
      <c r="M51" s="1159"/>
      <c r="N51" s="1159"/>
      <c r="O51" s="1159"/>
      <c r="P51" s="503"/>
      <c r="Q51" s="504"/>
    </row>
    <row r="52" spans="1:17" s="508" customFormat="1" ht="15">
      <c r="A52" s="505" t="s">
        <v>2543</v>
      </c>
      <c r="B52" s="506"/>
      <c r="C52" s="1574" t="str">
        <f>YEAR(C7)&amp;"-"&amp;MONTH(C7)</f>
        <v>2018-8</v>
      </c>
      <c r="D52" s="1575">
        <f>EDATE(C52,-1)</f>
        <v>43282</v>
      </c>
      <c r="E52" s="1575">
        <f t="shared" ref="E52:O52" si="16">EDATE(D52,-1)</f>
        <v>43252</v>
      </c>
      <c r="F52" s="1575">
        <f t="shared" si="16"/>
        <v>43221</v>
      </c>
      <c r="G52" s="1575">
        <f t="shared" si="16"/>
        <v>43191</v>
      </c>
      <c r="H52" s="1575">
        <f t="shared" si="16"/>
        <v>43160</v>
      </c>
      <c r="I52" s="1575">
        <f t="shared" si="16"/>
        <v>43132</v>
      </c>
      <c r="J52" s="1575">
        <f t="shared" si="16"/>
        <v>43101</v>
      </c>
      <c r="K52" s="1575">
        <f t="shared" si="16"/>
        <v>43070</v>
      </c>
      <c r="L52" s="1575">
        <f t="shared" si="16"/>
        <v>43040</v>
      </c>
      <c r="M52" s="1575">
        <f t="shared" si="16"/>
        <v>43009</v>
      </c>
      <c r="N52" s="1575">
        <f t="shared" si="16"/>
        <v>42979</v>
      </c>
      <c r="O52" s="1575">
        <f t="shared" si="16"/>
        <v>42948</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8">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2699</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2683</v>
      </c>
      <c r="C76" s="659" t="s">
        <v>2669</v>
      </c>
      <c r="D76" s="659" t="s">
        <v>2670</v>
      </c>
      <c r="E76" s="659" t="s">
        <v>2671</v>
      </c>
      <c r="F76" s="659" t="s">
        <v>2672</v>
      </c>
      <c r="G76" s="659" t="s">
        <v>2673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3"/>
      <c r="O77" s="1153"/>
      <c r="P77" s="45"/>
      <c r="Q77" s="504"/>
    </row>
    <row r="78" spans="1:17" ht="15.75" thickTop="1">
      <c r="A78" s="534"/>
      <c r="B78" s="538" t="s">
        <v>2692</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1"/>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2"/>
      <c r="J98" s="622"/>
      <c r="K98" s="623"/>
      <c r="L98" s="624"/>
      <c r="M98" s="625"/>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5" t="s">
        <v>2700</v>
      </c>
      <c r="C106" s="578" t="s">
        <v>2592</v>
      </c>
      <c r="D106" s="578" t="s">
        <v>2593</v>
      </c>
      <c r="E106" s="578" t="s">
        <v>2594</v>
      </c>
      <c r="F106" s="578" t="s">
        <v>2595</v>
      </c>
      <c r="G106" s="578" t="s">
        <v>2596</v>
      </c>
      <c r="H106" s="539"/>
      <c r="I106" s="539"/>
      <c r="J106" s="539"/>
      <c r="K106" s="540"/>
      <c r="L106" s="541"/>
      <c r="M106" s="542"/>
      <c r="N106" s="1153"/>
      <c r="O106" s="1153"/>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7" sqref="L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2525</v>
      </c>
      <c r="D1" s="1621"/>
      <c r="E1" s="1622"/>
      <c r="F1" s="2580"/>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82"/>
      <c r="D2" s="1124" t="e">
        <f ca="1">SUMIF(INDIRECT("'"&amp;F2&amp;"'"&amp;"!A:A"),"承租人权益价值",INDIRECT("'"&amp;F2&amp;"'"&amp;"!c:c"))</f>
        <v>#REF!</v>
      </c>
      <c r="E2" s="2583" t="s">
        <v>2323</v>
      </c>
      <c r="F2" s="2584"/>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8" customFormat="1" ht="28.5" customHeight="1" thickBot="1">
      <c r="A3" s="247" t="s">
        <v>2324</v>
      </c>
      <c r="B3" s="609" t="e">
        <f ca="1">IF(AND(C2="——",B37="元/平方米"),C39,ROUND(B2*10000/D3,0))</f>
        <v>#DIV/0!</v>
      </c>
      <c r="C3" s="400" t="s">
        <v>2639</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401" t="s">
        <v>2640</v>
      </c>
      <c r="B4" s="402"/>
      <c r="C4" s="3206" t="s">
        <v>2641</v>
      </c>
      <c r="D4" s="3207"/>
      <c r="E4" s="3208" t="s">
        <v>2642</v>
      </c>
      <c r="F4" s="3209"/>
      <c r="G4" s="3206" t="s">
        <v>2643</v>
      </c>
      <c r="H4" s="3207"/>
      <c r="I4" s="3206" t="s">
        <v>2644</v>
      </c>
      <c r="J4" s="3207"/>
      <c r="K4" s="610" t="s">
        <v>2645</v>
      </c>
      <c r="L4" s="1130"/>
      <c r="M4" s="1131"/>
      <c r="N4" s="1131"/>
      <c r="O4" s="1131"/>
      <c r="P4" s="3210" t="s">
        <v>2646</v>
      </c>
      <c r="Q4" s="3211"/>
      <c r="R4" s="3193" t="s">
        <v>2642</v>
      </c>
      <c r="S4" s="3194"/>
      <c r="T4" s="3193" t="s">
        <v>2643</v>
      </c>
      <c r="U4" s="3194"/>
      <c r="V4" s="3218" t="s">
        <v>2644</v>
      </c>
      <c r="W4" s="3218"/>
      <c r="X4" s="1812"/>
      <c r="Y4" s="3193" t="s">
        <v>2646</v>
      </c>
      <c r="Z4" s="3194"/>
      <c r="AA4" s="3188" t="s">
        <v>2642</v>
      </c>
      <c r="AB4" s="3189" t="s">
        <v>2643</v>
      </c>
      <c r="AC4" s="3188" t="s">
        <v>2644</v>
      </c>
    </row>
    <row r="5" spans="1:29" ht="15">
      <c r="A5" s="404"/>
      <c r="B5" s="405"/>
      <c r="C5" s="3219" t="s">
        <v>2537</v>
      </c>
      <c r="D5" s="3200"/>
      <c r="E5" s="3238" t="s">
        <v>2538</v>
      </c>
      <c r="F5" s="3198"/>
      <c r="G5" s="3219" t="s">
        <v>2539</v>
      </c>
      <c r="H5" s="3200"/>
      <c r="I5" s="3219" t="s">
        <v>2540</v>
      </c>
      <c r="J5" s="3200"/>
      <c r="K5" s="610"/>
      <c r="L5" s="1130"/>
      <c r="M5" s="1131"/>
      <c r="N5" s="1131"/>
      <c r="O5" s="1131"/>
      <c r="P5" s="3212"/>
      <c r="Q5" s="3213"/>
      <c r="R5" s="3195"/>
      <c r="S5" s="3196"/>
      <c r="T5" s="3195"/>
      <c r="U5" s="3196"/>
      <c r="V5" s="3218"/>
      <c r="W5" s="3218"/>
      <c r="X5" s="1812"/>
      <c r="Y5" s="3195"/>
      <c r="Z5" s="3196"/>
      <c r="AA5" s="3189"/>
      <c r="AB5" s="3189"/>
      <c r="AC5" s="3189"/>
    </row>
    <row r="6" spans="1:29" ht="15.75" thickBot="1">
      <c r="A6" s="406"/>
      <c r="B6" s="407"/>
      <c r="C6" s="3201" t="s">
        <v>2541</v>
      </c>
      <c r="D6" s="3202"/>
      <c r="E6" s="3203" t="s">
        <v>2541</v>
      </c>
      <c r="F6" s="3204"/>
      <c r="G6" s="3201" t="s">
        <v>2541</v>
      </c>
      <c r="H6" s="3202"/>
      <c r="I6" s="3201" t="s">
        <v>2541</v>
      </c>
      <c r="J6" s="3202"/>
      <c r="K6" s="610" t="s">
        <v>2542</v>
      </c>
      <c r="L6" s="1130"/>
      <c r="M6" s="1131"/>
      <c r="N6" s="1131"/>
      <c r="O6" s="1131"/>
      <c r="P6" s="3214"/>
      <c r="Q6" s="3215"/>
      <c r="R6" s="3195"/>
      <c r="S6" s="3196"/>
      <c r="T6" s="3216"/>
      <c r="U6" s="3217"/>
      <c r="V6" s="3218"/>
      <c r="W6" s="3218"/>
      <c r="X6" s="1812"/>
      <c r="Y6" s="3216"/>
      <c r="Z6" s="3217"/>
      <c r="AA6" s="3190"/>
      <c r="AB6" s="3190"/>
      <c r="AC6" s="3190"/>
    </row>
    <row r="7" spans="1:29" s="117" customFormat="1" ht="15.75" thickBot="1">
      <c r="A7" s="408" t="s">
        <v>2543</v>
      </c>
      <c r="B7" s="409"/>
      <c r="C7" s="410">
        <f>'数据-取费表'!B2</f>
        <v>43335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1" t="s">
        <v>2544</v>
      </c>
      <c r="Q7" s="3220"/>
      <c r="R7" s="767" t="s">
        <v>17</v>
      </c>
      <c r="S7" s="768">
        <f t="shared" ref="S7:S14" si="0">F7</f>
        <v>0</v>
      </c>
      <c r="T7" s="767" t="s">
        <v>17</v>
      </c>
      <c r="U7" s="768">
        <f t="shared" ref="U7:U14" si="1">H7</f>
        <v>0</v>
      </c>
      <c r="V7" s="767" t="s">
        <v>17</v>
      </c>
      <c r="W7" s="768">
        <f t="shared" ref="W7:W14" si="2">J7</f>
        <v>0</v>
      </c>
      <c r="X7" s="769"/>
      <c r="Y7" s="3191" t="s">
        <v>2544</v>
      </c>
      <c r="Z7" s="3192"/>
      <c r="AA7" s="770" t="e">
        <f>D7/F7</f>
        <v>#DIV/0!</v>
      </c>
      <c r="AB7" s="770" t="e">
        <f>D7/H7</f>
        <v>#DIV/0!</v>
      </c>
      <c r="AC7" s="770"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1" t="s">
        <v>2547</v>
      </c>
      <c r="Q8" s="3192"/>
      <c r="R8" s="767" t="s">
        <v>17</v>
      </c>
      <c r="S8" s="768">
        <f t="shared" si="0"/>
        <v>0</v>
      </c>
      <c r="T8" s="767" t="s">
        <v>17</v>
      </c>
      <c r="U8" s="768">
        <f t="shared" si="1"/>
        <v>0</v>
      </c>
      <c r="V8" s="767" t="s">
        <v>17</v>
      </c>
      <c r="W8" s="768">
        <f t="shared" si="2"/>
        <v>0</v>
      </c>
      <c r="X8" s="769"/>
      <c r="Y8" s="3191" t="s">
        <v>2547</v>
      </c>
      <c r="Z8" s="3192"/>
      <c r="AA8" s="770" t="e">
        <f t="shared" ref="AA8:AA36" si="3">D8/F8</f>
        <v>#DIV/0!</v>
      </c>
      <c r="AB8" s="770" t="e">
        <f t="shared" ref="AB8:AB36" si="4">D8/H8</f>
        <v>#DIV/0!</v>
      </c>
      <c r="AC8" s="770" t="e">
        <f t="shared" ref="AC8:AC36" si="5">D8/J8</f>
        <v>#DIV/0!</v>
      </c>
    </row>
    <row r="9" spans="1:29" s="117" customFormat="1">
      <c r="A9" s="68" t="s">
        <v>2548</v>
      </c>
      <c r="B9" s="639"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4" t="s">
        <v>2550</v>
      </c>
      <c r="Q9" s="1794" t="str">
        <f t="shared" ref="Q9:Q14" si="6">B9</f>
        <v>用途</v>
      </c>
      <c r="R9" s="767" t="s">
        <v>17</v>
      </c>
      <c r="S9" s="768">
        <f t="shared" si="0"/>
        <v>100</v>
      </c>
      <c r="T9" s="767" t="s">
        <v>17</v>
      </c>
      <c r="U9" s="768">
        <f t="shared" si="1"/>
        <v>100</v>
      </c>
      <c r="V9" s="767" t="s">
        <v>17</v>
      </c>
      <c r="W9" s="768">
        <f t="shared" si="2"/>
        <v>100</v>
      </c>
      <c r="X9" s="769"/>
      <c r="Y9" s="3038" t="s">
        <v>2551</v>
      </c>
      <c r="Z9" s="55" t="str">
        <f t="shared" ref="Z9:Z14" si="7">Q9</f>
        <v>用途</v>
      </c>
      <c r="AA9" s="770">
        <f t="shared" si="3"/>
        <v>1</v>
      </c>
      <c r="AB9" s="770">
        <f t="shared" si="4"/>
        <v>1</v>
      </c>
      <c r="AC9" s="770">
        <f t="shared" si="5"/>
        <v>1</v>
      </c>
    </row>
    <row r="10" spans="1:29" s="427" customFormat="1" ht="27">
      <c r="A10" s="640"/>
      <c r="B10" s="641"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4"/>
      <c r="Q10" s="1794" t="str">
        <f t="shared" si="6"/>
        <v>土地使用年限（年）</v>
      </c>
      <c r="R10" s="767" t="s">
        <v>17</v>
      </c>
      <c r="S10" s="768">
        <f t="shared" si="0"/>
        <v>100</v>
      </c>
      <c r="T10" s="767" t="s">
        <v>17</v>
      </c>
      <c r="U10" s="768">
        <f t="shared" si="1"/>
        <v>100</v>
      </c>
      <c r="V10" s="767" t="s">
        <v>17</v>
      </c>
      <c r="W10" s="768">
        <f t="shared" si="2"/>
        <v>100</v>
      </c>
      <c r="X10" s="769"/>
      <c r="Y10" s="3038"/>
      <c r="Z10" s="55" t="str">
        <f t="shared" si="7"/>
        <v>土地使用年限（年）</v>
      </c>
      <c r="AA10" s="770">
        <f t="shared" si="3"/>
        <v>1</v>
      </c>
      <c r="AB10" s="770">
        <f t="shared" si="4"/>
        <v>1</v>
      </c>
      <c r="AC10" s="770">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4"/>
      <c r="Q11" s="1794">
        <f t="shared" si="6"/>
        <v>111</v>
      </c>
      <c r="R11" s="767" t="s">
        <v>17</v>
      </c>
      <c r="S11" s="768">
        <f t="shared" si="0"/>
        <v>100</v>
      </c>
      <c r="T11" s="767" t="s">
        <v>17</v>
      </c>
      <c r="U11" s="768">
        <f t="shared" si="1"/>
        <v>100</v>
      </c>
      <c r="V11" s="767" t="s">
        <v>17</v>
      </c>
      <c r="W11" s="768">
        <f t="shared" si="2"/>
        <v>100</v>
      </c>
      <c r="X11" s="769"/>
      <c r="Y11" s="3038"/>
      <c r="Z11" s="55">
        <f t="shared" si="7"/>
        <v>111</v>
      </c>
      <c r="AA11" s="770">
        <f t="shared" si="3"/>
        <v>1</v>
      </c>
      <c r="AB11" s="770">
        <f t="shared" si="4"/>
        <v>1</v>
      </c>
      <c r="AC11" s="770">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4"/>
      <c r="Q12" s="1794">
        <f t="shared" si="6"/>
        <v>111</v>
      </c>
      <c r="R12" s="767" t="s">
        <v>17</v>
      </c>
      <c r="S12" s="768">
        <f t="shared" si="0"/>
        <v>100</v>
      </c>
      <c r="T12" s="767" t="s">
        <v>17</v>
      </c>
      <c r="U12" s="768">
        <f t="shared" si="1"/>
        <v>100</v>
      </c>
      <c r="V12" s="767" t="s">
        <v>17</v>
      </c>
      <c r="W12" s="768">
        <f t="shared" si="2"/>
        <v>100</v>
      </c>
      <c r="X12" s="769"/>
      <c r="Y12" s="3038"/>
      <c r="Z12" s="55">
        <f t="shared" si="7"/>
        <v>111</v>
      </c>
      <c r="AA12" s="770">
        <f>D12/F12</f>
        <v>1</v>
      </c>
      <c r="AB12" s="770">
        <f>D12/H12</f>
        <v>1</v>
      </c>
      <c r="AC12" s="770">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4"/>
      <c r="Q13" s="1794">
        <f t="shared" si="6"/>
        <v>111</v>
      </c>
      <c r="R13" s="767" t="s">
        <v>17</v>
      </c>
      <c r="S13" s="768">
        <f t="shared" si="0"/>
        <v>100</v>
      </c>
      <c r="T13" s="767" t="s">
        <v>17</v>
      </c>
      <c r="U13" s="768">
        <f t="shared" si="1"/>
        <v>100</v>
      </c>
      <c r="V13" s="767" t="s">
        <v>17</v>
      </c>
      <c r="W13" s="768">
        <f t="shared" si="2"/>
        <v>100</v>
      </c>
      <c r="X13" s="769"/>
      <c r="Y13" s="3038"/>
      <c r="Z13" s="55">
        <f t="shared" si="7"/>
        <v>111</v>
      </c>
      <c r="AA13" s="770">
        <f t="shared" si="3"/>
        <v>1</v>
      </c>
      <c r="AB13" s="770">
        <f t="shared" si="4"/>
        <v>1</v>
      </c>
      <c r="AC13" s="770">
        <f t="shared" si="5"/>
        <v>1</v>
      </c>
    </row>
    <row r="14" spans="1:29" ht="85.5">
      <c r="A14" s="401" t="s">
        <v>2554</v>
      </c>
      <c r="B14" s="628" t="s">
        <v>2703</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6" t="s">
        <v>2555</v>
      </c>
      <c r="Q14" s="1809" t="str">
        <f t="shared" si="6"/>
        <v>交通便捷度</v>
      </c>
      <c r="R14" s="771" t="s">
        <v>17</v>
      </c>
      <c r="S14" s="772">
        <f t="shared" si="0"/>
        <v>100</v>
      </c>
      <c r="T14" s="771" t="s">
        <v>17</v>
      </c>
      <c r="U14" s="772">
        <f t="shared" si="1"/>
        <v>100</v>
      </c>
      <c r="V14" s="771" t="s">
        <v>17</v>
      </c>
      <c r="W14" s="772">
        <f t="shared" si="2"/>
        <v>100</v>
      </c>
      <c r="X14" s="1812"/>
      <c r="Y14" s="3226" t="s">
        <v>2555</v>
      </c>
      <c r="Z14" s="1813" t="str">
        <f t="shared" si="7"/>
        <v>交通便捷度</v>
      </c>
      <c r="AA14" s="1810">
        <f t="shared" si="3"/>
        <v>1</v>
      </c>
      <c r="AB14" s="1810">
        <f t="shared" si="4"/>
        <v>1</v>
      </c>
      <c r="AC14" s="1810">
        <f t="shared" si="5"/>
        <v>1</v>
      </c>
    </row>
    <row r="15" spans="1:29" ht="15">
      <c r="A15" s="404"/>
      <c r="B15" s="646"/>
      <c r="C15" s="447"/>
      <c r="D15" s="448"/>
      <c r="E15" s="447"/>
      <c r="F15" s="449"/>
      <c r="G15" s="447"/>
      <c r="H15" s="450"/>
      <c r="I15" s="447"/>
      <c r="J15" s="448"/>
      <c r="K15" s="615"/>
      <c r="L15" s="1140"/>
      <c r="M15" s="1131"/>
      <c r="N15" s="1131"/>
      <c r="O15" s="1131"/>
      <c r="P15" s="3227"/>
      <c r="Q15" s="1809"/>
      <c r="R15" s="771"/>
      <c r="S15" s="772"/>
      <c r="T15" s="771"/>
      <c r="U15" s="772"/>
      <c r="V15" s="771"/>
      <c r="W15" s="772"/>
      <c r="X15" s="1812"/>
      <c r="Y15" s="3227"/>
      <c r="Z15" s="1813"/>
      <c r="AA15" s="1810">
        <v>1</v>
      </c>
      <c r="AB15" s="1810">
        <v>1</v>
      </c>
      <c r="AC15" s="1810">
        <v>1</v>
      </c>
    </row>
    <row r="16" spans="1:29" ht="42.75">
      <c r="A16" s="404"/>
      <c r="B16" s="630" t="s">
        <v>2682</v>
      </c>
      <c r="C16" s="2603"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7"/>
      <c r="Q16" s="1809" t="str">
        <f>B16</f>
        <v>公共配套设施</v>
      </c>
      <c r="R16" s="771" t="s">
        <v>17</v>
      </c>
      <c r="S16" s="772">
        <f>F16</f>
        <v>100</v>
      </c>
      <c r="T16" s="771" t="s">
        <v>17</v>
      </c>
      <c r="U16" s="772">
        <f>H16</f>
        <v>100</v>
      </c>
      <c r="V16" s="771" t="s">
        <v>17</v>
      </c>
      <c r="W16" s="772">
        <f>J16</f>
        <v>100</v>
      </c>
      <c r="X16" s="1812"/>
      <c r="Y16" s="3227"/>
      <c r="Z16" s="1813" t="str">
        <f>Q16</f>
        <v>公共配套设施</v>
      </c>
      <c r="AA16" s="1810">
        <f t="shared" si="3"/>
        <v>1</v>
      </c>
      <c r="AB16" s="1810">
        <f t="shared" si="4"/>
        <v>1</v>
      </c>
      <c r="AC16" s="1810">
        <f t="shared" si="5"/>
        <v>1</v>
      </c>
    </row>
    <row r="17" spans="1:29" ht="15">
      <c r="A17" s="404"/>
      <c r="B17" s="631"/>
      <c r="C17" s="2604"/>
      <c r="D17" s="448"/>
      <c r="E17" s="447"/>
      <c r="F17" s="449"/>
      <c r="G17" s="447"/>
      <c r="H17" s="448"/>
      <c r="I17" s="447"/>
      <c r="J17" s="448"/>
      <c r="K17" s="615"/>
      <c r="L17" s="1140"/>
      <c r="M17" s="1131"/>
      <c r="N17" s="1131"/>
      <c r="O17" s="1131"/>
      <c r="P17" s="3227"/>
      <c r="Q17" s="1809"/>
      <c r="R17" s="771"/>
      <c r="S17" s="772"/>
      <c r="T17" s="771"/>
      <c r="U17" s="772"/>
      <c r="V17" s="771"/>
      <c r="W17" s="772"/>
      <c r="X17" s="1812"/>
      <c r="Y17" s="3227"/>
      <c r="Z17" s="1813"/>
      <c r="AA17" s="1810">
        <v>1</v>
      </c>
      <c r="AB17" s="1810">
        <v>1</v>
      </c>
      <c r="AC17" s="1810">
        <v>1</v>
      </c>
    </row>
    <row r="18" spans="1:29" ht="42.75">
      <c r="A18" s="404"/>
      <c r="B18" s="632" t="s">
        <v>2683</v>
      </c>
      <c r="C18" s="2603"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7"/>
      <c r="Q18" s="1809" t="str">
        <f>B18</f>
        <v>基础设施水平</v>
      </c>
      <c r="R18" s="771" t="s">
        <v>17</v>
      </c>
      <c r="S18" s="772">
        <f>F18</f>
        <v>100</v>
      </c>
      <c r="T18" s="771" t="s">
        <v>17</v>
      </c>
      <c r="U18" s="772">
        <f>H18</f>
        <v>100</v>
      </c>
      <c r="V18" s="771" t="s">
        <v>17</v>
      </c>
      <c r="W18" s="772">
        <f>J18</f>
        <v>100</v>
      </c>
      <c r="X18" s="1812"/>
      <c r="Y18" s="3227"/>
      <c r="Z18" s="1813" t="str">
        <f>Q18</f>
        <v>基础设施水平</v>
      </c>
      <c r="AA18" s="1810">
        <f t="shared" ref="AA18" si="8">D18/F18</f>
        <v>1</v>
      </c>
      <c r="AB18" s="1810">
        <f t="shared" ref="AB18" si="9">D18/H18</f>
        <v>1</v>
      </c>
      <c r="AC18" s="1810">
        <f t="shared" ref="AC18" si="10">D18/J18</f>
        <v>1</v>
      </c>
    </row>
    <row r="19" spans="1:29" ht="15">
      <c r="A19" s="404"/>
      <c r="B19" s="632"/>
      <c r="C19" s="2604"/>
      <c r="D19" s="450"/>
      <c r="E19" s="2604"/>
      <c r="F19" s="453"/>
      <c r="G19" s="2604"/>
      <c r="H19" s="448"/>
      <c r="I19" s="447"/>
      <c r="J19" s="448"/>
      <c r="K19" s="1383"/>
      <c r="L19" s="1140"/>
      <c r="M19" s="1131"/>
      <c r="N19" s="1131"/>
      <c r="O19" s="1131"/>
      <c r="P19" s="3227"/>
      <c r="Q19" s="1809"/>
      <c r="R19" s="771"/>
      <c r="S19" s="772"/>
      <c r="T19" s="771"/>
      <c r="U19" s="772"/>
      <c r="V19" s="771"/>
      <c r="W19" s="772"/>
      <c r="X19" s="1812"/>
      <c r="Y19" s="3227"/>
      <c r="Z19" s="1813"/>
      <c r="AA19" s="1810">
        <v>1</v>
      </c>
      <c r="AB19" s="1810">
        <v>1</v>
      </c>
      <c r="AC19" s="1810">
        <v>1</v>
      </c>
    </row>
    <row r="20" spans="1:29" ht="71.25">
      <c r="A20" s="404"/>
      <c r="B20" s="630" t="s">
        <v>2704</v>
      </c>
      <c r="C20" s="2603" t="str">
        <f>IF(B1="工业",估价对象房地状况!G7,估价对象房地状况!C9)</f>
        <v>区域自然环境：凉水河；人文环境：无高等院校等；综合评价环境状况一般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7"/>
      <c r="Q20" s="1809" t="str">
        <f>B20</f>
        <v>自然及人文环境</v>
      </c>
      <c r="R20" s="771" t="s">
        <v>17</v>
      </c>
      <c r="S20" s="772">
        <f>F20</f>
        <v>100</v>
      </c>
      <c r="T20" s="771" t="s">
        <v>17</v>
      </c>
      <c r="U20" s="772">
        <f>H20</f>
        <v>100</v>
      </c>
      <c r="V20" s="771" t="s">
        <v>17</v>
      </c>
      <c r="W20" s="772">
        <f>J20</f>
        <v>100</v>
      </c>
      <c r="X20" s="1812"/>
      <c r="Y20" s="3227"/>
      <c r="Z20" s="1813" t="str">
        <f>Q20</f>
        <v>自然及人文环境</v>
      </c>
      <c r="AA20" s="1810">
        <f t="shared" si="3"/>
        <v>1</v>
      </c>
      <c r="AB20" s="1810">
        <f t="shared" si="4"/>
        <v>1</v>
      </c>
      <c r="AC20" s="1810">
        <f t="shared" si="5"/>
        <v>1</v>
      </c>
    </row>
    <row r="21" spans="1:29" ht="15">
      <c r="A21" s="404"/>
      <c r="B21" s="631"/>
      <c r="C21" s="447"/>
      <c r="D21" s="448"/>
      <c r="E21" s="447"/>
      <c r="F21" s="449"/>
      <c r="G21" s="447"/>
      <c r="H21" s="448"/>
      <c r="I21" s="447"/>
      <c r="J21" s="448"/>
      <c r="K21" s="615"/>
      <c r="L21" s="1140"/>
      <c r="M21" s="1131"/>
      <c r="N21" s="1131"/>
      <c r="O21" s="1131"/>
      <c r="P21" s="3227"/>
      <c r="Q21" s="1809"/>
      <c r="R21" s="771"/>
      <c r="S21" s="772"/>
      <c r="T21" s="771"/>
      <c r="U21" s="772"/>
      <c r="V21" s="771"/>
      <c r="W21" s="772"/>
      <c r="X21" s="1812"/>
      <c r="Y21" s="3227"/>
      <c r="Z21" s="1813"/>
      <c r="AA21" s="1810">
        <v>1</v>
      </c>
      <c r="AB21" s="1810">
        <v>1</v>
      </c>
      <c r="AC21" s="1810">
        <v>1</v>
      </c>
    </row>
    <row r="22" spans="1:29" ht="15">
      <c r="A22" s="404"/>
      <c r="B22" s="630"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7"/>
      <c r="Q22" s="1809" t="str">
        <f>B22</f>
        <v>楼层</v>
      </c>
      <c r="R22" s="771" t="s">
        <v>17</v>
      </c>
      <c r="S22" s="772">
        <f>F22</f>
        <v>100</v>
      </c>
      <c r="T22" s="771" t="s">
        <v>17</v>
      </c>
      <c r="U22" s="772">
        <f>H22</f>
        <v>100</v>
      </c>
      <c r="V22" s="771" t="s">
        <v>17</v>
      </c>
      <c r="W22" s="772">
        <f>J22</f>
        <v>100</v>
      </c>
      <c r="X22" s="1812"/>
      <c r="Y22" s="3227"/>
      <c r="Z22" s="1813" t="str">
        <f>Q22</f>
        <v>楼层</v>
      </c>
      <c r="AA22" s="1810">
        <f t="shared" si="3"/>
        <v>1</v>
      </c>
      <c r="AB22" s="1810">
        <f t="shared" si="4"/>
        <v>1</v>
      </c>
      <c r="AC22" s="1810">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7"/>
      <c r="Q23" s="1809">
        <f>B23</f>
        <v>111</v>
      </c>
      <c r="R23" s="771" t="s">
        <v>17</v>
      </c>
      <c r="S23" s="772">
        <f>F23</f>
        <v>100</v>
      </c>
      <c r="T23" s="771" t="s">
        <v>17</v>
      </c>
      <c r="U23" s="772">
        <f>H23</f>
        <v>100</v>
      </c>
      <c r="V23" s="771" t="s">
        <v>17</v>
      </c>
      <c r="W23" s="772">
        <f>J23</f>
        <v>100</v>
      </c>
      <c r="X23" s="1812"/>
      <c r="Y23" s="3227"/>
      <c r="Z23" s="1813">
        <f>Q23</f>
        <v>111</v>
      </c>
      <c r="AA23" s="1810">
        <f t="shared" si="3"/>
        <v>1</v>
      </c>
      <c r="AB23" s="1810">
        <f t="shared" si="4"/>
        <v>1</v>
      </c>
      <c r="AC23" s="1810">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7"/>
      <c r="Q24" s="1809">
        <f t="shared" ref="Q24:Q36" si="11">B24</f>
        <v>111</v>
      </c>
      <c r="R24" s="771" t="s">
        <v>17</v>
      </c>
      <c r="S24" s="772">
        <f>F24</f>
        <v>100</v>
      </c>
      <c r="T24" s="771" t="s">
        <v>17</v>
      </c>
      <c r="U24" s="772">
        <f>H24</f>
        <v>100</v>
      </c>
      <c r="V24" s="771" t="s">
        <v>17</v>
      </c>
      <c r="W24" s="772">
        <f>J24</f>
        <v>100</v>
      </c>
      <c r="X24" s="1812"/>
      <c r="Y24" s="3227"/>
      <c r="Z24" s="1813">
        <f>Q24</f>
        <v>111</v>
      </c>
      <c r="AA24" s="1810">
        <f t="shared" si="3"/>
        <v>1</v>
      </c>
      <c r="AB24" s="1810">
        <f t="shared" si="4"/>
        <v>1</v>
      </c>
      <c r="AC24" s="1810">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2"/>
      <c r="M25" s="1133"/>
      <c r="N25" s="1133"/>
      <c r="O25" s="1133"/>
      <c r="P25" s="3227"/>
      <c r="Q25" s="1794">
        <f t="shared" si="11"/>
        <v>111</v>
      </c>
      <c r="R25" s="767" t="s">
        <v>17</v>
      </c>
      <c r="S25" s="768">
        <f>F25</f>
        <v>100</v>
      </c>
      <c r="T25" s="767" t="s">
        <v>17</v>
      </c>
      <c r="U25" s="768">
        <f>H25</f>
        <v>100</v>
      </c>
      <c r="V25" s="767" t="s">
        <v>17</v>
      </c>
      <c r="W25" s="768">
        <f>J25</f>
        <v>100</v>
      </c>
      <c r="X25" s="769"/>
      <c r="Y25" s="3227"/>
      <c r="Z25" s="55">
        <f>Q25</f>
        <v>111</v>
      </c>
      <c r="AA25" s="1810">
        <f>D25/F25</f>
        <v>1</v>
      </c>
      <c r="AB25" s="1810">
        <f>D25/H25</f>
        <v>1</v>
      </c>
      <c r="AC25" s="1810">
        <f>D25/J25</f>
        <v>1</v>
      </c>
    </row>
    <row r="26" spans="1:29" ht="15">
      <c r="A26" s="651" t="s">
        <v>2558</v>
      </c>
      <c r="B26" s="70" t="s">
        <v>2706</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1" t="s">
        <v>2560</v>
      </c>
      <c r="Q26" s="1809" t="str">
        <f t="shared" si="11"/>
        <v>配套类型</v>
      </c>
      <c r="R26" s="771" t="s">
        <v>17</v>
      </c>
      <c r="S26" s="772">
        <f t="shared" ref="S26:S36" si="12">F26</f>
        <v>100</v>
      </c>
      <c r="T26" s="771" t="s">
        <v>17</v>
      </c>
      <c r="U26" s="772">
        <f t="shared" ref="U26:U36" si="13">H26</f>
        <v>100</v>
      </c>
      <c r="V26" s="771" t="s">
        <v>17</v>
      </c>
      <c r="W26" s="772">
        <f t="shared" ref="W26:W36" si="14">J26</f>
        <v>100</v>
      </c>
      <c r="X26" s="1812"/>
      <c r="Y26" s="3231" t="s">
        <v>2560</v>
      </c>
      <c r="Z26" s="1813" t="str">
        <f t="shared" ref="Z26:Z36" si="15">Q26</f>
        <v>配套类型</v>
      </c>
      <c r="AA26" s="1810">
        <f t="shared" si="3"/>
        <v>1</v>
      </c>
      <c r="AB26" s="1810">
        <f t="shared" si="4"/>
        <v>1</v>
      </c>
      <c r="AC26" s="1810">
        <f t="shared" si="5"/>
        <v>1</v>
      </c>
    </row>
    <row r="27" spans="1:29" s="471" customFormat="1" ht="15">
      <c r="A27" s="652"/>
      <c r="B27" s="653" t="s">
        <v>2707</v>
      </c>
      <c r="C27" s="654"/>
      <c r="D27" s="136">
        <v>100</v>
      </c>
      <c r="E27" s="654"/>
      <c r="F27" s="461">
        <f>SUMIF(81:81,E27,82:82)-SUMIF(81:81,C27,82:82)+100</f>
        <v>100</v>
      </c>
      <c r="G27" s="654"/>
      <c r="H27" s="435">
        <f>SUMIF(81:81,G27,82:82)-SUMIF(81:81,C27,82:82)+100</f>
        <v>100</v>
      </c>
      <c r="I27" s="654"/>
      <c r="J27" s="435">
        <f>SUMIF(81:81,I27,82:82)-SUMIF(81:81,C27,82:82)+100</f>
        <v>100</v>
      </c>
      <c r="K27" s="613"/>
      <c r="L27" s="1138"/>
      <c r="M27" s="1141"/>
      <c r="N27" s="1141"/>
      <c r="O27" s="1141"/>
      <c r="P27" s="3231"/>
      <c r="Q27" s="773" t="str">
        <f t="shared" si="11"/>
        <v>项目停车位配比</v>
      </c>
      <c r="R27" s="774" t="s">
        <v>17</v>
      </c>
      <c r="S27" s="775">
        <f t="shared" si="12"/>
        <v>100</v>
      </c>
      <c r="T27" s="774" t="s">
        <v>17</v>
      </c>
      <c r="U27" s="775">
        <f t="shared" si="13"/>
        <v>100</v>
      </c>
      <c r="V27" s="774" t="s">
        <v>17</v>
      </c>
      <c r="W27" s="775">
        <f t="shared" si="14"/>
        <v>100</v>
      </c>
      <c r="X27" s="776"/>
      <c r="Y27" s="3231"/>
      <c r="Z27" s="777" t="str">
        <f t="shared" si="15"/>
        <v>项目停车位配比</v>
      </c>
      <c r="AA27" s="1810">
        <f t="shared" si="3"/>
        <v>1</v>
      </c>
      <c r="AB27" s="1810">
        <f t="shared" si="4"/>
        <v>1</v>
      </c>
      <c r="AC27" s="1810">
        <f t="shared" si="5"/>
        <v>1</v>
      </c>
    </row>
    <row r="28" spans="1:29" ht="15">
      <c r="A28" s="655"/>
      <c r="B28" s="653"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1"/>
      <c r="Q28" s="1809" t="str">
        <f t="shared" si="11"/>
        <v>公共部分装修</v>
      </c>
      <c r="R28" s="771" t="s">
        <v>17</v>
      </c>
      <c r="S28" s="772">
        <f t="shared" si="12"/>
        <v>100</v>
      </c>
      <c r="T28" s="771" t="s">
        <v>17</v>
      </c>
      <c r="U28" s="772">
        <f t="shared" si="13"/>
        <v>100</v>
      </c>
      <c r="V28" s="771" t="s">
        <v>17</v>
      </c>
      <c r="W28" s="772">
        <f t="shared" si="14"/>
        <v>100</v>
      </c>
      <c r="X28" s="1812"/>
      <c r="Y28" s="3231"/>
      <c r="Z28" s="1813" t="str">
        <f t="shared" si="15"/>
        <v>公共部分装修</v>
      </c>
      <c r="AA28" s="1810">
        <f t="shared" si="3"/>
        <v>1</v>
      </c>
      <c r="AB28" s="1810">
        <f t="shared" si="4"/>
        <v>1</v>
      </c>
      <c r="AC28" s="1810">
        <f t="shared" si="5"/>
        <v>1</v>
      </c>
    </row>
    <row r="29" spans="1:29" ht="15">
      <c r="A29" s="655"/>
      <c r="B29" s="653"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1"/>
      <c r="Q29" s="1809" t="str">
        <f t="shared" si="11"/>
        <v>成新率</v>
      </c>
      <c r="R29" s="771" t="s">
        <v>17</v>
      </c>
      <c r="S29" s="772" t="e">
        <f t="shared" si="12"/>
        <v>#N/A</v>
      </c>
      <c r="T29" s="771" t="s">
        <v>17</v>
      </c>
      <c r="U29" s="772" t="e">
        <f t="shared" si="13"/>
        <v>#N/A</v>
      </c>
      <c r="V29" s="771" t="s">
        <v>17</v>
      </c>
      <c r="W29" s="772" t="e">
        <f t="shared" si="14"/>
        <v>#N/A</v>
      </c>
      <c r="X29" s="1812"/>
      <c r="Y29" s="3231"/>
      <c r="Z29" s="1813" t="str">
        <f t="shared" si="15"/>
        <v>成新率</v>
      </c>
      <c r="AA29" s="1810" t="e">
        <f t="shared" si="3"/>
        <v>#N/A</v>
      </c>
      <c r="AB29" s="1810" t="e">
        <f t="shared" si="4"/>
        <v>#N/A</v>
      </c>
      <c r="AC29" s="1810" t="e">
        <f t="shared" si="5"/>
        <v>#N/A</v>
      </c>
    </row>
    <row r="30" spans="1:29" ht="15">
      <c r="A30" s="655"/>
      <c r="B30" s="653" t="s">
        <v>2710</v>
      </c>
      <c r="C30" s="656"/>
      <c r="D30" s="435">
        <v>100</v>
      </c>
      <c r="E30" s="656"/>
      <c r="F30" s="461">
        <f>SUMIF(88:88,E30,89:89)-SUMIF(88:88,C30,89:89)+100</f>
        <v>100</v>
      </c>
      <c r="G30" s="656"/>
      <c r="H30" s="435">
        <f>SUMIF(88:88,E30,89:89)-SUMIF(88:88,C30,89:89)+100</f>
        <v>100</v>
      </c>
      <c r="I30" s="656"/>
      <c r="J30" s="435">
        <f>SUMIF(88:88,E30,89:89)-SUMIF(88:88,C30,89:89)+100</f>
        <v>100</v>
      </c>
      <c r="K30" s="612"/>
      <c r="L30" s="1140"/>
      <c r="M30" s="1131"/>
      <c r="N30" s="1131"/>
      <c r="O30" s="1131"/>
      <c r="P30" s="3231"/>
      <c r="Q30" s="1809" t="str">
        <f t="shared" si="11"/>
        <v>物业等级</v>
      </c>
      <c r="R30" s="771" t="s">
        <v>17</v>
      </c>
      <c r="S30" s="772">
        <f t="shared" si="12"/>
        <v>100</v>
      </c>
      <c r="T30" s="771" t="s">
        <v>17</v>
      </c>
      <c r="U30" s="772">
        <f t="shared" si="13"/>
        <v>100</v>
      </c>
      <c r="V30" s="771" t="s">
        <v>17</v>
      </c>
      <c r="W30" s="772">
        <f t="shared" si="14"/>
        <v>100</v>
      </c>
      <c r="X30" s="1812"/>
      <c r="Y30" s="3231"/>
      <c r="Z30" s="1813" t="str">
        <f t="shared" si="15"/>
        <v>物业等级</v>
      </c>
      <c r="AA30" s="1810">
        <f t="shared" si="3"/>
        <v>1</v>
      </c>
      <c r="AB30" s="1810">
        <f t="shared" si="4"/>
        <v>1</v>
      </c>
      <c r="AC30" s="1810">
        <f t="shared" si="5"/>
        <v>1</v>
      </c>
    </row>
    <row r="31" spans="1:29" s="117" customFormat="1" ht="15">
      <c r="A31" s="657"/>
      <c r="B31" s="653"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1"/>
      <c r="Q31" s="1794" t="str">
        <f t="shared" si="11"/>
        <v>停车位面积</v>
      </c>
      <c r="R31" s="767" t="s">
        <v>17</v>
      </c>
      <c r="S31" s="768" t="e">
        <f t="shared" si="12"/>
        <v>#N/A</v>
      </c>
      <c r="T31" s="767" t="s">
        <v>17</v>
      </c>
      <c r="U31" s="768" t="e">
        <f t="shared" si="13"/>
        <v>#N/A</v>
      </c>
      <c r="V31" s="767" t="s">
        <v>17</v>
      </c>
      <c r="W31" s="768" t="e">
        <f t="shared" si="14"/>
        <v>#N/A</v>
      </c>
      <c r="X31" s="769"/>
      <c r="Y31" s="3231"/>
      <c r="Z31" s="55" t="str">
        <f t="shared" si="15"/>
        <v>停车位面积</v>
      </c>
      <c r="AA31" s="770" t="e">
        <f t="shared" si="3"/>
        <v>#N/A</v>
      </c>
      <c r="AB31" s="770" t="e">
        <f t="shared" si="4"/>
        <v>#N/A</v>
      </c>
      <c r="AC31" s="770" t="e">
        <f t="shared" si="5"/>
        <v>#N/A</v>
      </c>
    </row>
    <row r="32" spans="1:29" ht="15">
      <c r="A32" s="655"/>
      <c r="B32" s="653"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1" t="s">
        <v>2560</v>
      </c>
      <c r="Q32" s="1809" t="str">
        <f t="shared" si="11"/>
        <v>车位类型</v>
      </c>
      <c r="R32" s="771" t="s">
        <v>17</v>
      </c>
      <c r="S32" s="772">
        <f t="shared" si="12"/>
        <v>100</v>
      </c>
      <c r="T32" s="771" t="s">
        <v>17</v>
      </c>
      <c r="U32" s="772">
        <f t="shared" si="13"/>
        <v>100</v>
      </c>
      <c r="V32" s="771" t="s">
        <v>17</v>
      </c>
      <c r="W32" s="772">
        <f t="shared" si="14"/>
        <v>100</v>
      </c>
      <c r="X32" s="1812"/>
      <c r="Y32" s="3231" t="s">
        <v>2560</v>
      </c>
      <c r="Z32" s="1813" t="str">
        <f t="shared" si="15"/>
        <v>车位类型</v>
      </c>
      <c r="AA32" s="1810">
        <f t="shared" si="3"/>
        <v>1</v>
      </c>
      <c r="AB32" s="1810">
        <f t="shared" si="4"/>
        <v>1</v>
      </c>
      <c r="AC32" s="1810">
        <f t="shared" si="5"/>
        <v>1</v>
      </c>
    </row>
    <row r="33" spans="1:29" ht="15">
      <c r="A33" s="655"/>
      <c r="B33" s="653"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1"/>
      <c r="Q33" s="1809" t="str">
        <f t="shared" si="11"/>
        <v>是否直接入户</v>
      </c>
      <c r="R33" s="771" t="s">
        <v>17</v>
      </c>
      <c r="S33" s="772">
        <f t="shared" si="12"/>
        <v>100</v>
      </c>
      <c r="T33" s="771" t="s">
        <v>17</v>
      </c>
      <c r="U33" s="772">
        <f t="shared" si="13"/>
        <v>100</v>
      </c>
      <c r="V33" s="771" t="s">
        <v>17</v>
      </c>
      <c r="W33" s="772">
        <f t="shared" si="14"/>
        <v>100</v>
      </c>
      <c r="X33" s="1812"/>
      <c r="Y33" s="3231"/>
      <c r="Z33" s="1813" t="str">
        <f t="shared" si="15"/>
        <v>是否直接入户</v>
      </c>
      <c r="AA33" s="1810">
        <f t="shared" si="3"/>
        <v>1</v>
      </c>
      <c r="AB33" s="1810">
        <f t="shared" si="4"/>
        <v>1</v>
      </c>
      <c r="AC33" s="1810">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1"/>
      <c r="Q34" s="1809">
        <f t="shared" si="11"/>
        <v>111</v>
      </c>
      <c r="R34" s="771" t="s">
        <v>17</v>
      </c>
      <c r="S34" s="772">
        <f t="shared" si="12"/>
        <v>100</v>
      </c>
      <c r="T34" s="771" t="s">
        <v>17</v>
      </c>
      <c r="U34" s="772">
        <f t="shared" si="13"/>
        <v>100</v>
      </c>
      <c r="V34" s="771" t="s">
        <v>17</v>
      </c>
      <c r="W34" s="772">
        <f t="shared" si="14"/>
        <v>100</v>
      </c>
      <c r="X34" s="1812"/>
      <c r="Y34" s="3231"/>
      <c r="Z34" s="1813">
        <f t="shared" si="15"/>
        <v>111</v>
      </c>
      <c r="AA34" s="1810">
        <f t="shared" si="3"/>
        <v>1</v>
      </c>
      <c r="AB34" s="1810">
        <f t="shared" si="4"/>
        <v>1</v>
      </c>
      <c r="AC34" s="1810">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1"/>
      <c r="Q35" s="773">
        <f t="shared" si="11"/>
        <v>111</v>
      </c>
      <c r="R35" s="774" t="s">
        <v>17</v>
      </c>
      <c r="S35" s="775">
        <f t="shared" si="12"/>
        <v>100</v>
      </c>
      <c r="T35" s="774" t="s">
        <v>17</v>
      </c>
      <c r="U35" s="775">
        <f t="shared" si="13"/>
        <v>100</v>
      </c>
      <c r="V35" s="774" t="s">
        <v>17</v>
      </c>
      <c r="W35" s="775">
        <f t="shared" si="14"/>
        <v>100</v>
      </c>
      <c r="X35" s="776"/>
      <c r="Y35" s="3231"/>
      <c r="Z35" s="777">
        <f t="shared" si="15"/>
        <v>111</v>
      </c>
      <c r="AA35" s="1810">
        <f t="shared" si="3"/>
        <v>1</v>
      </c>
      <c r="AB35" s="1810">
        <f t="shared" si="4"/>
        <v>1</v>
      </c>
      <c r="AC35" s="1810">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1"/>
      <c r="Q36" s="1809">
        <f t="shared" si="11"/>
        <v>111</v>
      </c>
      <c r="R36" s="771" t="s">
        <v>17</v>
      </c>
      <c r="S36" s="772">
        <f t="shared" si="12"/>
        <v>100</v>
      </c>
      <c r="T36" s="771" t="s">
        <v>17</v>
      </c>
      <c r="U36" s="772">
        <f t="shared" si="13"/>
        <v>100</v>
      </c>
      <c r="V36" s="771" t="s">
        <v>17</v>
      </c>
      <c r="W36" s="772">
        <f t="shared" si="14"/>
        <v>100</v>
      </c>
      <c r="X36" s="1812"/>
      <c r="Y36" s="3231"/>
      <c r="Z36" s="1813">
        <f t="shared" si="15"/>
        <v>111</v>
      </c>
      <c r="AA36" s="1810">
        <f t="shared" si="3"/>
        <v>1</v>
      </c>
      <c r="AB36" s="1810">
        <f t="shared" si="4"/>
        <v>1</v>
      </c>
      <c r="AC36" s="1810">
        <f t="shared" si="5"/>
        <v>1</v>
      </c>
    </row>
    <row r="37" spans="1:29" ht="15">
      <c r="A37" s="479" t="s">
        <v>2714</v>
      </c>
      <c r="B37" s="2690" t="s">
        <v>2715</v>
      </c>
      <c r="C37" s="1407" t="s">
        <v>1</v>
      </c>
      <c r="D37" s="1408"/>
      <c r="E37" s="1409"/>
      <c r="F37" s="1410"/>
      <c r="G37" s="1411"/>
      <c r="H37" s="1412"/>
      <c r="I37" s="1409"/>
      <c r="J37" s="1412"/>
      <c r="K37" s="618"/>
      <c r="L37" s="1143"/>
      <c r="M37" s="1144"/>
      <c r="N37" s="1131"/>
      <c r="O37" s="1144"/>
      <c r="P37" s="3224" t="str">
        <f>A37</f>
        <v>成交单价</v>
      </c>
      <c r="Q37" s="3224"/>
      <c r="R37" s="3225">
        <f>E37</f>
        <v>0</v>
      </c>
      <c r="S37" s="3225"/>
      <c r="T37" s="3225">
        <f>G37</f>
        <v>0</v>
      </c>
      <c r="U37" s="3225"/>
      <c r="V37" s="3225">
        <f>I37</f>
        <v>0</v>
      </c>
      <c r="W37" s="3225"/>
      <c r="X37" s="756"/>
      <c r="Y37" s="778"/>
      <c r="Z37" s="756"/>
      <c r="AA37" s="756"/>
      <c r="AB37" s="756"/>
      <c r="AC37" s="756"/>
    </row>
    <row r="38" spans="1:29" ht="15.75" thickBot="1">
      <c r="A38" s="486" t="s">
        <v>2716</v>
      </c>
      <c r="B38" s="487" t="str">
        <f>B37</f>
        <v>元/车位</v>
      </c>
      <c r="C38" s="1413" t="e">
        <f>R39</f>
        <v>#DIV/0!</v>
      </c>
      <c r="D38" s="1414"/>
      <c r="E38" s="1415" t="e">
        <f>R38</f>
        <v>#DIV/0!</v>
      </c>
      <c r="F38" s="1415"/>
      <c r="G38" s="1413" t="e">
        <f>T38</f>
        <v>#DIV/0!</v>
      </c>
      <c r="H38" s="1414"/>
      <c r="I38" s="1415" t="e">
        <f>V38</f>
        <v>#DIV/0!</v>
      </c>
      <c r="J38" s="1414"/>
      <c r="K38" s="619"/>
      <c r="L38" s="1143"/>
      <c r="M38" s="1144"/>
      <c r="N38" s="1144"/>
      <c r="O38" s="1144"/>
      <c r="P38" s="3224" t="str">
        <f>A38</f>
        <v>比较价值（元/平方米）</v>
      </c>
      <c r="Q38" s="3224"/>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756"/>
      <c r="Y38" s="756"/>
      <c r="Z38" s="756"/>
      <c r="AA38" s="756"/>
      <c r="AB38" s="756"/>
      <c r="AC38" s="756"/>
    </row>
    <row r="39" spans="1:29" ht="15.75" thickBot="1">
      <c r="A39" s="492" t="s">
        <v>2717</v>
      </c>
      <c r="B39" s="493"/>
      <c r="C39" s="1417" t="e">
        <f>R39</f>
        <v>#DIV/0!</v>
      </c>
      <c r="D39" s="1417"/>
      <c r="E39" s="1417"/>
      <c r="F39" s="1417"/>
      <c r="G39" s="1417"/>
      <c r="H39" s="1417"/>
      <c r="I39" s="1417"/>
      <c r="J39" s="1417"/>
      <c r="K39" s="620"/>
      <c r="L39" s="1143"/>
      <c r="M39" s="1144"/>
      <c r="N39" s="1144"/>
      <c r="O39" s="1144"/>
      <c r="P39" s="3221" t="str">
        <f>A39</f>
        <v>估价对象XX用房的比较价值（楼面单价，元/平方米）</v>
      </c>
      <c r="Q39" s="3222"/>
      <c r="R39" s="3223" t="e">
        <f>IF(F1="售价",ROUND(AVERAGE(R38:V38),0),ROUND(AVERAGE(R38:V38),1))</f>
        <v>#DIV/0!</v>
      </c>
      <c r="S39" s="3223"/>
      <c r="T39" s="3223"/>
      <c r="U39" s="3223"/>
      <c r="V39" s="3223"/>
      <c r="W39" s="3223"/>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2722</v>
      </c>
      <c r="B48" s="506"/>
      <c r="C48" s="1574" t="str">
        <f>YEAR(C7)&amp;"-"&amp;MONTH(C7)</f>
        <v>2018-8</v>
      </c>
      <c r="D48" s="1575">
        <f>EDATE(C48,-1)</f>
        <v>43282</v>
      </c>
      <c r="E48" s="1575">
        <f t="shared" ref="E48:O48" si="16">EDATE(D48,-1)</f>
        <v>43252</v>
      </c>
      <c r="F48" s="1575">
        <f t="shared" si="16"/>
        <v>43221</v>
      </c>
      <c r="G48" s="1575">
        <f t="shared" si="16"/>
        <v>43191</v>
      </c>
      <c r="H48" s="1575">
        <f t="shared" si="16"/>
        <v>43160</v>
      </c>
      <c r="I48" s="1575">
        <f t="shared" si="16"/>
        <v>43132</v>
      </c>
      <c r="J48" s="1575">
        <f t="shared" si="16"/>
        <v>43101</v>
      </c>
      <c r="K48" s="1575">
        <f t="shared" si="16"/>
        <v>43070</v>
      </c>
      <c r="L48" s="1575">
        <f t="shared" si="16"/>
        <v>43040</v>
      </c>
      <c r="M48" s="1575">
        <f t="shared" si="16"/>
        <v>43009</v>
      </c>
      <c r="N48" s="1575">
        <f t="shared" si="16"/>
        <v>42979</v>
      </c>
      <c r="O48" s="1575">
        <f t="shared" si="16"/>
        <v>42948</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8">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9">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2683</v>
      </c>
      <c r="C67" s="659" t="s">
        <v>2669</v>
      </c>
      <c r="D67" s="659" t="s">
        <v>2670</v>
      </c>
      <c r="E67" s="659" t="s">
        <v>2671</v>
      </c>
      <c r="F67" s="659" t="s">
        <v>2672</v>
      </c>
      <c r="G67" s="659"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2725</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5">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L7" sqref="L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2525</v>
      </c>
      <c r="D1" s="1621"/>
      <c r="E1" s="1630"/>
      <c r="F1" s="2580"/>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82"/>
      <c r="D2" s="1124" t="e">
        <f ca="1">SUMIF(INDIRECT("'"&amp;F2&amp;"'"&amp;"!A:A"),"承租人权益价值",INDIRECT("'"&amp;F2&amp;"'"&amp;"!c:c"))</f>
        <v>#REF!</v>
      </c>
      <c r="E2" s="2583" t="s">
        <v>2323</v>
      </c>
      <c r="F2" s="2584"/>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2640</v>
      </c>
      <c r="B4" s="402"/>
      <c r="C4" s="3206" t="s">
        <v>2641</v>
      </c>
      <c r="D4" s="3207"/>
      <c r="E4" s="3208" t="s">
        <v>2642</v>
      </c>
      <c r="F4" s="3209"/>
      <c r="G4" s="3206" t="s">
        <v>2643</v>
      </c>
      <c r="H4" s="3207"/>
      <c r="I4" s="3206" t="s">
        <v>2644</v>
      </c>
      <c r="J4" s="3207"/>
      <c r="K4" s="610" t="s">
        <v>2645</v>
      </c>
      <c r="L4" s="1130"/>
      <c r="M4" s="1131"/>
      <c r="N4" s="1131"/>
      <c r="O4" s="1131"/>
      <c r="P4" s="3210" t="s">
        <v>2646</v>
      </c>
      <c r="Q4" s="3211"/>
      <c r="R4" s="3193" t="s">
        <v>2642</v>
      </c>
      <c r="S4" s="3194"/>
      <c r="T4" s="3193" t="s">
        <v>2643</v>
      </c>
      <c r="U4" s="3194"/>
      <c r="V4" s="3218" t="s">
        <v>2644</v>
      </c>
      <c r="W4" s="3218"/>
      <c r="X4" s="1812"/>
      <c r="Y4" s="3193" t="s">
        <v>2646</v>
      </c>
      <c r="Z4" s="3194"/>
      <c r="AA4" s="3188" t="s">
        <v>2642</v>
      </c>
      <c r="AB4" s="3189" t="s">
        <v>2643</v>
      </c>
      <c r="AC4" s="3188" t="s">
        <v>2644</v>
      </c>
    </row>
    <row r="5" spans="1:29" ht="15">
      <c r="A5" s="404"/>
      <c r="B5" s="405"/>
      <c r="C5" s="3219" t="s">
        <v>2537</v>
      </c>
      <c r="D5" s="3200"/>
      <c r="E5" s="3238" t="s">
        <v>2538</v>
      </c>
      <c r="F5" s="3198"/>
      <c r="G5" s="3219" t="s">
        <v>2539</v>
      </c>
      <c r="H5" s="3200"/>
      <c r="I5" s="3219" t="s">
        <v>2540</v>
      </c>
      <c r="J5" s="3200"/>
      <c r="K5" s="610"/>
      <c r="L5" s="1130"/>
      <c r="M5" s="1131"/>
      <c r="N5" s="1131"/>
      <c r="O5" s="1131"/>
      <c r="P5" s="3212"/>
      <c r="Q5" s="3213"/>
      <c r="R5" s="3195"/>
      <c r="S5" s="3196"/>
      <c r="T5" s="3195"/>
      <c r="U5" s="3196"/>
      <c r="V5" s="3218"/>
      <c r="W5" s="3218"/>
      <c r="X5" s="1812"/>
      <c r="Y5" s="3195"/>
      <c r="Z5" s="3196"/>
      <c r="AA5" s="3189"/>
      <c r="AB5" s="3189"/>
      <c r="AC5" s="3189"/>
    </row>
    <row r="6" spans="1:29" ht="15.75" thickBot="1">
      <c r="A6" s="406"/>
      <c r="B6" s="407"/>
      <c r="C6" s="3201" t="s">
        <v>2541</v>
      </c>
      <c r="D6" s="3202"/>
      <c r="E6" s="3203" t="s">
        <v>2541</v>
      </c>
      <c r="F6" s="3204"/>
      <c r="G6" s="3201" t="s">
        <v>2541</v>
      </c>
      <c r="H6" s="3202"/>
      <c r="I6" s="3201" t="s">
        <v>2541</v>
      </c>
      <c r="J6" s="3202"/>
      <c r="K6" s="610" t="s">
        <v>2542</v>
      </c>
      <c r="L6" s="1130"/>
      <c r="M6" s="1131"/>
      <c r="N6" s="1131"/>
      <c r="O6" s="1131"/>
      <c r="P6" s="3214"/>
      <c r="Q6" s="3215"/>
      <c r="R6" s="3195"/>
      <c r="S6" s="3196"/>
      <c r="T6" s="3216"/>
      <c r="U6" s="3217"/>
      <c r="V6" s="3218"/>
      <c r="W6" s="3218"/>
      <c r="X6" s="1812"/>
      <c r="Y6" s="3216"/>
      <c r="Z6" s="3217"/>
      <c r="AA6" s="3190"/>
      <c r="AB6" s="3190"/>
      <c r="AC6" s="3190"/>
    </row>
    <row r="7" spans="1:29" s="117" customFormat="1" ht="15.75" thickBot="1">
      <c r="A7" s="408" t="s">
        <v>2543</v>
      </c>
      <c r="B7" s="409"/>
      <c r="C7" s="410">
        <f>'数据-取费表'!B2</f>
        <v>43335</v>
      </c>
      <c r="D7" s="411">
        <v>100</v>
      </c>
      <c r="E7" s="412"/>
      <c r="F7" s="413">
        <f>SUMIF(46:46,YEAR(E7)&amp;"-"&amp;MONTH(E7),47:47)</f>
        <v>0</v>
      </c>
      <c r="G7" s="2691"/>
      <c r="H7" s="411">
        <f>SUMIF(46:46,YEAR(G7)&amp;"-"&amp;MONTH(G7),47:47)</f>
        <v>0</v>
      </c>
      <c r="I7" s="412"/>
      <c r="J7" s="411">
        <f>SUMIF(46:46,YEAR(I7)&amp;"-"&amp;MONTH(I7),47:47)</f>
        <v>0</v>
      </c>
      <c r="K7" s="611"/>
      <c r="L7" s="1132"/>
      <c r="M7" s="1133"/>
      <c r="N7" s="1133"/>
      <c r="O7" s="1133"/>
      <c r="P7" s="3191" t="s">
        <v>2544</v>
      </c>
      <c r="Q7" s="3220"/>
      <c r="R7" s="767" t="s">
        <v>17</v>
      </c>
      <c r="S7" s="768">
        <f t="shared" ref="S7:S14" si="0">F7</f>
        <v>0</v>
      </c>
      <c r="T7" s="767" t="s">
        <v>17</v>
      </c>
      <c r="U7" s="768">
        <f t="shared" ref="U7:U14" si="1">H7</f>
        <v>0</v>
      </c>
      <c r="V7" s="767" t="s">
        <v>17</v>
      </c>
      <c r="W7" s="768">
        <f t="shared" ref="W7:W14" si="2">J7</f>
        <v>0</v>
      </c>
      <c r="X7" s="769"/>
      <c r="Y7" s="3191" t="s">
        <v>2544</v>
      </c>
      <c r="Z7" s="3192"/>
      <c r="AA7" s="770" t="e">
        <f>D7/F7</f>
        <v>#DIV/0!</v>
      </c>
      <c r="AB7" s="770" t="e">
        <f>D7/H7</f>
        <v>#DIV/0!</v>
      </c>
      <c r="AC7" s="770"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1" t="s">
        <v>2547</v>
      </c>
      <c r="Q8" s="3192"/>
      <c r="R8" s="767" t="s">
        <v>17</v>
      </c>
      <c r="S8" s="768">
        <f t="shared" si="0"/>
        <v>0</v>
      </c>
      <c r="T8" s="767" t="s">
        <v>17</v>
      </c>
      <c r="U8" s="768">
        <f t="shared" si="1"/>
        <v>0</v>
      </c>
      <c r="V8" s="767" t="s">
        <v>17</v>
      </c>
      <c r="W8" s="768">
        <f t="shared" si="2"/>
        <v>0</v>
      </c>
      <c r="X8" s="769"/>
      <c r="Y8" s="3191" t="s">
        <v>2547</v>
      </c>
      <c r="Z8" s="3192"/>
      <c r="AA8" s="770" t="e">
        <f t="shared" ref="AA8:AA34" si="3">D8/F8</f>
        <v>#DIV/0!</v>
      </c>
      <c r="AB8" s="770" t="e">
        <f t="shared" ref="AB8:AB34" si="4">D8/H8</f>
        <v>#DIV/0!</v>
      </c>
      <c r="AC8" s="770"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4" t="s">
        <v>2550</v>
      </c>
      <c r="Q9" s="1794" t="str">
        <f t="shared" ref="Q9:Q14" si="6">B9</f>
        <v>用途</v>
      </c>
      <c r="R9" s="767" t="s">
        <v>17</v>
      </c>
      <c r="S9" s="768">
        <f t="shared" si="0"/>
        <v>100</v>
      </c>
      <c r="T9" s="767" t="s">
        <v>17</v>
      </c>
      <c r="U9" s="768">
        <f t="shared" si="1"/>
        <v>100</v>
      </c>
      <c r="V9" s="767" t="s">
        <v>17</v>
      </c>
      <c r="W9" s="768">
        <f t="shared" si="2"/>
        <v>100</v>
      </c>
      <c r="X9" s="769"/>
      <c r="Y9" s="3038" t="s">
        <v>2551</v>
      </c>
      <c r="Z9" s="55" t="str">
        <f t="shared" ref="Z9:Z14" si="7">Q9</f>
        <v>用途</v>
      </c>
      <c r="AA9" s="770">
        <f t="shared" si="3"/>
        <v>1</v>
      </c>
      <c r="AB9" s="770">
        <f t="shared" si="4"/>
        <v>1</v>
      </c>
      <c r="AC9" s="770">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4"/>
      <c r="Q10" s="1794" t="str">
        <f t="shared" si="6"/>
        <v>土地使用年限（年）</v>
      </c>
      <c r="R10" s="767" t="s">
        <v>17</v>
      </c>
      <c r="S10" s="768">
        <f t="shared" si="0"/>
        <v>100</v>
      </c>
      <c r="T10" s="767" t="s">
        <v>17</v>
      </c>
      <c r="U10" s="768">
        <f t="shared" si="1"/>
        <v>100</v>
      </c>
      <c r="V10" s="767" t="s">
        <v>17</v>
      </c>
      <c r="W10" s="768">
        <f t="shared" si="2"/>
        <v>100</v>
      </c>
      <c r="X10" s="769"/>
      <c r="Y10" s="3038"/>
      <c r="Z10" s="55" t="str">
        <f t="shared" si="7"/>
        <v>土地使用年限（年）</v>
      </c>
      <c r="AA10" s="770">
        <f t="shared" si="3"/>
        <v>1</v>
      </c>
      <c r="AB10" s="770">
        <f t="shared" si="4"/>
        <v>1</v>
      </c>
      <c r="AC10" s="770">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4"/>
      <c r="Q11" s="1794">
        <f t="shared" si="6"/>
        <v>111</v>
      </c>
      <c r="R11" s="767" t="s">
        <v>17</v>
      </c>
      <c r="S11" s="768">
        <f t="shared" si="0"/>
        <v>100</v>
      </c>
      <c r="T11" s="767" t="s">
        <v>17</v>
      </c>
      <c r="U11" s="768">
        <f t="shared" si="1"/>
        <v>100</v>
      </c>
      <c r="V11" s="767" t="s">
        <v>17</v>
      </c>
      <c r="W11" s="768">
        <f t="shared" si="2"/>
        <v>100</v>
      </c>
      <c r="X11" s="769"/>
      <c r="Y11" s="3038"/>
      <c r="Z11" s="55">
        <f t="shared" si="7"/>
        <v>111</v>
      </c>
      <c r="AA11" s="770">
        <f t="shared" si="3"/>
        <v>1</v>
      </c>
      <c r="AB11" s="770">
        <f t="shared" si="4"/>
        <v>1</v>
      </c>
      <c r="AC11" s="770">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4"/>
      <c r="Q12" s="1794">
        <f t="shared" si="6"/>
        <v>111</v>
      </c>
      <c r="R12" s="767" t="s">
        <v>17</v>
      </c>
      <c r="S12" s="768">
        <f t="shared" si="0"/>
        <v>100</v>
      </c>
      <c r="T12" s="767" t="s">
        <v>17</v>
      </c>
      <c r="U12" s="768">
        <f t="shared" si="1"/>
        <v>100</v>
      </c>
      <c r="V12" s="767" t="s">
        <v>17</v>
      </c>
      <c r="W12" s="768">
        <f t="shared" si="2"/>
        <v>100</v>
      </c>
      <c r="X12" s="769"/>
      <c r="Y12" s="3038"/>
      <c r="Z12" s="55">
        <f t="shared" si="7"/>
        <v>111</v>
      </c>
      <c r="AA12" s="770">
        <f>D12/F12</f>
        <v>1</v>
      </c>
      <c r="AB12" s="770">
        <f>D12/H12</f>
        <v>1</v>
      </c>
      <c r="AC12" s="770">
        <f>D12/J12</f>
        <v>1</v>
      </c>
    </row>
    <row r="13" spans="1:29" ht="15.75" thickBot="1">
      <c r="A13" s="428"/>
      <c r="B13" s="2596">
        <v>111</v>
      </c>
      <c r="C13" s="434"/>
      <c r="D13" s="435">
        <v>100</v>
      </c>
      <c r="E13" s="469"/>
      <c r="F13" s="425">
        <f>SUMIF(59:59,E13,60:60)-SUMIF(59:59,C13,60:60)+100</f>
        <v>100</v>
      </c>
      <c r="G13" s="2692"/>
      <c r="H13" s="438">
        <f>SUMIF(59:59,G13,60:60)-SUMIF(59:59,C13,60:60)+100</f>
        <v>100</v>
      </c>
      <c r="I13" s="469"/>
      <c r="J13" s="435">
        <f>SUMIF(59:59,I13,60:60)-SUMIF(59:59,C13,60:60)+100</f>
        <v>100</v>
      </c>
      <c r="K13" s="613"/>
      <c r="L13" s="1140"/>
      <c r="M13" s="1131"/>
      <c r="N13" s="1131"/>
      <c r="O13" s="1139"/>
      <c r="P13" s="3224"/>
      <c r="Q13" s="1794">
        <f t="shared" si="6"/>
        <v>111</v>
      </c>
      <c r="R13" s="767" t="s">
        <v>17</v>
      </c>
      <c r="S13" s="768">
        <f t="shared" si="0"/>
        <v>100</v>
      </c>
      <c r="T13" s="767" t="s">
        <v>17</v>
      </c>
      <c r="U13" s="768">
        <f t="shared" si="1"/>
        <v>100</v>
      </c>
      <c r="V13" s="767" t="s">
        <v>17</v>
      </c>
      <c r="W13" s="768">
        <f t="shared" si="2"/>
        <v>100</v>
      </c>
      <c r="X13" s="769"/>
      <c r="Y13" s="3038"/>
      <c r="Z13" s="55">
        <f t="shared" si="7"/>
        <v>111</v>
      </c>
      <c r="AA13" s="770">
        <f t="shared" si="3"/>
        <v>1</v>
      </c>
      <c r="AB13" s="770">
        <f t="shared" si="4"/>
        <v>1</v>
      </c>
      <c r="AC13" s="770">
        <f t="shared" si="5"/>
        <v>1</v>
      </c>
    </row>
    <row r="14" spans="1:29" ht="85.5">
      <c r="A14" s="440" t="s">
        <v>2554</v>
      </c>
      <c r="B14" s="69" t="s">
        <v>2703</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6" t="s">
        <v>2555</v>
      </c>
      <c r="Q14" s="1809" t="str">
        <f t="shared" si="6"/>
        <v>交通便捷度</v>
      </c>
      <c r="R14" s="771" t="s">
        <v>17</v>
      </c>
      <c r="S14" s="772">
        <f t="shared" si="0"/>
        <v>100</v>
      </c>
      <c r="T14" s="771" t="s">
        <v>17</v>
      </c>
      <c r="U14" s="772">
        <f t="shared" si="1"/>
        <v>100</v>
      </c>
      <c r="V14" s="771" t="s">
        <v>17</v>
      </c>
      <c r="W14" s="772">
        <f t="shared" si="2"/>
        <v>100</v>
      </c>
      <c r="X14" s="1812"/>
      <c r="Y14" s="3226" t="s">
        <v>2555</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27"/>
      <c r="Q15" s="1809"/>
      <c r="R15" s="771"/>
      <c r="S15" s="772"/>
      <c r="T15" s="771"/>
      <c r="U15" s="772"/>
      <c r="V15" s="771"/>
      <c r="W15" s="772"/>
      <c r="X15" s="1812"/>
      <c r="Y15" s="3227"/>
      <c r="Z15" s="1813"/>
      <c r="AA15" s="1810">
        <v>1</v>
      </c>
      <c r="AB15" s="1810">
        <v>1</v>
      </c>
      <c r="AC15" s="1810">
        <v>1</v>
      </c>
    </row>
    <row r="16" spans="1:29" ht="42.75">
      <c r="A16" s="428"/>
      <c r="B16" s="451" t="s">
        <v>2682</v>
      </c>
      <c r="C16" s="2603"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7"/>
      <c r="Q16" s="1809" t="str">
        <f>B16</f>
        <v>公共配套设施</v>
      </c>
      <c r="R16" s="771" t="s">
        <v>17</v>
      </c>
      <c r="S16" s="772">
        <f>F16</f>
        <v>100</v>
      </c>
      <c r="T16" s="771" t="s">
        <v>17</v>
      </c>
      <c r="U16" s="772">
        <f>H16</f>
        <v>100</v>
      </c>
      <c r="V16" s="771" t="s">
        <v>17</v>
      </c>
      <c r="W16" s="772">
        <f>J16</f>
        <v>100</v>
      </c>
      <c r="X16" s="1812"/>
      <c r="Y16" s="3227"/>
      <c r="Z16" s="1813" t="str">
        <f>Q16</f>
        <v>公共配套设施</v>
      </c>
      <c r="AA16" s="1810">
        <f t="shared" si="3"/>
        <v>1</v>
      </c>
      <c r="AB16" s="1810">
        <f t="shared" si="4"/>
        <v>1</v>
      </c>
      <c r="AC16" s="1810">
        <f t="shared" si="5"/>
        <v>1</v>
      </c>
    </row>
    <row r="17" spans="1:29" ht="15">
      <c r="A17" s="428"/>
      <c r="B17" s="456"/>
      <c r="C17" s="2604"/>
      <c r="D17" s="448"/>
      <c r="E17" s="447"/>
      <c r="F17" s="449"/>
      <c r="G17" s="447"/>
      <c r="H17" s="448"/>
      <c r="I17" s="447"/>
      <c r="J17" s="448"/>
      <c r="K17" s="615"/>
      <c r="L17" s="1140"/>
      <c r="M17" s="1131"/>
      <c r="N17" s="1131"/>
      <c r="O17" s="1139"/>
      <c r="P17" s="3227"/>
      <c r="Q17" s="1809"/>
      <c r="R17" s="771"/>
      <c r="S17" s="772"/>
      <c r="T17" s="771"/>
      <c r="U17" s="772"/>
      <c r="V17" s="771"/>
      <c r="W17" s="772"/>
      <c r="X17" s="1812"/>
      <c r="Y17" s="3227"/>
      <c r="Z17" s="1813"/>
      <c r="AA17" s="1810">
        <v>1</v>
      </c>
      <c r="AB17" s="1810">
        <v>1</v>
      </c>
      <c r="AC17" s="1810">
        <v>1</v>
      </c>
    </row>
    <row r="18" spans="1:29" ht="42.75">
      <c r="A18" s="428"/>
      <c r="B18" s="1384" t="s">
        <v>2683</v>
      </c>
      <c r="C18" s="2603"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7"/>
      <c r="Q18" s="1809" t="str">
        <f>B18</f>
        <v>基础设施水平</v>
      </c>
      <c r="R18" s="771" t="s">
        <v>17</v>
      </c>
      <c r="S18" s="772">
        <f>F18</f>
        <v>100</v>
      </c>
      <c r="T18" s="771" t="s">
        <v>17</v>
      </c>
      <c r="U18" s="772">
        <f>H18</f>
        <v>100</v>
      </c>
      <c r="V18" s="771" t="s">
        <v>17</v>
      </c>
      <c r="W18" s="772">
        <f>J18</f>
        <v>100</v>
      </c>
      <c r="X18" s="1812"/>
      <c r="Y18" s="3227"/>
      <c r="Z18" s="1813" t="str">
        <f>Q18</f>
        <v>基础设施水平</v>
      </c>
      <c r="AA18" s="1810">
        <f t="shared" ref="AA18" si="8">D18/F18</f>
        <v>1</v>
      </c>
      <c r="AB18" s="1810">
        <f t="shared" ref="AB18" si="9">D18/H18</f>
        <v>1</v>
      </c>
      <c r="AC18" s="1810">
        <f t="shared" ref="AC18" si="10">D18/J18</f>
        <v>1</v>
      </c>
    </row>
    <row r="19" spans="1:29" ht="15">
      <c r="A19" s="428"/>
      <c r="B19" s="1384"/>
      <c r="C19" s="2604"/>
      <c r="D19" s="450"/>
      <c r="E19" s="2604"/>
      <c r="F19" s="453"/>
      <c r="G19" s="2604"/>
      <c r="H19" s="448"/>
      <c r="I19" s="447"/>
      <c r="J19" s="448"/>
      <c r="K19" s="1383"/>
      <c r="L19" s="1140"/>
      <c r="M19" s="1131"/>
      <c r="N19" s="1131"/>
      <c r="O19" s="1139"/>
      <c r="P19" s="3227"/>
      <c r="Q19" s="1809"/>
      <c r="R19" s="771"/>
      <c r="S19" s="772"/>
      <c r="T19" s="771"/>
      <c r="U19" s="772"/>
      <c r="V19" s="771"/>
      <c r="W19" s="772"/>
      <c r="X19" s="1812"/>
      <c r="Y19" s="3227"/>
      <c r="Z19" s="1813"/>
      <c r="AA19" s="1810">
        <v>1</v>
      </c>
      <c r="AB19" s="1810">
        <v>1</v>
      </c>
      <c r="AC19" s="1810">
        <v>1</v>
      </c>
    </row>
    <row r="20" spans="1:29" ht="71.25">
      <c r="A20" s="428"/>
      <c r="B20" s="451" t="s">
        <v>2704</v>
      </c>
      <c r="C20" s="2603" t="str">
        <f>IF(B1="工业",估价对象房地状况!G7,估价对象房地状况!C9)</f>
        <v>区域自然环境：凉水河；人文环境：无高等院校等；综合评价环境状况一般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7"/>
      <c r="Q20" s="1809" t="str">
        <f>B20</f>
        <v>自然及人文环境</v>
      </c>
      <c r="R20" s="771" t="s">
        <v>17</v>
      </c>
      <c r="S20" s="772">
        <f>F20</f>
        <v>100</v>
      </c>
      <c r="T20" s="771" t="s">
        <v>17</v>
      </c>
      <c r="U20" s="772">
        <f>H20</f>
        <v>100</v>
      </c>
      <c r="V20" s="771" t="s">
        <v>17</v>
      </c>
      <c r="W20" s="772">
        <f>J20</f>
        <v>100</v>
      </c>
      <c r="X20" s="1812"/>
      <c r="Y20" s="322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27"/>
      <c r="Q21" s="1809"/>
      <c r="R21" s="771"/>
      <c r="S21" s="772"/>
      <c r="T21" s="771"/>
      <c r="U21" s="772"/>
      <c r="V21" s="771"/>
      <c r="W21" s="772"/>
      <c r="X21" s="1812"/>
      <c r="Y21" s="3227"/>
      <c r="Z21" s="1813"/>
      <c r="AA21" s="1810">
        <v>1</v>
      </c>
      <c r="AB21" s="1810">
        <v>1</v>
      </c>
      <c r="AC21" s="1810">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7"/>
      <c r="Q22" s="1809" t="str">
        <f>B22</f>
        <v>楼层</v>
      </c>
      <c r="R22" s="771" t="s">
        <v>17</v>
      </c>
      <c r="S22" s="772">
        <f>F22</f>
        <v>100</v>
      </c>
      <c r="T22" s="771" t="s">
        <v>17</v>
      </c>
      <c r="U22" s="772">
        <f>H22</f>
        <v>100</v>
      </c>
      <c r="V22" s="771" t="s">
        <v>17</v>
      </c>
      <c r="W22" s="772">
        <f>J22</f>
        <v>100</v>
      </c>
      <c r="X22" s="1812"/>
      <c r="Y22" s="3227"/>
      <c r="Z22" s="1813" t="str">
        <f>Q22</f>
        <v>楼层</v>
      </c>
      <c r="AA22" s="1810">
        <f t="shared" si="3"/>
        <v>1</v>
      </c>
      <c r="AB22" s="1810">
        <f t="shared" si="4"/>
        <v>1</v>
      </c>
      <c r="AC22" s="1810">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7"/>
      <c r="Q23" s="1809">
        <f>B23</f>
        <v>111</v>
      </c>
      <c r="R23" s="771" t="s">
        <v>17</v>
      </c>
      <c r="S23" s="772">
        <f>F23</f>
        <v>100</v>
      </c>
      <c r="T23" s="771" t="s">
        <v>17</v>
      </c>
      <c r="U23" s="772">
        <f>H23</f>
        <v>100</v>
      </c>
      <c r="V23" s="771" t="s">
        <v>17</v>
      </c>
      <c r="W23" s="772">
        <f>J23</f>
        <v>100</v>
      </c>
      <c r="X23" s="1812"/>
      <c r="Y23" s="3227"/>
      <c r="Z23" s="1813">
        <f>Q23</f>
        <v>111</v>
      </c>
      <c r="AA23" s="1810">
        <f t="shared" si="3"/>
        <v>1</v>
      </c>
      <c r="AB23" s="1810">
        <f t="shared" si="4"/>
        <v>1</v>
      </c>
      <c r="AC23" s="1810">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7"/>
      <c r="Q24" s="1809">
        <f t="shared" ref="Q24:Q34" si="11">B24</f>
        <v>111</v>
      </c>
      <c r="R24" s="771" t="s">
        <v>17</v>
      </c>
      <c r="S24" s="772">
        <f>F24</f>
        <v>100</v>
      </c>
      <c r="T24" s="771" t="s">
        <v>17</v>
      </c>
      <c r="U24" s="772">
        <f>H24</f>
        <v>100</v>
      </c>
      <c r="V24" s="771" t="s">
        <v>17</v>
      </c>
      <c r="W24" s="772">
        <f>J24</f>
        <v>100</v>
      </c>
      <c r="X24" s="1812"/>
      <c r="Y24" s="3227"/>
      <c r="Z24" s="1813">
        <f>Q24</f>
        <v>111</v>
      </c>
      <c r="AA24" s="1810">
        <f t="shared" si="3"/>
        <v>1</v>
      </c>
      <c r="AB24" s="1810">
        <f t="shared" si="4"/>
        <v>1</v>
      </c>
      <c r="AC24" s="1810">
        <f t="shared" si="5"/>
        <v>1</v>
      </c>
    </row>
    <row r="25" spans="1:29" s="117" customFormat="1" ht="15.75" thickBot="1">
      <c r="A25" s="431"/>
      <c r="B25" s="2596">
        <v>111</v>
      </c>
      <c r="C25" s="2693"/>
      <c r="D25" s="664">
        <v>100</v>
      </c>
      <c r="E25" s="2693"/>
      <c r="F25" s="665">
        <f>SUMIF(75:75,E25,76:76)-SUMIF(75:75,C25,76:76)+100</f>
        <v>100</v>
      </c>
      <c r="G25" s="2693"/>
      <c r="H25" s="664">
        <f>SUMIF(75:75,G25,76:76)-SUMIF(75:75,C25,76:76)+100</f>
        <v>100</v>
      </c>
      <c r="I25" s="2693"/>
      <c r="J25" s="664">
        <f>SUMIF(75:75,I25,76:76)-SUMIF(75:75,C25,76:76)+100</f>
        <v>100</v>
      </c>
      <c r="K25" s="613"/>
      <c r="L25" s="1132"/>
      <c r="M25" s="1133"/>
      <c r="N25" s="1133"/>
      <c r="O25" s="1134"/>
      <c r="P25" s="3227"/>
      <c r="Q25" s="1794">
        <f t="shared" si="11"/>
        <v>111</v>
      </c>
      <c r="R25" s="767" t="s">
        <v>17</v>
      </c>
      <c r="S25" s="768">
        <f>F25</f>
        <v>100</v>
      </c>
      <c r="T25" s="767" t="s">
        <v>17</v>
      </c>
      <c r="U25" s="768">
        <f>H25</f>
        <v>100</v>
      </c>
      <c r="V25" s="767" t="s">
        <v>17</v>
      </c>
      <c r="W25" s="768">
        <f>J25</f>
        <v>100</v>
      </c>
      <c r="X25" s="769"/>
      <c r="Y25" s="3227"/>
      <c r="Z25" s="55">
        <f>Q25</f>
        <v>111</v>
      </c>
      <c r="AA25" s="1810">
        <f>D25/F25</f>
        <v>1</v>
      </c>
      <c r="AB25" s="1810">
        <f>D25/H25</f>
        <v>1</v>
      </c>
      <c r="AC25" s="1810">
        <f>D25/J25</f>
        <v>1</v>
      </c>
    </row>
    <row r="26" spans="1:29" ht="15">
      <c r="A26" s="466" t="s">
        <v>2558</v>
      </c>
      <c r="B26" s="71" t="s">
        <v>2708</v>
      </c>
      <c r="C26" s="2674"/>
      <c r="D26" s="467">
        <v>100</v>
      </c>
      <c r="E26" s="2674"/>
      <c r="F26" s="666">
        <f>SUMIF(77:77,E26,78:78)-SUMIF(77:77,C26,78:78)+100</f>
        <v>100</v>
      </c>
      <c r="G26" s="2674"/>
      <c r="H26" s="467">
        <f>SUMIF(77:77,G26,78:78)-SUMIF(77:77,C26,78:78)+100</f>
        <v>100</v>
      </c>
      <c r="I26" s="2674"/>
      <c r="J26" s="467">
        <f>SUMIF(77:77,I26,78:78)-SUMIF(77:77,C26,78:78)+100</f>
        <v>100</v>
      </c>
      <c r="K26" s="612"/>
      <c r="L26" s="1140"/>
      <c r="M26" s="1131"/>
      <c r="N26" s="1131"/>
      <c r="O26" s="1139"/>
      <c r="P26" s="3251" t="s">
        <v>2560</v>
      </c>
      <c r="Q26" s="1809" t="str">
        <f t="shared" si="11"/>
        <v>公共部分装修</v>
      </c>
      <c r="R26" s="771" t="s">
        <v>17</v>
      </c>
      <c r="S26" s="772">
        <f t="shared" ref="S26:S34" si="12">F26</f>
        <v>100</v>
      </c>
      <c r="T26" s="771" t="s">
        <v>17</v>
      </c>
      <c r="U26" s="772">
        <f t="shared" ref="U26:U34" si="13">H26</f>
        <v>100</v>
      </c>
      <c r="V26" s="771" t="s">
        <v>17</v>
      </c>
      <c r="W26" s="772">
        <f t="shared" ref="W26:W34" si="14">J26</f>
        <v>100</v>
      </c>
      <c r="X26" s="1812"/>
      <c r="Y26" s="3231" t="s">
        <v>2560</v>
      </c>
      <c r="Z26" s="1813" t="str">
        <f t="shared" ref="Z26:Z34" si="15">Q26</f>
        <v>公共部分装修</v>
      </c>
      <c r="AA26" s="1810">
        <f t="shared" si="3"/>
        <v>1</v>
      </c>
      <c r="AB26" s="1810">
        <f t="shared" si="4"/>
        <v>1</v>
      </c>
      <c r="AC26" s="1810">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1"/>
      <c r="Q27" s="773" t="str">
        <f t="shared" si="11"/>
        <v>成新率</v>
      </c>
      <c r="R27" s="774" t="s">
        <v>17</v>
      </c>
      <c r="S27" s="775" t="e">
        <f t="shared" si="12"/>
        <v>#N/A</v>
      </c>
      <c r="T27" s="774" t="s">
        <v>17</v>
      </c>
      <c r="U27" s="775" t="e">
        <f t="shared" si="13"/>
        <v>#N/A</v>
      </c>
      <c r="V27" s="774" t="s">
        <v>17</v>
      </c>
      <c r="W27" s="775" t="e">
        <f t="shared" si="14"/>
        <v>#N/A</v>
      </c>
      <c r="X27" s="776"/>
      <c r="Y27" s="3231"/>
      <c r="Z27" s="777" t="str">
        <f t="shared" si="15"/>
        <v>成新率</v>
      </c>
      <c r="AA27" s="1810" t="e">
        <f t="shared" si="3"/>
        <v>#N/A</v>
      </c>
      <c r="AB27" s="1810" t="e">
        <f t="shared" si="4"/>
        <v>#N/A</v>
      </c>
      <c r="AC27" s="1810"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1"/>
      <c r="Q28" s="1809" t="str">
        <f t="shared" si="11"/>
        <v>物业等级</v>
      </c>
      <c r="R28" s="771" t="s">
        <v>17</v>
      </c>
      <c r="S28" s="772">
        <f t="shared" si="12"/>
        <v>100</v>
      </c>
      <c r="T28" s="771" t="s">
        <v>17</v>
      </c>
      <c r="U28" s="772">
        <f t="shared" si="13"/>
        <v>100</v>
      </c>
      <c r="V28" s="771" t="s">
        <v>17</v>
      </c>
      <c r="W28" s="772">
        <f t="shared" si="14"/>
        <v>100</v>
      </c>
      <c r="X28" s="1812"/>
      <c r="Y28" s="3231"/>
      <c r="Z28" s="1813" t="str">
        <f t="shared" si="15"/>
        <v>物业等级</v>
      </c>
      <c r="AA28" s="1810">
        <f t="shared" si="3"/>
        <v>1</v>
      </c>
      <c r="AB28" s="1810">
        <f t="shared" si="4"/>
        <v>1</v>
      </c>
      <c r="AC28" s="1810">
        <f t="shared" si="5"/>
        <v>1</v>
      </c>
    </row>
    <row r="29" spans="1:29" ht="15">
      <c r="A29" s="472"/>
      <c r="B29" s="422" t="s">
        <v>2731</v>
      </c>
      <c r="C29" s="656"/>
      <c r="D29" s="435">
        <v>100</v>
      </c>
      <c r="E29" s="656"/>
      <c r="F29" s="461">
        <f>SUMIF(84:84,E29,85:85)-SUMIF(84:84,C29,85:85)+100</f>
        <v>100</v>
      </c>
      <c r="G29" s="656"/>
      <c r="H29" s="435">
        <f>SUMIF(84:84,G29,85:85)-SUMIF(84:84,C29,85:85)+100</f>
        <v>100</v>
      </c>
      <c r="I29" s="656"/>
      <c r="J29" s="435">
        <f>SUMIF(84:84,I29,85:85)-SUMIF(84:84,C29,85:85)+100</f>
        <v>100</v>
      </c>
      <c r="K29" s="612"/>
      <c r="L29" s="1140"/>
      <c r="M29" s="1131"/>
      <c r="N29" s="1131"/>
      <c r="O29" s="1139"/>
      <c r="P29" s="3231"/>
      <c r="Q29" s="1809" t="str">
        <f t="shared" si="11"/>
        <v>有无电梯</v>
      </c>
      <c r="R29" s="771" t="s">
        <v>17</v>
      </c>
      <c r="S29" s="772">
        <f t="shared" si="12"/>
        <v>100</v>
      </c>
      <c r="T29" s="771" t="s">
        <v>17</v>
      </c>
      <c r="U29" s="772">
        <f t="shared" si="13"/>
        <v>100</v>
      </c>
      <c r="V29" s="771" t="s">
        <v>17</v>
      </c>
      <c r="W29" s="772">
        <f t="shared" si="14"/>
        <v>100</v>
      </c>
      <c r="X29" s="1812"/>
      <c r="Y29" s="3231"/>
      <c r="Z29" s="1813" t="str">
        <f t="shared" si="15"/>
        <v>有无电梯</v>
      </c>
      <c r="AA29" s="1810">
        <f t="shared" si="3"/>
        <v>1</v>
      </c>
      <c r="AB29" s="1810">
        <f t="shared" si="4"/>
        <v>1</v>
      </c>
      <c r="AC29" s="1810">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1"/>
      <c r="Q30" s="1809" t="str">
        <f t="shared" si="11"/>
        <v>建筑面积</v>
      </c>
      <c r="R30" s="771" t="s">
        <v>17</v>
      </c>
      <c r="S30" s="772" t="e">
        <f t="shared" si="12"/>
        <v>#N/A</v>
      </c>
      <c r="T30" s="771" t="s">
        <v>17</v>
      </c>
      <c r="U30" s="772" t="e">
        <f t="shared" si="13"/>
        <v>#N/A</v>
      </c>
      <c r="V30" s="771" t="s">
        <v>17</v>
      </c>
      <c r="W30" s="772" t="e">
        <f t="shared" si="14"/>
        <v>#N/A</v>
      </c>
      <c r="X30" s="1812"/>
      <c r="Y30" s="3231"/>
      <c r="Z30" s="1813" t="str">
        <f t="shared" si="15"/>
        <v>建筑面积</v>
      </c>
      <c r="AA30" s="1810" t="e">
        <f t="shared" si="3"/>
        <v>#N/A</v>
      </c>
      <c r="AB30" s="1810" t="e">
        <f t="shared" si="4"/>
        <v>#N/A</v>
      </c>
      <c r="AC30" s="1810" t="e">
        <f t="shared" si="5"/>
        <v>#N/A</v>
      </c>
    </row>
    <row r="31" spans="1:29" s="117" customFormat="1" ht="15">
      <c r="A31" s="473"/>
      <c r="B31" s="422" t="s">
        <v>2733</v>
      </c>
      <c r="C31" s="656"/>
      <c r="D31" s="136">
        <v>100</v>
      </c>
      <c r="E31" s="656"/>
      <c r="F31" s="461">
        <f>SUMIF(89:89,E31,90:90)-SUMIF(89:89,C31,90:90)+100</f>
        <v>100</v>
      </c>
      <c r="G31" s="656"/>
      <c r="H31" s="435">
        <f>SUMIF(89:89,G31,90:90)-SUMIF(89:89,C31,90:90)+100</f>
        <v>100</v>
      </c>
      <c r="I31" s="656"/>
      <c r="J31" s="435">
        <f>SUMIF(89:89,I31,90:90)-SUMIF(89:89,C31,90:90)+100</f>
        <v>100</v>
      </c>
      <c r="K31" s="612"/>
      <c r="L31" s="1132"/>
      <c r="M31" s="1133"/>
      <c r="N31" s="1133"/>
      <c r="O31" s="1134"/>
      <c r="P31" s="3231"/>
      <c r="Q31" s="1794" t="str">
        <f t="shared" si="11"/>
        <v>是否封闭</v>
      </c>
      <c r="R31" s="767" t="s">
        <v>17</v>
      </c>
      <c r="S31" s="768">
        <f t="shared" si="12"/>
        <v>100</v>
      </c>
      <c r="T31" s="767" t="s">
        <v>17</v>
      </c>
      <c r="U31" s="768">
        <f t="shared" si="13"/>
        <v>100</v>
      </c>
      <c r="V31" s="767" t="s">
        <v>17</v>
      </c>
      <c r="W31" s="768">
        <f t="shared" si="14"/>
        <v>100</v>
      </c>
      <c r="X31" s="769"/>
      <c r="Y31" s="3231"/>
      <c r="Z31" s="55" t="str">
        <f t="shared" si="15"/>
        <v>是否封闭</v>
      </c>
      <c r="AA31" s="770">
        <f t="shared" si="3"/>
        <v>1</v>
      </c>
      <c r="AB31" s="770">
        <f t="shared" si="4"/>
        <v>1</v>
      </c>
      <c r="AC31" s="770">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1" t="s">
        <v>2560</v>
      </c>
      <c r="Q32" s="1809">
        <f t="shared" si="11"/>
        <v>111</v>
      </c>
      <c r="R32" s="771" t="s">
        <v>17</v>
      </c>
      <c r="S32" s="772">
        <f t="shared" si="12"/>
        <v>100</v>
      </c>
      <c r="T32" s="771" t="s">
        <v>17</v>
      </c>
      <c r="U32" s="772">
        <f t="shared" si="13"/>
        <v>100</v>
      </c>
      <c r="V32" s="771" t="s">
        <v>17</v>
      </c>
      <c r="W32" s="772">
        <f t="shared" si="14"/>
        <v>100</v>
      </c>
      <c r="X32" s="1812"/>
      <c r="Y32" s="3231" t="s">
        <v>2560</v>
      </c>
      <c r="Z32" s="1813">
        <f t="shared" si="15"/>
        <v>111</v>
      </c>
      <c r="AA32" s="1810">
        <f t="shared" si="3"/>
        <v>1</v>
      </c>
      <c r="AB32" s="1810">
        <f t="shared" si="4"/>
        <v>1</v>
      </c>
      <c r="AC32" s="1810">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1"/>
      <c r="Q33" s="1809">
        <f t="shared" si="11"/>
        <v>111</v>
      </c>
      <c r="R33" s="771" t="s">
        <v>17</v>
      </c>
      <c r="S33" s="772">
        <f t="shared" si="12"/>
        <v>100</v>
      </c>
      <c r="T33" s="771" t="s">
        <v>17</v>
      </c>
      <c r="U33" s="772">
        <f t="shared" si="13"/>
        <v>100</v>
      </c>
      <c r="V33" s="771" t="s">
        <v>17</v>
      </c>
      <c r="W33" s="772">
        <f t="shared" si="14"/>
        <v>100</v>
      </c>
      <c r="X33" s="1812"/>
      <c r="Y33" s="3231"/>
      <c r="Z33" s="1813">
        <f t="shared" si="15"/>
        <v>111</v>
      </c>
      <c r="AA33" s="1810">
        <f t="shared" si="3"/>
        <v>1</v>
      </c>
      <c r="AB33" s="1810">
        <f t="shared" si="4"/>
        <v>1</v>
      </c>
      <c r="AC33" s="1810">
        <f t="shared" si="5"/>
        <v>1</v>
      </c>
    </row>
    <row r="34" spans="1:29" ht="15.75" thickBot="1">
      <c r="A34" s="478"/>
      <c r="B34" s="2598">
        <v>111</v>
      </c>
      <c r="C34" s="437"/>
      <c r="D34" s="438">
        <v>100</v>
      </c>
      <c r="E34" s="2692"/>
      <c r="F34" s="439">
        <f>SUMIF(95:95,E34,96:96)-SUMIF(95:95,C34,96:96)+100</f>
        <v>100</v>
      </c>
      <c r="G34" s="2692"/>
      <c r="H34" s="438">
        <f>SUMIF(95:95,G34,96:96)-SUMIF(95:95,C34,96:96)+100</f>
        <v>100</v>
      </c>
      <c r="I34" s="2692"/>
      <c r="J34" s="438">
        <f>SUMIF(95:95,I34,96:96)-SUMIF(95:95,C34,96:96)+100</f>
        <v>100</v>
      </c>
      <c r="K34" s="613"/>
      <c r="L34" s="1140"/>
      <c r="M34" s="1131"/>
      <c r="N34" s="1131"/>
      <c r="O34" s="1139"/>
      <c r="P34" s="3231"/>
      <c r="Q34" s="1809">
        <f t="shared" si="11"/>
        <v>111</v>
      </c>
      <c r="R34" s="771" t="s">
        <v>17</v>
      </c>
      <c r="S34" s="772">
        <f t="shared" si="12"/>
        <v>100</v>
      </c>
      <c r="T34" s="771" t="s">
        <v>17</v>
      </c>
      <c r="U34" s="772">
        <f t="shared" si="13"/>
        <v>100</v>
      </c>
      <c r="V34" s="771" t="s">
        <v>17</v>
      </c>
      <c r="W34" s="772">
        <f t="shared" si="14"/>
        <v>100</v>
      </c>
      <c r="X34" s="1812"/>
      <c r="Y34" s="3231"/>
      <c r="Z34" s="1813">
        <f t="shared" si="15"/>
        <v>111</v>
      </c>
      <c r="AA34" s="1810">
        <f t="shared" si="3"/>
        <v>1</v>
      </c>
      <c r="AB34" s="1810">
        <f t="shared" si="4"/>
        <v>1</v>
      </c>
      <c r="AC34" s="1810">
        <f t="shared" si="5"/>
        <v>1</v>
      </c>
    </row>
    <row r="35" spans="1:29" ht="15">
      <c r="A35" s="479" t="s">
        <v>2572</v>
      </c>
      <c r="B35" s="480"/>
      <c r="C35" s="1407" t="s">
        <v>1</v>
      </c>
      <c r="D35" s="1408"/>
      <c r="E35" s="1409"/>
      <c r="F35" s="1410"/>
      <c r="G35" s="1411"/>
      <c r="H35" s="1412"/>
      <c r="I35" s="1409"/>
      <c r="J35" s="1412"/>
      <c r="K35" s="780"/>
      <c r="L35" s="1143"/>
      <c r="M35" s="1144"/>
      <c r="N35" s="1131"/>
      <c r="O35" s="1144"/>
      <c r="P35" s="3224" t="str">
        <f>A35</f>
        <v>成交单价（元/平方米）</v>
      </c>
      <c r="Q35" s="3224"/>
      <c r="R35" s="3225">
        <f>E35</f>
        <v>0</v>
      </c>
      <c r="S35" s="3225"/>
      <c r="T35" s="3225">
        <f>G35</f>
        <v>0</v>
      </c>
      <c r="U35" s="3225"/>
      <c r="V35" s="3225">
        <f>I35</f>
        <v>0</v>
      </c>
      <c r="W35" s="3225"/>
      <c r="X35" s="756"/>
      <c r="Y35" s="778"/>
      <c r="Z35" s="756"/>
      <c r="AA35" s="756"/>
      <c r="AB35" s="756"/>
      <c r="AC35" s="756"/>
    </row>
    <row r="36" spans="1:29" ht="15.75" thickBot="1">
      <c r="A36" s="486" t="s">
        <v>2663</v>
      </c>
      <c r="B36" s="487"/>
      <c r="C36" s="1413" t="e">
        <f>R37</f>
        <v>#DIV/0!</v>
      </c>
      <c r="D36" s="1414"/>
      <c r="E36" s="1415" t="e">
        <f>R36</f>
        <v>#DIV/0!</v>
      </c>
      <c r="F36" s="1415"/>
      <c r="G36" s="1413" t="e">
        <f>T36</f>
        <v>#DIV/0!</v>
      </c>
      <c r="H36" s="1414"/>
      <c r="I36" s="1415" t="e">
        <f>V36</f>
        <v>#DIV/0!</v>
      </c>
      <c r="J36" s="1414"/>
      <c r="K36" s="781"/>
      <c r="L36" s="1143"/>
      <c r="M36" s="1144"/>
      <c r="N36" s="1131"/>
      <c r="O36" s="1144"/>
      <c r="P36" s="3224" t="str">
        <f>A36</f>
        <v>比较价值（元/平方米）</v>
      </c>
      <c r="Q36" s="3224"/>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756"/>
      <c r="Y36" s="756"/>
      <c r="Z36" s="756"/>
      <c r="AA36" s="756"/>
      <c r="AB36" s="756"/>
      <c r="AC36" s="756"/>
    </row>
    <row r="37" spans="1:29" ht="15.75" thickBot="1">
      <c r="A37" s="492" t="s">
        <v>2664</v>
      </c>
      <c r="B37" s="493"/>
      <c r="C37" s="1417" t="e">
        <f>R37</f>
        <v>#DIV/0!</v>
      </c>
      <c r="D37" s="1417"/>
      <c r="E37" s="1417"/>
      <c r="F37" s="1417"/>
      <c r="G37" s="1417"/>
      <c r="H37" s="1417"/>
      <c r="I37" s="1417"/>
      <c r="J37" s="1417"/>
      <c r="K37" s="782"/>
      <c r="L37" s="1143"/>
      <c r="M37" s="1144"/>
      <c r="N37" s="1144"/>
      <c r="O37" s="1144"/>
      <c r="P37" s="3221" t="str">
        <f>A37</f>
        <v>估价对象XX用房的比较价值（楼面单价，元/平方米）</v>
      </c>
      <c r="Q37" s="3222"/>
      <c r="R37" s="3223" t="e">
        <f>IF(F1="售价",ROUND(AVERAGE(R36:V36),0),ROUND(AVERAGE(R36:V36),1))</f>
        <v>#DIV/0!</v>
      </c>
      <c r="S37" s="3223"/>
      <c r="T37" s="3223"/>
      <c r="U37" s="3223"/>
      <c r="V37" s="3223"/>
      <c r="W37" s="3223"/>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2668</v>
      </c>
      <c r="B45" s="756"/>
      <c r="C45" s="761"/>
      <c r="D45" s="761"/>
      <c r="E45" s="761"/>
      <c r="F45" s="762"/>
      <c r="G45" s="762"/>
      <c r="H45" s="761"/>
      <c r="I45" s="761"/>
      <c r="J45" s="761"/>
      <c r="K45" s="763"/>
      <c r="L45" s="764"/>
      <c r="M45" s="761"/>
      <c r="N45" s="761"/>
      <c r="O45" s="761"/>
      <c r="P45" s="503"/>
      <c r="Q45" s="504"/>
    </row>
    <row r="46" spans="1:29" s="508" customFormat="1" ht="15">
      <c r="A46" s="505" t="s">
        <v>2543</v>
      </c>
      <c r="B46" s="506"/>
      <c r="C46" s="1574" t="str">
        <f>YEAR(C7)&amp;"-"&amp;MONTH(C7)</f>
        <v>2018-8</v>
      </c>
      <c r="D46" s="1575">
        <f>EDATE(C46,-1)</f>
        <v>43282</v>
      </c>
      <c r="E46" s="1575">
        <f t="shared" ref="E46:O46" si="16">EDATE(D46,-1)</f>
        <v>43252</v>
      </c>
      <c r="F46" s="1575">
        <f t="shared" si="16"/>
        <v>43221</v>
      </c>
      <c r="G46" s="1575">
        <f t="shared" si="16"/>
        <v>43191</v>
      </c>
      <c r="H46" s="1575">
        <f t="shared" si="16"/>
        <v>43160</v>
      </c>
      <c r="I46" s="1575">
        <f t="shared" si="16"/>
        <v>43132</v>
      </c>
      <c r="J46" s="1575">
        <f t="shared" si="16"/>
        <v>43101</v>
      </c>
      <c r="K46" s="1575">
        <f t="shared" si="16"/>
        <v>43070</v>
      </c>
      <c r="L46" s="1575">
        <f t="shared" si="16"/>
        <v>43040</v>
      </c>
      <c r="M46" s="1575">
        <f t="shared" si="16"/>
        <v>43009</v>
      </c>
      <c r="N46" s="1575">
        <f t="shared" si="16"/>
        <v>42979</v>
      </c>
      <c r="O46" s="1575">
        <f t="shared" si="16"/>
        <v>42948</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8">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59">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2734</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2683</v>
      </c>
      <c r="C65" s="659" t="s">
        <v>2669</v>
      </c>
      <c r="D65" s="659" t="s">
        <v>2670</v>
      </c>
      <c r="E65" s="659" t="s">
        <v>2671</v>
      </c>
      <c r="F65" s="659" t="s">
        <v>2672</v>
      </c>
      <c r="G65" s="659" t="s">
        <v>2673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59"/>
      <c r="J80" s="659"/>
      <c r="K80" s="667"/>
      <c r="L80" s="668"/>
      <c r="M80" s="669"/>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5">
        <f>B34</f>
        <v>111</v>
      </c>
      <c r="C95" s="549"/>
      <c r="D95" s="549"/>
      <c r="E95" s="549"/>
      <c r="F95" s="549"/>
      <c r="G95" s="554"/>
      <c r="H95" s="555"/>
      <c r="I95" s="555"/>
      <c r="J95" s="555"/>
      <c r="K95" s="555"/>
      <c r="L95" s="556"/>
      <c r="M95" s="557"/>
      <c r="N95" s="1153"/>
      <c r="O95" s="1153"/>
      <c r="P95" s="636"/>
      <c r="Q95" s="637"/>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7" sqref="L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2322</v>
      </c>
      <c r="B2" s="670"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7"/>
    </row>
    <row r="3" spans="1:30" s="398" customFormat="1" ht="28.5" customHeight="1" thickBot="1">
      <c r="A3" s="247" t="s">
        <v>2324</v>
      </c>
      <c r="B3" s="609" t="e">
        <f>ROUND(IF(D3="",B2*10000/'数据-汇总表'!E3,B2*10000/D3),0)</f>
        <v>#DIV/0!</v>
      </c>
      <c r="C3" s="247" t="s">
        <v>2740</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1" t="s">
        <v>2640</v>
      </c>
      <c r="B4" s="402"/>
      <c r="C4" s="3206" t="s">
        <v>2641</v>
      </c>
      <c r="D4" s="3207"/>
      <c r="E4" s="3208" t="s">
        <v>2642</v>
      </c>
      <c r="F4" s="3209"/>
      <c r="G4" s="3206" t="s">
        <v>2643</v>
      </c>
      <c r="H4" s="3207"/>
      <c r="I4" s="3206" t="s">
        <v>2644</v>
      </c>
      <c r="J4" s="3207"/>
      <c r="K4" s="610" t="s">
        <v>2645</v>
      </c>
      <c r="L4" s="1130"/>
      <c r="M4" s="1131"/>
      <c r="N4" s="1131"/>
      <c r="O4" s="1131"/>
      <c r="P4" s="3210" t="s">
        <v>2646</v>
      </c>
      <c r="Q4" s="3211"/>
      <c r="R4" s="3193" t="s">
        <v>2642</v>
      </c>
      <c r="S4" s="3194"/>
      <c r="T4" s="3193" t="s">
        <v>2643</v>
      </c>
      <c r="U4" s="3194"/>
      <c r="V4" s="3218" t="s">
        <v>2644</v>
      </c>
      <c r="W4" s="3218"/>
      <c r="X4" s="1812"/>
      <c r="Y4" s="3193" t="s">
        <v>2646</v>
      </c>
      <c r="Z4" s="3194"/>
      <c r="AA4" s="3188" t="s">
        <v>2642</v>
      </c>
      <c r="AB4" s="3189" t="s">
        <v>2643</v>
      </c>
      <c r="AC4" s="3188" t="s">
        <v>2644</v>
      </c>
    </row>
    <row r="5" spans="1:30" ht="15">
      <c r="A5" s="404"/>
      <c r="B5" s="405"/>
      <c r="C5" s="3219" t="s">
        <v>2537</v>
      </c>
      <c r="D5" s="3200"/>
      <c r="E5" s="3238" t="s">
        <v>2538</v>
      </c>
      <c r="F5" s="3198"/>
      <c r="G5" s="3219" t="s">
        <v>2539</v>
      </c>
      <c r="H5" s="3200"/>
      <c r="I5" s="3219" t="s">
        <v>2540</v>
      </c>
      <c r="J5" s="3200"/>
      <c r="K5" s="610"/>
      <c r="L5" s="1130"/>
      <c r="M5" s="1131"/>
      <c r="N5" s="1131"/>
      <c r="O5" s="1131"/>
      <c r="P5" s="3212"/>
      <c r="Q5" s="3213"/>
      <c r="R5" s="3195"/>
      <c r="S5" s="3196"/>
      <c r="T5" s="3195"/>
      <c r="U5" s="3196"/>
      <c r="V5" s="3218"/>
      <c r="W5" s="3218"/>
      <c r="X5" s="1812"/>
      <c r="Y5" s="3195"/>
      <c r="Z5" s="3196"/>
      <c r="AA5" s="3189"/>
      <c r="AB5" s="3189"/>
      <c r="AC5" s="3189"/>
    </row>
    <row r="6" spans="1:30" ht="15.75" thickBot="1">
      <c r="A6" s="406"/>
      <c r="B6" s="407"/>
      <c r="C6" s="3201" t="s">
        <v>2541</v>
      </c>
      <c r="D6" s="3202"/>
      <c r="E6" s="3203" t="s">
        <v>2541</v>
      </c>
      <c r="F6" s="3204"/>
      <c r="G6" s="3201" t="s">
        <v>2541</v>
      </c>
      <c r="H6" s="3202"/>
      <c r="I6" s="3201" t="s">
        <v>2541</v>
      </c>
      <c r="J6" s="3202"/>
      <c r="K6" s="610" t="s">
        <v>2542</v>
      </c>
      <c r="L6" s="1130"/>
      <c r="M6" s="1131"/>
      <c r="N6" s="1131"/>
      <c r="O6" s="1131"/>
      <c r="P6" s="3214"/>
      <c r="Q6" s="3215"/>
      <c r="R6" s="3195"/>
      <c r="S6" s="3196"/>
      <c r="T6" s="3216"/>
      <c r="U6" s="3217"/>
      <c r="V6" s="3218"/>
      <c r="W6" s="3218"/>
      <c r="X6" s="1812"/>
      <c r="Y6" s="3216"/>
      <c r="Z6" s="3217"/>
      <c r="AA6" s="3190"/>
      <c r="AB6" s="3190"/>
      <c r="AC6" s="3190"/>
    </row>
    <row r="7" spans="1:30" s="117" customFormat="1" ht="15.75" thickBot="1">
      <c r="A7" s="408" t="s">
        <v>2543</v>
      </c>
      <c r="B7" s="409"/>
      <c r="C7" s="410">
        <f>'数据-取费表'!B2</f>
        <v>43335</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2"/>
      <c r="M7" s="1133"/>
      <c r="N7" s="1133"/>
      <c r="O7" s="1133"/>
      <c r="P7" s="3191" t="s">
        <v>2544</v>
      </c>
      <c r="Q7" s="3220"/>
      <c r="R7" s="767" t="s">
        <v>17</v>
      </c>
      <c r="S7" s="768">
        <f t="shared" ref="S7:S15" si="0">F7</f>
        <v>0</v>
      </c>
      <c r="T7" s="767" t="s">
        <v>17</v>
      </c>
      <c r="U7" s="768">
        <f t="shared" ref="U7:U15" si="1">H7</f>
        <v>0</v>
      </c>
      <c r="V7" s="767" t="s">
        <v>17</v>
      </c>
      <c r="W7" s="768">
        <f t="shared" ref="W7:W15" si="2">J7</f>
        <v>0</v>
      </c>
      <c r="X7" s="769"/>
      <c r="Y7" s="3191" t="s">
        <v>2544</v>
      </c>
      <c r="Z7" s="3192"/>
      <c r="AA7" s="770" t="e">
        <f>D7/F7</f>
        <v>#DIV/0!</v>
      </c>
      <c r="AB7" s="770" t="e">
        <f>D7/H7</f>
        <v>#DIV/0!</v>
      </c>
      <c r="AC7" s="770"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1" t="s">
        <v>2547</v>
      </c>
      <c r="Q8" s="3192"/>
      <c r="R8" s="767" t="s">
        <v>17</v>
      </c>
      <c r="S8" s="768">
        <f t="shared" si="0"/>
        <v>0</v>
      </c>
      <c r="T8" s="767" t="s">
        <v>17</v>
      </c>
      <c r="U8" s="768">
        <f t="shared" si="1"/>
        <v>0</v>
      </c>
      <c r="V8" s="767" t="s">
        <v>17</v>
      </c>
      <c r="W8" s="768">
        <f t="shared" si="2"/>
        <v>0</v>
      </c>
      <c r="X8" s="769"/>
      <c r="Y8" s="3191" t="s">
        <v>2547</v>
      </c>
      <c r="Z8" s="3192"/>
      <c r="AA8" s="770" t="e">
        <f t="shared" ref="AA8:AA45" si="3">D8/F8</f>
        <v>#DIV/0!</v>
      </c>
      <c r="AB8" s="770" t="e">
        <f t="shared" ref="AB8:AB45" si="4">D8/H8</f>
        <v>#DIV/0!</v>
      </c>
      <c r="AC8" s="770" t="e">
        <f t="shared" ref="AC8:AC45" si="5">D8/J8</f>
        <v>#DIV/0!</v>
      </c>
    </row>
    <row r="9" spans="1:30" s="117" customFormat="1">
      <c r="A9" s="415" t="s">
        <v>2548</v>
      </c>
      <c r="B9" s="71" t="s">
        <v>2549</v>
      </c>
      <c r="C9" s="2694"/>
      <c r="D9" s="135">
        <v>100</v>
      </c>
      <c r="E9" s="2694"/>
      <c r="F9" s="135">
        <f>SUMIF(75:75,E9,76:76)-SUMIF(75:75,C9,76:76)+100</f>
        <v>100</v>
      </c>
      <c r="G9" s="2694"/>
      <c r="H9" s="135">
        <f>SUMIF(75:75,G9,76:76)-SUMIF(75:75,C9,76:76)+100</f>
        <v>100</v>
      </c>
      <c r="I9" s="2694"/>
      <c r="J9" s="135">
        <f>SUMIF(75:75,I9,76:76)-SUMIF(75:75,C9,76:76)+100</f>
        <v>100</v>
      </c>
      <c r="K9" s="611"/>
      <c r="L9" s="1132"/>
      <c r="M9" s="1133"/>
      <c r="N9" s="1133"/>
      <c r="O9" s="1134"/>
      <c r="P9" s="3224" t="s">
        <v>2550</v>
      </c>
      <c r="Q9" s="1794" t="str">
        <f t="shared" ref="Q9:Q15" si="6">B9</f>
        <v>用途</v>
      </c>
      <c r="R9" s="767" t="s">
        <v>17</v>
      </c>
      <c r="S9" s="768">
        <f t="shared" si="0"/>
        <v>100</v>
      </c>
      <c r="T9" s="767" t="s">
        <v>17</v>
      </c>
      <c r="U9" s="768">
        <f t="shared" si="1"/>
        <v>100</v>
      </c>
      <c r="V9" s="767" t="s">
        <v>17</v>
      </c>
      <c r="W9" s="768">
        <f t="shared" si="2"/>
        <v>100</v>
      </c>
      <c r="X9" s="769"/>
      <c r="Y9" s="3038" t="s">
        <v>2551</v>
      </c>
      <c r="Z9" s="55" t="str">
        <f t="shared" ref="Z9:Z15" si="7">Q9</f>
        <v>用途</v>
      </c>
      <c r="AA9" s="770">
        <f t="shared" si="3"/>
        <v>1</v>
      </c>
      <c r="AB9" s="770">
        <f t="shared" si="4"/>
        <v>1</v>
      </c>
      <c r="AC9" s="770">
        <f t="shared" si="5"/>
        <v>1</v>
      </c>
    </row>
    <row r="10" spans="1:30" s="427" customFormat="1" ht="27">
      <c r="A10" s="421"/>
      <c r="B10" s="422" t="s">
        <v>2552</v>
      </c>
      <c r="C10" s="432"/>
      <c r="D10" s="136">
        <v>100</v>
      </c>
      <c r="E10" s="465"/>
      <c r="F10" s="136">
        <f>ROUND(100/'数据-取费表'!G16,0)</f>
        <v>105</v>
      </c>
      <c r="G10" s="463"/>
      <c r="H10" s="136">
        <f>ROUND(100/'数据-取费表'!G16,0)</f>
        <v>105</v>
      </c>
      <c r="I10" s="463"/>
      <c r="J10" s="136">
        <f>ROUND(100/'数据-取费表'!G16,0)</f>
        <v>105</v>
      </c>
      <c r="K10" s="671"/>
      <c r="L10" s="1135"/>
      <c r="M10" s="1136"/>
      <c r="N10" s="1136"/>
      <c r="O10" s="1137"/>
      <c r="P10" s="3224"/>
      <c r="Q10" s="1794" t="str">
        <f t="shared" si="6"/>
        <v>土地使用年限（年）</v>
      </c>
      <c r="R10" s="767" t="s">
        <v>17</v>
      </c>
      <c r="S10" s="768">
        <f t="shared" si="0"/>
        <v>105</v>
      </c>
      <c r="T10" s="767" t="s">
        <v>17</v>
      </c>
      <c r="U10" s="768">
        <f t="shared" si="1"/>
        <v>105</v>
      </c>
      <c r="V10" s="767" t="s">
        <v>17</v>
      </c>
      <c r="W10" s="768">
        <f t="shared" si="2"/>
        <v>105</v>
      </c>
      <c r="X10" s="769"/>
      <c r="Y10" s="3038"/>
      <c r="Z10" s="55" t="str">
        <f t="shared" si="7"/>
        <v>土地使用年限（年）</v>
      </c>
      <c r="AA10" s="770">
        <f t="shared" si="3"/>
        <v>0.95238095238095233</v>
      </c>
      <c r="AB10" s="770">
        <f t="shared" si="4"/>
        <v>0.95238095238095233</v>
      </c>
      <c r="AC10" s="770">
        <f t="shared" si="5"/>
        <v>0.95238095238095233</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8"/>
      <c r="M11" s="1131"/>
      <c r="N11" s="1131"/>
      <c r="O11" s="1139"/>
      <c r="P11" s="3224"/>
      <c r="Q11" s="1794" t="str">
        <f t="shared" si="6"/>
        <v>容积率</v>
      </c>
      <c r="R11" s="767" t="s">
        <v>17</v>
      </c>
      <c r="S11" s="768" t="e">
        <f t="shared" si="0"/>
        <v>#N/A</v>
      </c>
      <c r="T11" s="767" t="s">
        <v>17</v>
      </c>
      <c r="U11" s="768" t="e">
        <f t="shared" si="1"/>
        <v>#N/A</v>
      </c>
      <c r="V11" s="767" t="s">
        <v>17</v>
      </c>
      <c r="W11" s="768" t="e">
        <f t="shared" si="2"/>
        <v>#N/A</v>
      </c>
      <c r="X11" s="769"/>
      <c r="Y11" s="3038"/>
      <c r="Z11" s="55" t="str">
        <f t="shared" si="7"/>
        <v>容积率</v>
      </c>
      <c r="AA11" s="770" t="e">
        <f t="shared" si="3"/>
        <v>#N/A</v>
      </c>
      <c r="AB11" s="770" t="e">
        <f t="shared" si="4"/>
        <v>#N/A</v>
      </c>
      <c r="AC11" s="770" t="e">
        <f t="shared" si="5"/>
        <v>#N/A</v>
      </c>
    </row>
    <row r="12" spans="1:30" s="117" customFormat="1" ht="15">
      <c r="A12" s="431"/>
      <c r="B12" s="2596" t="s">
        <v>2741</v>
      </c>
      <c r="C12" s="432"/>
      <c r="D12" s="433">
        <v>100</v>
      </c>
      <c r="E12" s="465"/>
      <c r="F12" s="136">
        <f>SUMIF(82:82,E12,83:83)-SUMIF(82:82,C12,83:83)+100</f>
        <v>100</v>
      </c>
      <c r="G12" s="463"/>
      <c r="H12" s="136">
        <f>SUMIF(82:82,G12,83:83)-SUMIF(82:82,C12,83:83)+100</f>
        <v>100</v>
      </c>
      <c r="I12" s="465"/>
      <c r="J12" s="136">
        <f>SUMIF(82:82,I12,83:83)-SUMIF(82:82,C12,83:83)+100</f>
        <v>100</v>
      </c>
      <c r="K12" s="671"/>
      <c r="L12" s="1132"/>
      <c r="M12" s="1133"/>
      <c r="N12" s="1133"/>
      <c r="O12" s="1134"/>
      <c r="P12" s="3224"/>
      <c r="Q12" s="1794" t="str">
        <f t="shared" si="6"/>
        <v>配建</v>
      </c>
      <c r="R12" s="767" t="s">
        <v>17</v>
      </c>
      <c r="S12" s="768">
        <f t="shared" si="0"/>
        <v>100</v>
      </c>
      <c r="T12" s="767" t="s">
        <v>17</v>
      </c>
      <c r="U12" s="768">
        <f t="shared" si="1"/>
        <v>100</v>
      </c>
      <c r="V12" s="767" t="s">
        <v>17</v>
      </c>
      <c r="W12" s="768">
        <f t="shared" si="2"/>
        <v>100</v>
      </c>
      <c r="X12" s="769"/>
      <c r="Y12" s="3038"/>
      <c r="Z12" s="55" t="str">
        <f t="shared" si="7"/>
        <v>配建</v>
      </c>
      <c r="AA12" s="770">
        <f>D12/F12</f>
        <v>1</v>
      </c>
      <c r="AB12" s="770">
        <f>D12/H12</f>
        <v>1</v>
      </c>
      <c r="AC12" s="770">
        <f>D12/J12</f>
        <v>1</v>
      </c>
    </row>
    <row r="13" spans="1:30" ht="15">
      <c r="A13" s="428"/>
      <c r="B13" s="2596">
        <v>111</v>
      </c>
      <c r="C13" s="434"/>
      <c r="D13" s="435">
        <v>100</v>
      </c>
      <c r="E13" s="549"/>
      <c r="F13" s="136">
        <f>SUMIF(84:84,E13,85:85)-SUMIF(84:84,C13,85:85)+100</f>
        <v>100</v>
      </c>
      <c r="G13" s="673"/>
      <c r="H13" s="435">
        <f>SUMIF(84:84,G13,85:85)-SUMIF(84:84,C13,85:85)+100</f>
        <v>100</v>
      </c>
      <c r="I13" s="673"/>
      <c r="J13" s="435">
        <f>SUMIF(84:84,I13,85:85)-SUMIF(84:84,C13,85:85)+100</f>
        <v>100</v>
      </c>
      <c r="K13" s="671"/>
      <c r="L13" s="1140"/>
      <c r="M13" s="1131"/>
      <c r="N13" s="1131"/>
      <c r="O13" s="1139"/>
      <c r="P13" s="3224"/>
      <c r="Q13" s="1794">
        <f t="shared" si="6"/>
        <v>111</v>
      </c>
      <c r="R13" s="767" t="s">
        <v>17</v>
      </c>
      <c r="S13" s="768">
        <f t="shared" si="0"/>
        <v>100</v>
      </c>
      <c r="T13" s="767" t="s">
        <v>17</v>
      </c>
      <c r="U13" s="768">
        <f t="shared" si="1"/>
        <v>100</v>
      </c>
      <c r="V13" s="767" t="s">
        <v>17</v>
      </c>
      <c r="W13" s="768">
        <f t="shared" si="2"/>
        <v>100</v>
      </c>
      <c r="X13" s="769"/>
      <c r="Y13" s="3038"/>
      <c r="Z13" s="55">
        <f t="shared" si="7"/>
        <v>111</v>
      </c>
      <c r="AA13" s="770">
        <f>D13/F13</f>
        <v>1</v>
      </c>
      <c r="AB13" s="770">
        <f>D13/H13</f>
        <v>1</v>
      </c>
      <c r="AC13" s="770">
        <f>D13/J13</f>
        <v>1</v>
      </c>
    </row>
    <row r="14" spans="1:30" ht="15.75" thickBot="1">
      <c r="A14" s="436"/>
      <c r="B14" s="2598">
        <v>111</v>
      </c>
      <c r="C14" s="437"/>
      <c r="D14" s="438">
        <v>100</v>
      </c>
      <c r="E14" s="549"/>
      <c r="F14" s="438">
        <f>SUMIF(86:86,E14,87:87)-SUMIF(86:86,C14,87:87)+100</f>
        <v>100</v>
      </c>
      <c r="G14" s="673"/>
      <c r="H14" s="438">
        <f>SUMIF(86:86,G14,87:87)-SUMIF(86:86,C14,87:87)+100</f>
        <v>100</v>
      </c>
      <c r="I14" s="673"/>
      <c r="J14" s="438">
        <f>SUMIF(86:86,I14,87:87)-SUMIF(86:86,C14,87:87)+100</f>
        <v>100</v>
      </c>
      <c r="K14" s="671"/>
      <c r="L14" s="1140"/>
      <c r="M14" s="1131"/>
      <c r="N14" s="1131"/>
      <c r="O14" s="1139"/>
      <c r="P14" s="3224"/>
      <c r="Q14" s="1794">
        <f t="shared" si="6"/>
        <v>111</v>
      </c>
      <c r="R14" s="767" t="s">
        <v>17</v>
      </c>
      <c r="S14" s="768">
        <f t="shared" si="0"/>
        <v>100</v>
      </c>
      <c r="T14" s="767" t="s">
        <v>17</v>
      </c>
      <c r="U14" s="768">
        <f t="shared" si="1"/>
        <v>100</v>
      </c>
      <c r="V14" s="767" t="s">
        <v>17</v>
      </c>
      <c r="W14" s="768">
        <f t="shared" si="2"/>
        <v>100</v>
      </c>
      <c r="X14" s="769"/>
      <c r="Y14" s="3038"/>
      <c r="Z14" s="55">
        <f t="shared" si="7"/>
        <v>111</v>
      </c>
      <c r="AA14" s="770">
        <f>D14/F14</f>
        <v>1</v>
      </c>
      <c r="AB14" s="770">
        <f>D14/H14</f>
        <v>1</v>
      </c>
      <c r="AC14" s="770">
        <f>D14/J14</f>
        <v>1</v>
      </c>
    </row>
    <row r="15" spans="1:30" ht="71.25">
      <c r="A15" s="440" t="s">
        <v>2554</v>
      </c>
      <c r="B15" s="69" t="s">
        <v>2085</v>
      </c>
      <c r="C15" s="2599" t="str">
        <f>估价对象房地状况!C15</f>
        <v>估价对象周围有星悦国际小区、首开国风美仑等住宅小区，居住社区成熟度一般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0"/>
      <c r="M15" s="1131"/>
      <c r="N15" s="1131"/>
      <c r="O15" s="1139"/>
      <c r="P15" s="3226" t="s">
        <v>2555</v>
      </c>
      <c r="Q15" s="1809" t="str">
        <f t="shared" si="6"/>
        <v>居住社区成熟度</v>
      </c>
      <c r="R15" s="771" t="s">
        <v>17</v>
      </c>
      <c r="S15" s="772">
        <f t="shared" si="0"/>
        <v>100</v>
      </c>
      <c r="T15" s="771" t="s">
        <v>17</v>
      </c>
      <c r="U15" s="772">
        <f t="shared" si="1"/>
        <v>100</v>
      </c>
      <c r="V15" s="771" t="s">
        <v>17</v>
      </c>
      <c r="W15" s="772">
        <f t="shared" si="2"/>
        <v>100</v>
      </c>
      <c r="X15" s="1812"/>
      <c r="Y15" s="3226" t="s">
        <v>2555</v>
      </c>
      <c r="Z15" s="1813" t="str">
        <f t="shared" si="7"/>
        <v>居住社区成熟度</v>
      </c>
      <c r="AA15" s="1810">
        <f t="shared" si="3"/>
        <v>1</v>
      </c>
      <c r="AB15" s="1810">
        <f t="shared" si="4"/>
        <v>1</v>
      </c>
      <c r="AC15" s="1810">
        <f t="shared" si="5"/>
        <v>1</v>
      </c>
    </row>
    <row r="16" spans="1:30" ht="15">
      <c r="A16" s="428"/>
      <c r="B16" s="446"/>
      <c r="C16" s="447"/>
      <c r="D16" s="448"/>
      <c r="E16" s="2601"/>
      <c r="F16" s="448"/>
      <c r="G16" s="2601"/>
      <c r="H16" s="450"/>
      <c r="I16" s="2600"/>
      <c r="J16" s="448"/>
      <c r="K16" s="671"/>
      <c r="L16" s="1140"/>
      <c r="M16" s="1131"/>
      <c r="N16" s="1131"/>
      <c r="O16" s="1139"/>
      <c r="P16" s="3227"/>
      <c r="Q16" s="1809"/>
      <c r="R16" s="771"/>
      <c r="S16" s="772"/>
      <c r="T16" s="771"/>
      <c r="U16" s="772"/>
      <c r="V16" s="771"/>
      <c r="W16" s="772"/>
      <c r="X16" s="1812"/>
      <c r="Y16" s="3227"/>
      <c r="Z16" s="1813"/>
      <c r="AA16" s="1810">
        <v>1</v>
      </c>
      <c r="AB16" s="1810">
        <v>1</v>
      </c>
      <c r="AC16" s="1810">
        <v>1</v>
      </c>
    </row>
    <row r="17" spans="1:29" ht="99.75">
      <c r="A17" s="428"/>
      <c r="B17" s="451" t="s">
        <v>2648</v>
      </c>
      <c r="C17" s="2659" t="str">
        <f>估价对象房地状况!C16</f>
        <v>估价对象位于通州区马驹桥镇物流产业园周围，周边商业氛围较差，人流量一般，商业繁华度一般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2"/>
      <c r="L17" s="1140"/>
      <c r="M17" s="1131"/>
      <c r="N17" s="1131"/>
      <c r="O17" s="1139"/>
      <c r="P17" s="3227"/>
      <c r="Q17" s="1809" t="str">
        <f>B17</f>
        <v>商业繁华度</v>
      </c>
      <c r="R17" s="771" t="s">
        <v>17</v>
      </c>
      <c r="S17" s="772">
        <f>F17</f>
        <v>100</v>
      </c>
      <c r="T17" s="771" t="s">
        <v>17</v>
      </c>
      <c r="U17" s="772">
        <f>H17</f>
        <v>100</v>
      </c>
      <c r="V17" s="771" t="s">
        <v>17</v>
      </c>
      <c r="W17" s="772">
        <f>J17</f>
        <v>100</v>
      </c>
      <c r="X17" s="1812"/>
      <c r="Y17" s="3227"/>
      <c r="Z17" s="1813" t="str">
        <f>Q17</f>
        <v>商业繁华度</v>
      </c>
      <c r="AA17" s="1810">
        <f t="shared" si="3"/>
        <v>1</v>
      </c>
      <c r="AB17" s="1810">
        <f t="shared" si="4"/>
        <v>1</v>
      </c>
      <c r="AC17" s="1810">
        <f t="shared" si="5"/>
        <v>1</v>
      </c>
    </row>
    <row r="18" spans="1:29" ht="15">
      <c r="A18" s="428"/>
      <c r="B18" s="456"/>
      <c r="C18" s="2604"/>
      <c r="D18" s="450"/>
      <c r="E18" s="2606"/>
      <c r="F18" s="450"/>
      <c r="G18" s="2606"/>
      <c r="H18" s="448"/>
      <c r="I18" s="2605"/>
      <c r="J18" s="448"/>
      <c r="K18" s="671"/>
      <c r="L18" s="1140"/>
      <c r="M18" s="1131"/>
      <c r="N18" s="1131"/>
      <c r="O18" s="1139"/>
      <c r="P18" s="3227"/>
      <c r="Q18" s="1809"/>
      <c r="R18" s="771"/>
      <c r="S18" s="772"/>
      <c r="T18" s="771"/>
      <c r="U18" s="772"/>
      <c r="V18" s="771"/>
      <c r="W18" s="772"/>
      <c r="X18" s="1812"/>
      <c r="Y18" s="3227"/>
      <c r="Z18" s="1813"/>
      <c r="AA18" s="1810">
        <v>1</v>
      </c>
      <c r="AB18" s="1810">
        <v>1</v>
      </c>
      <c r="AC18" s="1810">
        <v>1</v>
      </c>
    </row>
    <row r="19" spans="1:29" ht="71.25">
      <c r="A19" s="428"/>
      <c r="B19" s="451" t="s">
        <v>2681</v>
      </c>
      <c r="C19" s="2659" t="str">
        <f>估价对象房地状况!C17</f>
        <v>估价对象位于通州区马驹桥镇物流产业园周围，周边办公集聚程度一般</v>
      </c>
      <c r="D19" s="455">
        <v>100</v>
      </c>
      <c r="E19" s="457"/>
      <c r="F19" s="455">
        <f>SUMIF(92:92,E20,93:93)-SUMIF(92:92,C20,93:93)+100</f>
        <v>100</v>
      </c>
      <c r="G19" s="457"/>
      <c r="H19" s="450">
        <f>SUMIF(92:92,G20,93:93)-SUMIF(92:92,C20,93:93)+100</f>
        <v>100</v>
      </c>
      <c r="I19" s="459"/>
      <c r="J19" s="450">
        <f>SUMIF(92:92,I20,93:93)-SUMIF(92:92,C20,93:93)+100</f>
        <v>100</v>
      </c>
      <c r="K19" s="672"/>
      <c r="L19" s="1140"/>
      <c r="M19" s="1131"/>
      <c r="N19" s="1131"/>
      <c r="O19" s="1139"/>
      <c r="P19" s="3227"/>
      <c r="Q19" s="1809" t="str">
        <f>B19</f>
        <v>办公集聚程度</v>
      </c>
      <c r="R19" s="771" t="s">
        <v>17</v>
      </c>
      <c r="S19" s="772">
        <f>F19</f>
        <v>100</v>
      </c>
      <c r="T19" s="771" t="s">
        <v>17</v>
      </c>
      <c r="U19" s="772">
        <f>H19</f>
        <v>100</v>
      </c>
      <c r="V19" s="771" t="s">
        <v>17</v>
      </c>
      <c r="W19" s="772">
        <f>J19</f>
        <v>100</v>
      </c>
      <c r="X19" s="1812"/>
      <c r="Y19" s="3227"/>
      <c r="Z19" s="1813" t="str">
        <f>Q19</f>
        <v>办公集聚程度</v>
      </c>
      <c r="AA19" s="1810">
        <f t="shared" si="3"/>
        <v>1</v>
      </c>
      <c r="AB19" s="1810">
        <f t="shared" si="4"/>
        <v>1</v>
      </c>
      <c r="AC19" s="1810">
        <f t="shared" si="5"/>
        <v>1</v>
      </c>
    </row>
    <row r="20" spans="1:29" ht="15">
      <c r="A20" s="428"/>
      <c r="B20" s="456"/>
      <c r="C20" s="447"/>
      <c r="D20" s="448"/>
      <c r="E20" s="2601"/>
      <c r="F20" s="448"/>
      <c r="G20" s="2601"/>
      <c r="H20" s="448"/>
      <c r="I20" s="2600"/>
      <c r="J20" s="448"/>
      <c r="K20" s="671"/>
      <c r="L20" s="1140"/>
      <c r="M20" s="1131"/>
      <c r="N20" s="1131"/>
      <c r="O20" s="1139"/>
      <c r="P20" s="3227"/>
      <c r="Q20" s="1809"/>
      <c r="R20" s="771"/>
      <c r="S20" s="772"/>
      <c r="T20" s="771"/>
      <c r="U20" s="772"/>
      <c r="V20" s="771"/>
      <c r="W20" s="772"/>
      <c r="X20" s="1812"/>
      <c r="Y20" s="3227"/>
      <c r="Z20" s="1813"/>
      <c r="AA20" s="1810">
        <v>1</v>
      </c>
      <c r="AB20" s="1810">
        <v>1</v>
      </c>
      <c r="AC20" s="1810">
        <v>1</v>
      </c>
    </row>
    <row r="21" spans="1:29" ht="85.5">
      <c r="A21" s="428"/>
      <c r="B21" s="451" t="s">
        <v>2703</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0"/>
      <c r="M21" s="1131"/>
      <c r="N21" s="1131"/>
      <c r="O21" s="1139"/>
      <c r="P21" s="3227"/>
      <c r="Q21" s="1809" t="str">
        <f>B21</f>
        <v>交通便捷度</v>
      </c>
      <c r="R21" s="771" t="s">
        <v>17</v>
      </c>
      <c r="S21" s="772">
        <f>F21</f>
        <v>100</v>
      </c>
      <c r="T21" s="771" t="s">
        <v>17</v>
      </c>
      <c r="U21" s="772">
        <f>H21</f>
        <v>100</v>
      </c>
      <c r="V21" s="771" t="s">
        <v>17</v>
      </c>
      <c r="W21" s="772">
        <f>J21</f>
        <v>100</v>
      </c>
      <c r="X21" s="1812"/>
      <c r="Y21" s="3227"/>
      <c r="Z21" s="1813" t="str">
        <f>Q21</f>
        <v>交通便捷度</v>
      </c>
      <c r="AA21" s="1810">
        <f t="shared" si="3"/>
        <v>1</v>
      </c>
      <c r="AB21" s="1810">
        <f t="shared" si="4"/>
        <v>1</v>
      </c>
      <c r="AC21" s="1810">
        <f t="shared" si="5"/>
        <v>1</v>
      </c>
    </row>
    <row r="22" spans="1:29" ht="15">
      <c r="A22" s="428"/>
      <c r="B22" s="1384"/>
      <c r="C22" s="447"/>
      <c r="D22" s="450"/>
      <c r="E22" s="2601"/>
      <c r="F22" s="448"/>
      <c r="G22" s="2601"/>
      <c r="H22" s="448"/>
      <c r="I22" s="2600"/>
      <c r="J22" s="448"/>
      <c r="K22" s="671"/>
      <c r="L22" s="1140"/>
      <c r="M22" s="1131"/>
      <c r="N22" s="1131"/>
      <c r="O22" s="1139"/>
      <c r="P22" s="3227"/>
      <c r="Q22" s="1809"/>
      <c r="R22" s="771"/>
      <c r="S22" s="772"/>
      <c r="T22" s="771"/>
      <c r="U22" s="772"/>
      <c r="V22" s="771"/>
      <c r="W22" s="772"/>
      <c r="X22" s="1812"/>
      <c r="Y22" s="3227"/>
      <c r="Z22" s="1813"/>
      <c r="AA22" s="1810">
        <v>1</v>
      </c>
      <c r="AB22" s="1810">
        <v>1</v>
      </c>
      <c r="AC22" s="1810">
        <v>1</v>
      </c>
    </row>
    <row r="23" spans="1:29" ht="15">
      <c r="A23" s="404"/>
      <c r="B23" s="451" t="s">
        <v>2742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0"/>
      <c r="M23" s="1131"/>
      <c r="N23" s="1131"/>
      <c r="O23" s="1139"/>
      <c r="P23" s="3227"/>
      <c r="Q23" s="1809" t="str">
        <f t="shared" ref="Q23:Q37" si="8">B23</f>
        <v>区域土地利用方向</v>
      </c>
      <c r="R23" s="771" t="s">
        <v>17</v>
      </c>
      <c r="S23" s="772">
        <f>F23</f>
        <v>100</v>
      </c>
      <c r="T23" s="771" t="s">
        <v>17</v>
      </c>
      <c r="U23" s="772">
        <f>H23</f>
        <v>100</v>
      </c>
      <c r="V23" s="771" t="s">
        <v>17</v>
      </c>
      <c r="W23" s="772">
        <f>J23</f>
        <v>100</v>
      </c>
      <c r="X23" s="1812"/>
      <c r="Y23" s="3227"/>
      <c r="Z23" s="1813" t="str">
        <f>Q23</f>
        <v>区域土地利用方向</v>
      </c>
      <c r="AA23" s="1810">
        <f t="shared" si="3"/>
        <v>1</v>
      </c>
      <c r="AB23" s="1810">
        <f t="shared" si="4"/>
        <v>1</v>
      </c>
      <c r="AC23" s="1810">
        <f t="shared" si="5"/>
        <v>1</v>
      </c>
    </row>
    <row r="24" spans="1:29" ht="15">
      <c r="A24" s="404"/>
      <c r="B24" s="456"/>
      <c r="C24" s="616"/>
      <c r="D24" s="448"/>
      <c r="E24" s="2601"/>
      <c r="F24" s="448"/>
      <c r="G24" s="2600"/>
      <c r="H24" s="448"/>
      <c r="I24" s="2600"/>
      <c r="J24" s="448"/>
      <c r="K24" s="809"/>
      <c r="L24" s="1140"/>
      <c r="M24" s="1131"/>
      <c r="N24" s="1131"/>
      <c r="O24" s="1139"/>
      <c r="P24" s="3227"/>
      <c r="Q24" s="1809"/>
      <c r="R24" s="771"/>
      <c r="S24" s="772"/>
      <c r="T24" s="771"/>
      <c r="U24" s="772"/>
      <c r="V24" s="771"/>
      <c r="W24" s="772"/>
      <c r="X24" s="1812"/>
      <c r="Y24" s="3227"/>
      <c r="Z24" s="1813"/>
      <c r="AA24" s="1810"/>
      <c r="AB24" s="1810"/>
      <c r="AC24" s="1810"/>
    </row>
    <row r="25" spans="1:29" ht="71.25">
      <c r="A25" s="404"/>
      <c r="B25" s="1384" t="s">
        <v>2743</v>
      </c>
      <c r="C25" s="2659" t="str">
        <f>估价对象房地状况!C20</f>
        <v>区域自然环境：凉水河；人文环境：无高等院校等；综合评价环境状况一般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0"/>
      <c r="M25" s="1131"/>
      <c r="N25" s="1131"/>
      <c r="O25" s="1139"/>
      <c r="P25" s="3227"/>
      <c r="Q25" s="1809" t="str">
        <f t="shared" si="8"/>
        <v>自然及人文环境状况</v>
      </c>
      <c r="R25" s="771" t="s">
        <v>17</v>
      </c>
      <c r="S25" s="772">
        <f>F25</f>
        <v>100</v>
      </c>
      <c r="T25" s="771" t="s">
        <v>17</v>
      </c>
      <c r="U25" s="772">
        <f>H25</f>
        <v>100</v>
      </c>
      <c r="V25" s="771" t="s">
        <v>17</v>
      </c>
      <c r="W25" s="772">
        <f>J25</f>
        <v>100</v>
      </c>
      <c r="X25" s="1812"/>
      <c r="Y25" s="3227"/>
      <c r="Z25" s="1813" t="str">
        <f>Q25</f>
        <v>自然及人文环境状况</v>
      </c>
      <c r="AA25" s="1810">
        <f t="shared" si="3"/>
        <v>1</v>
      </c>
      <c r="AB25" s="1810">
        <f t="shared" si="4"/>
        <v>1</v>
      </c>
      <c r="AC25" s="1810">
        <f t="shared" si="5"/>
        <v>1</v>
      </c>
    </row>
    <row r="26" spans="1:29" ht="15">
      <c r="A26" s="404"/>
      <c r="B26" s="456"/>
      <c r="C26" s="447"/>
      <c r="D26" s="448"/>
      <c r="E26" s="2607"/>
      <c r="F26" s="448"/>
      <c r="G26" s="2607"/>
      <c r="H26" s="448"/>
      <c r="I26" s="447"/>
      <c r="J26" s="448"/>
      <c r="K26" s="671"/>
      <c r="L26" s="1140"/>
      <c r="M26" s="1131"/>
      <c r="N26" s="1131"/>
      <c r="O26" s="1139"/>
      <c r="P26" s="3227"/>
      <c r="Q26" s="1809"/>
      <c r="R26" s="771"/>
      <c r="S26" s="772"/>
      <c r="T26" s="771"/>
      <c r="U26" s="772"/>
      <c r="V26" s="771"/>
      <c r="W26" s="772"/>
      <c r="X26" s="1812"/>
      <c r="Y26" s="3227"/>
      <c r="Z26" s="1813"/>
      <c r="AA26" s="1810">
        <v>1</v>
      </c>
      <c r="AB26" s="1810">
        <v>1</v>
      </c>
      <c r="AC26" s="1810">
        <v>1</v>
      </c>
    </row>
    <row r="27" spans="1:29" s="117" customFormat="1" ht="42.75">
      <c r="A27" s="648"/>
      <c r="B27" s="1384" t="s">
        <v>2649</v>
      </c>
      <c r="C27" s="2603"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2"/>
      <c r="M27" s="1133"/>
      <c r="N27" s="1133"/>
      <c r="O27" s="1134"/>
      <c r="P27" s="3227"/>
      <c r="Q27" s="1794" t="str">
        <f t="shared" si="8"/>
        <v>公共配套设施</v>
      </c>
      <c r="R27" s="767" t="s">
        <v>17</v>
      </c>
      <c r="S27" s="768">
        <f>F27</f>
        <v>100</v>
      </c>
      <c r="T27" s="767" t="s">
        <v>17</v>
      </c>
      <c r="U27" s="768">
        <f>H27</f>
        <v>100</v>
      </c>
      <c r="V27" s="767" t="s">
        <v>17</v>
      </c>
      <c r="W27" s="768">
        <f>J27</f>
        <v>100</v>
      </c>
      <c r="X27" s="769"/>
      <c r="Y27" s="3227"/>
      <c r="Z27" s="55" t="str">
        <f>Q27</f>
        <v>公共配套设施</v>
      </c>
      <c r="AA27" s="1810">
        <f>D27/F27</f>
        <v>1</v>
      </c>
      <c r="AB27" s="1810">
        <f>D27/H27</f>
        <v>1</v>
      </c>
      <c r="AC27" s="1810">
        <f>D27/J27</f>
        <v>1</v>
      </c>
    </row>
    <row r="28" spans="1:29" s="117" customFormat="1" ht="15">
      <c r="A28" s="648"/>
      <c r="B28" s="456"/>
      <c r="C28" s="2695"/>
      <c r="D28" s="448"/>
      <c r="E28" s="2607"/>
      <c r="F28" s="448"/>
      <c r="G28" s="2607"/>
      <c r="H28" s="448"/>
      <c r="I28" s="447"/>
      <c r="J28" s="448"/>
      <c r="K28" s="671"/>
      <c r="L28" s="1132"/>
      <c r="M28" s="1133"/>
      <c r="N28" s="1133"/>
      <c r="O28" s="1134"/>
      <c r="P28" s="3227"/>
      <c r="Q28" s="1794"/>
      <c r="R28" s="767"/>
      <c r="S28" s="768"/>
      <c r="T28" s="767"/>
      <c r="U28" s="768"/>
      <c r="V28" s="767"/>
      <c r="W28" s="768"/>
      <c r="X28" s="769"/>
      <c r="Y28" s="3227"/>
      <c r="Z28" s="55"/>
      <c r="AA28" s="1810">
        <v>1</v>
      </c>
      <c r="AB28" s="1810">
        <v>1</v>
      </c>
      <c r="AC28" s="1810">
        <v>1</v>
      </c>
    </row>
    <row r="29" spans="1:29" s="117" customFormat="1" ht="42.75">
      <c r="A29" s="648"/>
      <c r="B29" s="1384" t="s">
        <v>2650</v>
      </c>
      <c r="C29" s="2603"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2"/>
      <c r="M29" s="1133"/>
      <c r="N29" s="1133"/>
      <c r="O29" s="1134"/>
      <c r="P29" s="3227"/>
      <c r="Q29" s="1794" t="str">
        <f t="shared" ref="Q29" si="9">B29</f>
        <v>基础设施水平</v>
      </c>
      <c r="R29" s="767" t="s">
        <v>17</v>
      </c>
      <c r="S29" s="768">
        <f>F29</f>
        <v>100</v>
      </c>
      <c r="T29" s="767" t="s">
        <v>17</v>
      </c>
      <c r="U29" s="768">
        <f>H29</f>
        <v>100</v>
      </c>
      <c r="V29" s="767" t="s">
        <v>17</v>
      </c>
      <c r="W29" s="768">
        <f>J29</f>
        <v>100</v>
      </c>
      <c r="X29" s="769"/>
      <c r="Y29" s="3227"/>
      <c r="Z29" s="55" t="str">
        <f>Q29</f>
        <v>基础设施水平</v>
      </c>
      <c r="AA29" s="1810">
        <f>D29/F29</f>
        <v>1</v>
      </c>
      <c r="AB29" s="1810">
        <f>D29/H29</f>
        <v>1</v>
      </c>
      <c r="AC29" s="1810">
        <f>D29/J29</f>
        <v>1</v>
      </c>
    </row>
    <row r="30" spans="1:29" s="117" customFormat="1" ht="15">
      <c r="A30" s="648"/>
      <c r="B30" s="456"/>
      <c r="C30" s="2695"/>
      <c r="D30" s="448"/>
      <c r="E30" s="2696"/>
      <c r="F30" s="448"/>
      <c r="G30" s="2696"/>
      <c r="H30" s="448"/>
      <c r="I30" s="2696"/>
      <c r="J30" s="448"/>
      <c r="K30" s="671"/>
      <c r="L30" s="1132"/>
      <c r="M30" s="1133"/>
      <c r="N30" s="1133"/>
      <c r="O30" s="1134"/>
      <c r="P30" s="3227"/>
      <c r="Q30" s="1794"/>
      <c r="R30" s="767"/>
      <c r="S30" s="768"/>
      <c r="T30" s="767"/>
      <c r="U30" s="768"/>
      <c r="V30" s="767"/>
      <c r="W30" s="768"/>
      <c r="X30" s="769"/>
      <c r="Y30" s="3227"/>
      <c r="Z30" s="55"/>
      <c r="AA30" s="1810">
        <v>1</v>
      </c>
      <c r="AB30" s="1810">
        <v>1</v>
      </c>
      <c r="AC30" s="1810">
        <v>1</v>
      </c>
    </row>
    <row r="31" spans="1:29" ht="15">
      <c r="A31" s="428"/>
      <c r="B31" s="456" t="s">
        <v>2651</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0"/>
      <c r="M31" s="1131"/>
      <c r="N31" s="1131"/>
      <c r="O31" s="1139"/>
      <c r="P31" s="3227"/>
      <c r="Q31" s="1809" t="str">
        <f t="shared" si="8"/>
        <v>临街状况</v>
      </c>
      <c r="R31" s="771" t="s">
        <v>17</v>
      </c>
      <c r="S31" s="772">
        <f t="shared" ref="S31:S45" si="10">F31</f>
        <v>100</v>
      </c>
      <c r="T31" s="771" t="s">
        <v>17</v>
      </c>
      <c r="U31" s="772">
        <f t="shared" ref="U31:U45" si="11">H31</f>
        <v>100</v>
      </c>
      <c r="V31" s="771" t="s">
        <v>17</v>
      </c>
      <c r="W31" s="772">
        <f t="shared" ref="W31:W45" si="12">J31</f>
        <v>100</v>
      </c>
      <c r="X31" s="1812"/>
      <c r="Y31" s="3227"/>
      <c r="Z31" s="1813" t="str">
        <f t="shared" ref="Z31:Z45" si="13">Q31</f>
        <v>临街状况</v>
      </c>
      <c r="AA31" s="1810">
        <f t="shared" si="3"/>
        <v>1</v>
      </c>
      <c r="AB31" s="1810">
        <f t="shared" si="4"/>
        <v>1</v>
      </c>
      <c r="AC31" s="1810">
        <f t="shared" si="5"/>
        <v>1</v>
      </c>
    </row>
    <row r="32" spans="1:29" ht="27">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0"/>
      <c r="M32" s="1131"/>
      <c r="N32" s="1131"/>
      <c r="O32" s="1139"/>
      <c r="P32" s="3227"/>
      <c r="Q32" s="1809" t="str">
        <f t="shared" si="8"/>
        <v>毗邻道路的类型与等级</v>
      </c>
      <c r="R32" s="771" t="s">
        <v>17</v>
      </c>
      <c r="S32" s="772">
        <f t="shared" si="10"/>
        <v>100</v>
      </c>
      <c r="T32" s="771" t="s">
        <v>17</v>
      </c>
      <c r="U32" s="772">
        <f t="shared" si="11"/>
        <v>100</v>
      </c>
      <c r="V32" s="771" t="s">
        <v>17</v>
      </c>
      <c r="W32" s="772">
        <f t="shared" si="12"/>
        <v>100</v>
      </c>
      <c r="X32" s="1812"/>
      <c r="Y32" s="3227"/>
      <c r="Z32" s="1813" t="str">
        <f t="shared" si="13"/>
        <v>毗邻道路的类型与等级</v>
      </c>
      <c r="AA32" s="1810">
        <f t="shared" si="3"/>
        <v>1</v>
      </c>
      <c r="AB32" s="1810">
        <f t="shared" si="4"/>
        <v>1</v>
      </c>
      <c r="AC32" s="1810">
        <f t="shared" si="5"/>
        <v>1</v>
      </c>
    </row>
    <row r="33" spans="1:29" ht="15">
      <c r="A33" s="428"/>
      <c r="B33" s="456"/>
      <c r="C33" s="447"/>
      <c r="D33" s="448"/>
      <c r="E33" s="2607"/>
      <c r="F33" s="448"/>
      <c r="G33" s="2607"/>
      <c r="H33" s="448"/>
      <c r="I33" s="447"/>
      <c r="J33" s="448"/>
      <c r="K33" s="613"/>
      <c r="L33" s="1140"/>
      <c r="M33" s="1131"/>
      <c r="N33" s="1131"/>
      <c r="O33" s="1139"/>
      <c r="P33" s="3227"/>
      <c r="Q33" s="1809"/>
      <c r="R33" s="771"/>
      <c r="S33" s="772"/>
      <c r="T33" s="771"/>
      <c r="U33" s="772"/>
      <c r="V33" s="771"/>
      <c r="W33" s="772"/>
      <c r="X33" s="1812"/>
      <c r="Y33" s="3227"/>
      <c r="Z33" s="1813"/>
      <c r="AA33" s="1810">
        <v>1</v>
      </c>
      <c r="AB33" s="1810">
        <v>1</v>
      </c>
      <c r="AC33" s="1810">
        <v>1</v>
      </c>
    </row>
    <row r="34" spans="1:29" ht="15">
      <c r="A34" s="428"/>
      <c r="B34" s="422" t="s">
        <v>2744</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0"/>
      <c r="M34" s="1131"/>
      <c r="N34" s="1131"/>
      <c r="O34" s="1139"/>
      <c r="P34" s="3227"/>
      <c r="Q34" s="1809" t="str">
        <f t="shared" si="8"/>
        <v>土地级别</v>
      </c>
      <c r="R34" s="771" t="s">
        <v>17</v>
      </c>
      <c r="S34" s="772">
        <f t="shared" si="10"/>
        <v>100</v>
      </c>
      <c r="T34" s="771" t="s">
        <v>17</v>
      </c>
      <c r="U34" s="772">
        <f t="shared" si="11"/>
        <v>100</v>
      </c>
      <c r="V34" s="771" t="s">
        <v>17</v>
      </c>
      <c r="W34" s="772">
        <f t="shared" si="12"/>
        <v>100</v>
      </c>
      <c r="X34" s="1812"/>
      <c r="Y34" s="3227"/>
      <c r="Z34" s="1813" t="str">
        <f t="shared" si="13"/>
        <v>土地级别</v>
      </c>
      <c r="AA34" s="1810">
        <f t="shared" si="3"/>
        <v>1</v>
      </c>
      <c r="AB34" s="1810">
        <f t="shared" si="4"/>
        <v>1</v>
      </c>
      <c r="AC34" s="1810">
        <f t="shared" si="5"/>
        <v>1</v>
      </c>
    </row>
    <row r="35" spans="1:29" ht="15">
      <c r="A35" s="404"/>
      <c r="B35" s="1386">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0"/>
      <c r="M35" s="1131"/>
      <c r="N35" s="1131"/>
      <c r="O35" s="1139"/>
      <c r="P35" s="3227"/>
      <c r="Q35" s="1809">
        <f t="shared" si="8"/>
        <v>111</v>
      </c>
      <c r="R35" s="771" t="s">
        <v>17</v>
      </c>
      <c r="S35" s="772">
        <f t="shared" si="10"/>
        <v>100</v>
      </c>
      <c r="T35" s="771" t="s">
        <v>17</v>
      </c>
      <c r="U35" s="772">
        <f t="shared" si="11"/>
        <v>100</v>
      </c>
      <c r="V35" s="771" t="s">
        <v>17</v>
      </c>
      <c r="W35" s="772">
        <f t="shared" si="12"/>
        <v>100</v>
      </c>
      <c r="X35" s="1812"/>
      <c r="Y35" s="3227"/>
      <c r="Z35" s="1813">
        <f t="shared" si="13"/>
        <v>111</v>
      </c>
      <c r="AA35" s="1810">
        <f t="shared" si="3"/>
        <v>1</v>
      </c>
      <c r="AB35" s="1810">
        <f t="shared" si="4"/>
        <v>1</v>
      </c>
      <c r="AC35" s="1810">
        <f t="shared" si="5"/>
        <v>1</v>
      </c>
    </row>
    <row r="36" spans="1:29" ht="15">
      <c r="A36" s="674"/>
      <c r="B36" s="1387">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0"/>
      <c r="M36" s="1131"/>
      <c r="N36" s="1131"/>
      <c r="O36" s="1139"/>
      <c r="P36" s="3251" t="s">
        <v>2560</v>
      </c>
      <c r="Q36" s="1809">
        <f t="shared" si="8"/>
        <v>111</v>
      </c>
      <c r="R36" s="771" t="s">
        <v>17</v>
      </c>
      <c r="S36" s="772">
        <f t="shared" si="10"/>
        <v>100</v>
      </c>
      <c r="T36" s="771" t="s">
        <v>17</v>
      </c>
      <c r="U36" s="772">
        <f t="shared" si="11"/>
        <v>100</v>
      </c>
      <c r="V36" s="771" t="s">
        <v>17</v>
      </c>
      <c r="W36" s="772">
        <f t="shared" si="12"/>
        <v>100</v>
      </c>
      <c r="X36" s="1812"/>
      <c r="Y36" s="3231" t="s">
        <v>2560</v>
      </c>
      <c r="Z36" s="1813">
        <f t="shared" si="13"/>
        <v>111</v>
      </c>
      <c r="AA36" s="1810">
        <f t="shared" si="3"/>
        <v>1</v>
      </c>
      <c r="AB36" s="1810">
        <f t="shared" si="4"/>
        <v>1</v>
      </c>
      <c r="AC36" s="1810">
        <f t="shared" si="5"/>
        <v>1</v>
      </c>
    </row>
    <row r="37" spans="1:29" s="471" customFormat="1" ht="15.75" thickBot="1">
      <c r="A37" s="675"/>
      <c r="B37" s="1388">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8"/>
      <c r="M37" s="1141"/>
      <c r="N37" s="1141"/>
      <c r="O37" s="1142"/>
      <c r="P37" s="3231"/>
      <c r="Q37" s="1809">
        <f t="shared" si="8"/>
        <v>111</v>
      </c>
      <c r="R37" s="774" t="s">
        <v>17</v>
      </c>
      <c r="S37" s="775">
        <f t="shared" si="10"/>
        <v>100</v>
      </c>
      <c r="T37" s="774" t="s">
        <v>17</v>
      </c>
      <c r="U37" s="775">
        <f t="shared" si="11"/>
        <v>100</v>
      </c>
      <c r="V37" s="774" t="s">
        <v>17</v>
      </c>
      <c r="W37" s="775">
        <f t="shared" si="12"/>
        <v>100</v>
      </c>
      <c r="X37" s="776"/>
      <c r="Y37" s="3231"/>
      <c r="Z37" s="777">
        <f t="shared" si="13"/>
        <v>111</v>
      </c>
      <c r="AA37" s="1810">
        <f t="shared" si="3"/>
        <v>1</v>
      </c>
      <c r="AB37" s="1810">
        <f t="shared" si="4"/>
        <v>1</v>
      </c>
      <c r="AC37" s="1810">
        <f t="shared" si="5"/>
        <v>1</v>
      </c>
    </row>
    <row r="38" spans="1:29" ht="15">
      <c r="A38" s="472" t="s">
        <v>2558</v>
      </c>
      <c r="B38" s="456" t="s">
        <v>2745</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0"/>
      <c r="M38" s="1131"/>
      <c r="N38" s="1131"/>
      <c r="O38" s="1139"/>
      <c r="P38" s="3231"/>
      <c r="Q38" s="1809" t="str">
        <f>B38</f>
        <v>宗地面积</v>
      </c>
      <c r="R38" s="771" t="s">
        <v>17</v>
      </c>
      <c r="S38" s="772" t="e">
        <f t="shared" si="10"/>
        <v>#N/A</v>
      </c>
      <c r="T38" s="771" t="s">
        <v>17</v>
      </c>
      <c r="U38" s="772" t="e">
        <f t="shared" si="11"/>
        <v>#N/A</v>
      </c>
      <c r="V38" s="771" t="s">
        <v>17</v>
      </c>
      <c r="W38" s="772" t="e">
        <f t="shared" si="12"/>
        <v>#N/A</v>
      </c>
      <c r="X38" s="1812"/>
      <c r="Y38" s="3231"/>
      <c r="Z38" s="1813" t="str">
        <f t="shared" si="13"/>
        <v>宗地面积</v>
      </c>
      <c r="AA38" s="1810" t="e">
        <f t="shared" si="3"/>
        <v>#N/A</v>
      </c>
      <c r="AB38" s="1810" t="e">
        <f t="shared" si="4"/>
        <v>#N/A</v>
      </c>
      <c r="AC38" s="1810" t="e">
        <f t="shared" si="5"/>
        <v>#N/A</v>
      </c>
    </row>
    <row r="39" spans="1:29" ht="15">
      <c r="A39" s="472"/>
      <c r="B39" s="422" t="s">
        <v>2746</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0"/>
      <c r="M39" s="1131"/>
      <c r="N39" s="1131"/>
      <c r="O39" s="1139"/>
      <c r="P39" s="3231"/>
      <c r="Q39" s="1809" t="str">
        <f t="shared" ref="Q39:Q45" si="14">B39</f>
        <v>宗地形状</v>
      </c>
      <c r="R39" s="771" t="s">
        <v>17</v>
      </c>
      <c r="S39" s="772">
        <f t="shared" si="10"/>
        <v>100</v>
      </c>
      <c r="T39" s="771" t="s">
        <v>17</v>
      </c>
      <c r="U39" s="772">
        <f t="shared" si="11"/>
        <v>100</v>
      </c>
      <c r="V39" s="771" t="s">
        <v>17</v>
      </c>
      <c r="W39" s="772">
        <f t="shared" si="12"/>
        <v>100</v>
      </c>
      <c r="X39" s="1812"/>
      <c r="Y39" s="3231"/>
      <c r="Z39" s="1813" t="str">
        <f t="shared" si="13"/>
        <v>宗地形状</v>
      </c>
      <c r="AA39" s="1810">
        <f t="shared" si="3"/>
        <v>1</v>
      </c>
      <c r="AB39" s="1810">
        <f t="shared" si="4"/>
        <v>1</v>
      </c>
      <c r="AC39" s="1810">
        <f t="shared" si="5"/>
        <v>1</v>
      </c>
    </row>
    <row r="40" spans="1:29" ht="15">
      <c r="A40" s="472"/>
      <c r="B40" s="422" t="s">
        <v>2747</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31"/>
      <c r="Q40" s="1809" t="str">
        <f t="shared" si="14"/>
        <v>临街宽度及深度</v>
      </c>
      <c r="R40" s="771" t="s">
        <v>17</v>
      </c>
      <c r="S40" s="772">
        <f t="shared" si="10"/>
        <v>100</v>
      </c>
      <c r="T40" s="771" t="s">
        <v>17</v>
      </c>
      <c r="U40" s="772">
        <f t="shared" si="11"/>
        <v>100</v>
      </c>
      <c r="V40" s="771" t="s">
        <v>17</v>
      </c>
      <c r="W40" s="772">
        <f t="shared" si="12"/>
        <v>100</v>
      </c>
      <c r="X40" s="1812"/>
      <c r="Y40" s="3231"/>
      <c r="Z40" s="1813" t="str">
        <f t="shared" si="13"/>
        <v>临街宽度及深度</v>
      </c>
      <c r="AA40" s="1810">
        <f t="shared" si="3"/>
        <v>1</v>
      </c>
      <c r="AB40" s="1810">
        <f t="shared" si="4"/>
        <v>1</v>
      </c>
      <c r="AC40" s="1810">
        <f t="shared" si="5"/>
        <v>1</v>
      </c>
    </row>
    <row r="41" spans="1:29" s="117" customFormat="1" ht="15">
      <c r="A41" s="473"/>
      <c r="B41" s="422" t="s">
        <v>2748</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2"/>
      <c r="M41" s="1133"/>
      <c r="N41" s="1133"/>
      <c r="O41" s="1134"/>
      <c r="P41" s="3231"/>
      <c r="Q41" s="1809" t="str">
        <f t="shared" si="14"/>
        <v>宗地开发程度</v>
      </c>
      <c r="R41" s="767" t="s">
        <v>17</v>
      </c>
      <c r="S41" s="768">
        <f t="shared" si="10"/>
        <v>100</v>
      </c>
      <c r="T41" s="767" t="s">
        <v>17</v>
      </c>
      <c r="U41" s="768">
        <f t="shared" si="11"/>
        <v>100</v>
      </c>
      <c r="V41" s="767" t="s">
        <v>17</v>
      </c>
      <c r="W41" s="768">
        <f t="shared" si="12"/>
        <v>100</v>
      </c>
      <c r="X41" s="769"/>
      <c r="Y41" s="3231"/>
      <c r="Z41" s="55" t="str">
        <f t="shared" si="13"/>
        <v>宗地开发程度</v>
      </c>
      <c r="AA41" s="770">
        <f t="shared" si="3"/>
        <v>1</v>
      </c>
      <c r="AB41" s="770">
        <f t="shared" si="4"/>
        <v>1</v>
      </c>
      <c r="AC41" s="770">
        <f t="shared" si="5"/>
        <v>1</v>
      </c>
    </row>
    <row r="42" spans="1:29" ht="15">
      <c r="A42" s="472"/>
      <c r="B42" s="422" t="s">
        <v>2749</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31" t="s">
        <v>2560</v>
      </c>
      <c r="Q42" s="1809" t="str">
        <f t="shared" si="14"/>
        <v>工程地质条件</v>
      </c>
      <c r="R42" s="771" t="s">
        <v>17</v>
      </c>
      <c r="S42" s="772">
        <f t="shared" si="10"/>
        <v>100</v>
      </c>
      <c r="T42" s="771" t="s">
        <v>17</v>
      </c>
      <c r="U42" s="772">
        <f t="shared" si="11"/>
        <v>100</v>
      </c>
      <c r="V42" s="771" t="s">
        <v>17</v>
      </c>
      <c r="W42" s="772">
        <f t="shared" si="12"/>
        <v>100</v>
      </c>
      <c r="X42" s="1812"/>
      <c r="Y42" s="3231" t="s">
        <v>2560</v>
      </c>
      <c r="Z42" s="1813" t="str">
        <f t="shared" si="13"/>
        <v>工程地质条件</v>
      </c>
      <c r="AA42" s="1810">
        <f t="shared" si="3"/>
        <v>1</v>
      </c>
      <c r="AB42" s="1810">
        <f t="shared" si="4"/>
        <v>1</v>
      </c>
      <c r="AC42" s="1810">
        <f t="shared" si="5"/>
        <v>1</v>
      </c>
    </row>
    <row r="43" spans="1:29" ht="15">
      <c r="A43" s="472"/>
      <c r="B43" s="1387">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0"/>
      <c r="M43" s="1131"/>
      <c r="N43" s="1131"/>
      <c r="O43" s="1139"/>
      <c r="P43" s="3231"/>
      <c r="Q43" s="1809">
        <f t="shared" si="14"/>
        <v>111</v>
      </c>
      <c r="R43" s="771" t="s">
        <v>17</v>
      </c>
      <c r="S43" s="772">
        <f t="shared" si="10"/>
        <v>100</v>
      </c>
      <c r="T43" s="771" t="s">
        <v>17</v>
      </c>
      <c r="U43" s="772">
        <f t="shared" si="11"/>
        <v>100</v>
      </c>
      <c r="V43" s="771" t="s">
        <v>17</v>
      </c>
      <c r="W43" s="772">
        <f t="shared" si="12"/>
        <v>100</v>
      </c>
      <c r="X43" s="1812"/>
      <c r="Y43" s="3231"/>
      <c r="Z43" s="1813">
        <f t="shared" si="13"/>
        <v>111</v>
      </c>
      <c r="AA43" s="1810">
        <f t="shared" si="3"/>
        <v>1</v>
      </c>
      <c r="AB43" s="1810">
        <f t="shared" si="4"/>
        <v>1</v>
      </c>
      <c r="AC43" s="1810">
        <f t="shared" si="5"/>
        <v>1</v>
      </c>
    </row>
    <row r="44" spans="1:29" ht="15">
      <c r="A44" s="472"/>
      <c r="B44" s="1387">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0"/>
      <c r="M44" s="1131"/>
      <c r="N44" s="1131"/>
      <c r="O44" s="1139"/>
      <c r="P44" s="3231"/>
      <c r="Q44" s="1809">
        <f t="shared" si="14"/>
        <v>111</v>
      </c>
      <c r="R44" s="771" t="s">
        <v>17</v>
      </c>
      <c r="S44" s="772">
        <f t="shared" si="10"/>
        <v>100</v>
      </c>
      <c r="T44" s="771" t="s">
        <v>17</v>
      </c>
      <c r="U44" s="772">
        <f t="shared" si="11"/>
        <v>100</v>
      </c>
      <c r="V44" s="771" t="s">
        <v>17</v>
      </c>
      <c r="W44" s="772">
        <f t="shared" si="12"/>
        <v>100</v>
      </c>
      <c r="X44" s="1812"/>
      <c r="Y44" s="3231"/>
      <c r="Z44" s="1813">
        <f t="shared" si="13"/>
        <v>111</v>
      </c>
      <c r="AA44" s="1810">
        <f t="shared" si="3"/>
        <v>1</v>
      </c>
      <c r="AB44" s="1810">
        <f t="shared" si="4"/>
        <v>1</v>
      </c>
      <c r="AC44" s="1810">
        <f t="shared" si="5"/>
        <v>1</v>
      </c>
    </row>
    <row r="45" spans="1:29" s="471" customFormat="1" ht="15.75" thickBot="1">
      <c r="A45" s="468"/>
      <c r="B45" s="1387">
        <v>111</v>
      </c>
      <c r="C45" s="2698"/>
      <c r="D45" s="679">
        <v>100</v>
      </c>
      <c r="E45" s="673"/>
      <c r="F45" s="438">
        <f>SUMIF(131:131,E45,132:132)-SUMIF(131:131,C45,132:132)+100</f>
        <v>100</v>
      </c>
      <c r="G45" s="673"/>
      <c r="H45" s="438">
        <f>SUMIF(131:131,G45,132:132)-SUMIF(131:131,C45,132:132)+100</f>
        <v>100</v>
      </c>
      <c r="I45" s="673"/>
      <c r="J45" s="438">
        <f>SUMIF(131:131,I45,132:132)-SUMIF(131:131,C45,132:132)+100</f>
        <v>100</v>
      </c>
      <c r="K45" s="680"/>
      <c r="L45" s="1138"/>
      <c r="M45" s="1141"/>
      <c r="N45" s="1141"/>
      <c r="O45" s="1142"/>
      <c r="P45" s="3231"/>
      <c r="Q45" s="1809">
        <f t="shared" si="14"/>
        <v>111</v>
      </c>
      <c r="R45" s="774" t="s">
        <v>17</v>
      </c>
      <c r="S45" s="775">
        <f t="shared" si="10"/>
        <v>100</v>
      </c>
      <c r="T45" s="774" t="s">
        <v>17</v>
      </c>
      <c r="U45" s="775">
        <f t="shared" si="11"/>
        <v>100</v>
      </c>
      <c r="V45" s="774" t="s">
        <v>17</v>
      </c>
      <c r="W45" s="775">
        <f t="shared" si="12"/>
        <v>100</v>
      </c>
      <c r="X45" s="776"/>
      <c r="Y45" s="3231"/>
      <c r="Z45" s="777">
        <f t="shared" si="13"/>
        <v>111</v>
      </c>
      <c r="AA45" s="1810">
        <f t="shared" si="3"/>
        <v>1</v>
      </c>
      <c r="AB45" s="1810">
        <f t="shared" si="4"/>
        <v>1</v>
      </c>
      <c r="AC45" s="1810">
        <f t="shared" si="5"/>
        <v>1</v>
      </c>
    </row>
    <row r="46" spans="1:29" ht="15">
      <c r="A46" s="479" t="s">
        <v>2714</v>
      </c>
      <c r="B46" s="2699" t="s">
        <v>2750</v>
      </c>
      <c r="C46" s="681" t="s">
        <v>1</v>
      </c>
      <c r="D46" s="481"/>
      <c r="E46" s="482"/>
      <c r="F46" s="483"/>
      <c r="G46" s="484"/>
      <c r="H46" s="485"/>
      <c r="I46" s="482"/>
      <c r="J46" s="485"/>
      <c r="K46" s="780"/>
      <c r="L46" s="1143"/>
      <c r="M46" s="1144"/>
      <c r="N46" s="1131"/>
      <c r="O46" s="1144"/>
      <c r="P46" s="3224" t="str">
        <f>A46</f>
        <v>成交单价</v>
      </c>
      <c r="Q46" s="3224"/>
      <c r="R46" s="3218">
        <f>E46</f>
        <v>0</v>
      </c>
      <c r="S46" s="3218"/>
      <c r="T46" s="3218">
        <f>G46</f>
        <v>0</v>
      </c>
      <c r="U46" s="3218"/>
      <c r="V46" s="3218">
        <f>I46</f>
        <v>0</v>
      </c>
      <c r="W46" s="3218"/>
      <c r="X46" s="756"/>
      <c r="Y46" s="778"/>
      <c r="Z46" s="756"/>
      <c r="AA46" s="756"/>
      <c r="AB46" s="756"/>
      <c r="AC46" s="756"/>
    </row>
    <row r="47" spans="1:29" ht="15.75" thickBot="1">
      <c r="A47" s="486" t="s">
        <v>2663</v>
      </c>
      <c r="B47" s="682"/>
      <c r="C47" s="490" t="e">
        <f>R48</f>
        <v>#DIV/0!</v>
      </c>
      <c r="D47" s="489"/>
      <c r="E47" s="490" t="e">
        <f>R47</f>
        <v>#DIV/0!</v>
      </c>
      <c r="F47" s="491"/>
      <c r="G47" s="488" t="e">
        <f>T47</f>
        <v>#DIV/0!</v>
      </c>
      <c r="H47" s="489"/>
      <c r="I47" s="490" t="e">
        <f>V47</f>
        <v>#DIV/0!</v>
      </c>
      <c r="J47" s="489"/>
      <c r="K47" s="781"/>
      <c r="L47" s="1143"/>
      <c r="M47" s="1144"/>
      <c r="N47" s="1144"/>
      <c r="O47" s="1144"/>
      <c r="P47" s="3224" t="str">
        <f>A47</f>
        <v>比较价值（元/平方米）</v>
      </c>
      <c r="Q47" s="3224"/>
      <c r="R47" s="3252" t="e">
        <f>ROUND(PRODUCT(R46,AA7:AA45),0)</f>
        <v>#DIV/0!</v>
      </c>
      <c r="S47" s="3252"/>
      <c r="T47" s="3252" t="e">
        <f>ROUND(PRODUCT(T46,AB7:AB45),0)</f>
        <v>#DIV/0!</v>
      </c>
      <c r="U47" s="3252"/>
      <c r="V47" s="3252" t="e">
        <f>ROUND(PRODUCT(V46,AC7:AC45),0)</f>
        <v>#DIV/0!</v>
      </c>
      <c r="W47" s="3252"/>
      <c r="X47" s="756"/>
      <c r="Y47" s="756"/>
      <c r="Z47" s="756"/>
      <c r="AA47" s="756"/>
      <c r="AB47" s="756"/>
      <c r="AC47" s="756"/>
    </row>
    <row r="48" spans="1:29" ht="15.75" thickBot="1">
      <c r="A48" s="492" t="s">
        <v>2751</v>
      </c>
      <c r="B48" s="493"/>
      <c r="C48" s="494" t="e">
        <f>R48</f>
        <v>#DIV/0!</v>
      </c>
      <c r="D48" s="494"/>
      <c r="E48" s="494"/>
      <c r="F48" s="494"/>
      <c r="G48" s="494"/>
      <c r="H48" s="494"/>
      <c r="I48" s="494"/>
      <c r="J48" s="494"/>
      <c r="K48" s="782"/>
      <c r="L48" s="1143"/>
      <c r="M48" s="1144"/>
      <c r="N48" s="1144"/>
      <c r="O48" s="1144"/>
      <c r="P48" s="3221" t="str">
        <f>A48</f>
        <v>估价对象XX用房的比较价值（楼面单价，元/平方米）</v>
      </c>
      <c r="Q48" s="3222"/>
      <c r="R48" s="3253" t="e">
        <f>ROUND(AVERAGE(R47:V47),0)</f>
        <v>#DIV/0!</v>
      </c>
      <c r="S48" s="3253"/>
      <c r="T48" s="3253"/>
      <c r="U48" s="3253"/>
      <c r="V48" s="3253"/>
      <c r="W48" s="3253"/>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59"/>
      <c r="D54" s="757"/>
      <c r="E54" s="757"/>
      <c r="F54" s="757"/>
      <c r="G54" s="757"/>
      <c r="H54" s="757"/>
      <c r="I54" s="757"/>
      <c r="J54" s="757"/>
      <c r="K54" s="1148"/>
      <c r="L54" s="1149"/>
      <c r="M54" s="1145"/>
      <c r="N54" s="1145"/>
      <c r="O54" s="1145"/>
    </row>
    <row r="55" spans="1:15" ht="27" customHeight="1">
      <c r="A55" s="683" t="s">
        <v>2752</v>
      </c>
      <c r="B55" s="684" t="s">
        <v>2753</v>
      </c>
      <c r="C55" s="2700" t="s">
        <v>2754</v>
      </c>
      <c r="D55" s="2701" t="s">
        <v>2755</v>
      </c>
      <c r="E55" s="685" t="s">
        <v>2756</v>
      </c>
      <c r="F55" s="1107" t="s">
        <v>2757</v>
      </c>
      <c r="G55" s="3206" t="s">
        <v>2758</v>
      </c>
      <c r="H55" s="3254"/>
      <c r="I55" s="144" t="s">
        <v>2759</v>
      </c>
      <c r="J55" s="2702">
        <f>项目基本情况!F35</f>
        <v>0</v>
      </c>
      <c r="K55" s="2703" t="s">
        <v>2760</v>
      </c>
      <c r="L55" s="1106"/>
      <c r="M55" s="1144"/>
      <c r="N55" s="1144"/>
      <c r="O55" s="1144"/>
    </row>
    <row r="56" spans="1:15" s="691" customFormat="1">
      <c r="A56" s="687" t="s">
        <v>2761</v>
      </c>
      <c r="B56" s="688" t="e">
        <f>C48</f>
        <v>#DIV/0!</v>
      </c>
      <c r="C56" s="689">
        <v>1</v>
      </c>
      <c r="D56" s="1163">
        <v>1</v>
      </c>
      <c r="E56" s="689">
        <f>'数据-汇总表'!E8+'数据-汇总表'!E9</f>
        <v>25398.790000000005</v>
      </c>
      <c r="F56" s="1103" t="e">
        <f t="shared" ref="F56:F65" si="15">ROUND(B56*E56/10000,0)</f>
        <v>#DIV/0!</v>
      </c>
      <c r="G56" s="3205"/>
      <c r="H56" s="3224"/>
      <c r="I56" s="1108">
        <v>1</v>
      </c>
      <c r="J56" s="1111">
        <v>1</v>
      </c>
      <c r="K56" s="1145"/>
      <c r="L56" s="941"/>
      <c r="M56" s="941"/>
      <c r="N56" s="941"/>
      <c r="O56" s="941"/>
    </row>
    <row r="57" spans="1:15" s="691" customFormat="1">
      <c r="A57" s="692" t="s">
        <v>2762</v>
      </c>
      <c r="B57" s="262" t="e">
        <f>ROUND($C$48*C57*D57,0)</f>
        <v>#DIV/0!</v>
      </c>
      <c r="C57" s="200">
        <f t="shared" ref="C57:C65" si="16">IF($C$55="北京市系数",I57,J57)</f>
        <v>0.6</v>
      </c>
      <c r="D57" s="1164">
        <v>0.25</v>
      </c>
      <c r="E57" s="693"/>
      <c r="F57" s="1103" t="e">
        <f t="shared" si="15"/>
        <v>#DIV/0!</v>
      </c>
      <c r="G57" s="3255" t="s">
        <v>2763</v>
      </c>
      <c r="H57" s="1104" t="str">
        <f>项目基本情况!B37</f>
        <v>八级</v>
      </c>
      <c r="I57" s="1108">
        <f>SUMIF(修正!A45:A56,H57,修正!B45:B56)</f>
        <v>0.6</v>
      </c>
      <c r="J57" s="1112"/>
      <c r="K57" s="1144"/>
      <c r="L57" s="941"/>
      <c r="M57" s="941"/>
      <c r="N57" s="941"/>
      <c r="O57" s="941"/>
    </row>
    <row r="58" spans="1:15" s="691" customFormat="1">
      <c r="A58" s="692" t="s">
        <v>2764</v>
      </c>
      <c r="B58" s="262" t="e">
        <f t="shared" ref="B58:B65" si="17">ROUND($C$48*C58*D58,0)</f>
        <v>#DIV/0!</v>
      </c>
      <c r="C58" s="200">
        <f t="shared" si="16"/>
        <v>0.3</v>
      </c>
      <c r="D58" s="1164">
        <v>0.25</v>
      </c>
      <c r="E58" s="693"/>
      <c r="F58" s="1103" t="e">
        <f t="shared" si="15"/>
        <v>#DIV/0!</v>
      </c>
      <c r="G58" s="3255"/>
      <c r="H58" s="1104" t="str">
        <f>项目基本情况!B37</f>
        <v>八级</v>
      </c>
      <c r="I58" s="1108">
        <f>SUMIF(修正!A45:A56,H58,修正!C45:C56)</f>
        <v>0.3</v>
      </c>
      <c r="J58" s="1112"/>
      <c r="K58" s="1145"/>
      <c r="L58" s="941"/>
      <c r="M58" s="941"/>
      <c r="N58" s="941"/>
      <c r="O58" s="941"/>
    </row>
    <row r="59" spans="1:15" s="691" customFormat="1">
      <c r="A59" s="692" t="s">
        <v>2765</v>
      </c>
      <c r="B59" s="262" t="e">
        <f t="shared" si="17"/>
        <v>#DIV/0!</v>
      </c>
      <c r="C59" s="200">
        <f t="shared" si="16"/>
        <v>0.2</v>
      </c>
      <c r="D59" s="1164">
        <v>0.25</v>
      </c>
      <c r="E59" s="693"/>
      <c r="F59" s="1103" t="e">
        <f t="shared" si="15"/>
        <v>#DIV/0!</v>
      </c>
      <c r="G59" s="3255"/>
      <c r="H59" s="1104" t="str">
        <f>项目基本情况!B37</f>
        <v>八级</v>
      </c>
      <c r="I59" s="1108">
        <f>SUMIF(修正!A45:A56,H59,修正!D45:D56)</f>
        <v>0.2</v>
      </c>
      <c r="J59" s="1112"/>
      <c r="K59" s="1144"/>
      <c r="L59" s="941"/>
      <c r="M59" s="941"/>
      <c r="N59" s="941"/>
      <c r="O59" s="941"/>
    </row>
    <row r="60" spans="1:15" s="691" customFormat="1">
      <c r="A60" s="692" t="s">
        <v>2766</v>
      </c>
      <c r="B60" s="262" t="e">
        <f t="shared" si="17"/>
        <v>#DIV/0!</v>
      </c>
      <c r="C60" s="200">
        <f t="shared" si="16"/>
        <v>0.2</v>
      </c>
      <c r="D60" s="1164">
        <v>0.25</v>
      </c>
      <c r="E60" s="693"/>
      <c r="F60" s="1103" t="e">
        <f t="shared" si="15"/>
        <v>#DIV/0!</v>
      </c>
      <c r="G60" s="3255"/>
      <c r="H60" s="1104" t="str">
        <f>项目基本情况!B37</f>
        <v>八级</v>
      </c>
      <c r="I60" s="1108">
        <f>SUMIF(修正!A45:A56,H60,修正!E45:E56)</f>
        <v>0.2</v>
      </c>
      <c r="J60" s="1112"/>
      <c r="K60" s="1145"/>
      <c r="L60" s="941"/>
      <c r="M60" s="941"/>
      <c r="N60" s="941"/>
      <c r="O60" s="941"/>
    </row>
    <row r="61" spans="1:15" s="691" customFormat="1">
      <c r="A61" s="692" t="s">
        <v>2767</v>
      </c>
      <c r="B61" s="262" t="e">
        <f t="shared" si="17"/>
        <v>#DIV/0!</v>
      </c>
      <c r="C61" s="200">
        <f t="shared" si="16"/>
        <v>0.2</v>
      </c>
      <c r="D61" s="1164">
        <v>0.25</v>
      </c>
      <c r="E61" s="261">
        <f>'数据-汇总表'!E11</f>
        <v>0</v>
      </c>
      <c r="F61" s="1103" t="e">
        <f t="shared" si="15"/>
        <v>#DIV/0!</v>
      </c>
      <c r="G61" s="2704" t="s">
        <v>2768</v>
      </c>
      <c r="H61" s="1104" t="str">
        <f>项目基本情况!C37</f>
        <v>八级</v>
      </c>
      <c r="I61" s="1108">
        <f>SUMIF(修正!A45:A56,H61,修正!F45:F56)</f>
        <v>0.2</v>
      </c>
      <c r="J61" s="1112"/>
      <c r="K61" s="1144"/>
      <c r="L61" s="941"/>
      <c r="M61" s="941"/>
      <c r="N61" s="941"/>
      <c r="O61" s="941"/>
    </row>
    <row r="62" spans="1:15" s="691" customFormat="1">
      <c r="A62" s="692" t="s">
        <v>2769</v>
      </c>
      <c r="B62" s="262" t="e">
        <f t="shared" si="17"/>
        <v>#DIV/0!</v>
      </c>
      <c r="C62" s="200">
        <f t="shared" si="16"/>
        <v>0.2</v>
      </c>
      <c r="D62" s="1164">
        <v>0.25</v>
      </c>
      <c r="E62" s="261">
        <f>'数据-汇总表'!E12</f>
        <v>0</v>
      </c>
      <c r="F62" s="1103" t="e">
        <f t="shared" si="15"/>
        <v>#DIV/0!</v>
      </c>
      <c r="G62" s="1109" t="s">
        <v>2770</v>
      </c>
      <c r="H62" s="1104" t="str">
        <f>IF(G62="商业",项目基本情况!B37,IF(G62="办公",项目基本情况!C37,IF(G62="住宅",项目基本情况!D37,项目基本情况!E37)))</f>
        <v>八级</v>
      </c>
      <c r="I62" s="1108">
        <f>SUMIF(修正!A45:A56,H62,修正!G45:G56)</f>
        <v>0.2</v>
      </c>
      <c r="J62" s="1112"/>
      <c r="K62" s="1145"/>
      <c r="L62" s="941"/>
      <c r="M62" s="941"/>
      <c r="N62" s="941"/>
      <c r="O62" s="941"/>
    </row>
    <row r="63" spans="1:15" s="691" customFormat="1">
      <c r="A63" s="692" t="s">
        <v>2771</v>
      </c>
      <c r="B63" s="262" t="e">
        <f t="shared" si="17"/>
        <v>#DIV/0!</v>
      </c>
      <c r="C63" s="200">
        <f t="shared" si="16"/>
        <v>0</v>
      </c>
      <c r="D63" s="1164">
        <v>0.25</v>
      </c>
      <c r="E63" s="261">
        <f>'数据-汇总表'!E13</f>
        <v>0</v>
      </c>
      <c r="F63" s="1103" t="e">
        <f t="shared" si="15"/>
        <v>#DIV/0!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1" customFormat="1">
      <c r="A64" s="692" t="s">
        <v>2773</v>
      </c>
      <c r="B64" s="262" t="e">
        <f t="shared" si="17"/>
        <v>#DIV/0!</v>
      </c>
      <c r="C64" s="200">
        <f t="shared" si="16"/>
        <v>0.15</v>
      </c>
      <c r="D64" s="1164">
        <v>0.25</v>
      </c>
      <c r="E64" s="261">
        <f>'数据-汇总表'!E14</f>
        <v>0</v>
      </c>
      <c r="F64" s="1103" t="e">
        <f t="shared" si="15"/>
        <v>#DIV/0!</v>
      </c>
      <c r="G64" s="2704" t="s">
        <v>2763</v>
      </c>
      <c r="H64" s="1104" t="str">
        <f>项目基本情况!B37</f>
        <v>八级</v>
      </c>
      <c r="I64" s="1108">
        <f>SUMIF(修正!A45:A56,H64,修正!H45:H56)</f>
        <v>0.15</v>
      </c>
      <c r="J64" s="1112"/>
      <c r="K64" s="1145"/>
      <c r="L64" s="941"/>
      <c r="M64" s="941"/>
      <c r="N64" s="941"/>
      <c r="O64" s="941"/>
    </row>
    <row r="65" spans="1:17" s="691" customFormat="1" ht="15" thickBot="1">
      <c r="A65" s="692" t="s">
        <v>2774</v>
      </c>
      <c r="B65" s="262" t="e">
        <f t="shared" si="17"/>
        <v>#DIV/0!</v>
      </c>
      <c r="C65" s="200">
        <f t="shared" si="16"/>
        <v>0.15</v>
      </c>
      <c r="D65" s="1164">
        <v>0.25</v>
      </c>
      <c r="E65" s="261">
        <f>'数据-汇总表'!E15</f>
        <v>0</v>
      </c>
      <c r="F65" s="1103" t="e">
        <f t="shared" si="15"/>
        <v>#DIV/0!</v>
      </c>
      <c r="G65" s="2705" t="s">
        <v>2768</v>
      </c>
      <c r="H65" s="1114" t="str">
        <f>项目基本情况!C37</f>
        <v>八级</v>
      </c>
      <c r="I65" s="1110">
        <f>SUMIF(修正!A45:A56,H65,修正!H45:H56)</f>
        <v>0.15</v>
      </c>
      <c r="J65" s="1113"/>
      <c r="K65" s="1144"/>
      <c r="L65" s="941"/>
      <c r="M65" s="941"/>
      <c r="N65" s="941"/>
      <c r="O65" s="941"/>
    </row>
    <row r="66" spans="1:17" s="691" customFormat="1" ht="13.5" thickBot="1">
      <c r="A66" s="694" t="s">
        <v>2775</v>
      </c>
      <c r="B66" s="695" t="s">
        <v>28</v>
      </c>
      <c r="C66" s="695" t="s">
        <v>29</v>
      </c>
      <c r="D66" s="695" t="s">
        <v>1029</v>
      </c>
      <c r="E66" s="695">
        <f>IF(B46="楼面地价",SUM(E56:E65),'数据-汇总表'!D3)</f>
        <v>25398.790000000005</v>
      </c>
      <c r="F66" s="696"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2018-8-1</v>
      </c>
      <c r="D68" s="758">
        <f>EDATE(C68,-3)</f>
        <v>43221</v>
      </c>
      <c r="E68" s="758">
        <f>EDATE(D68,-3)</f>
        <v>43132</v>
      </c>
      <c r="F68" s="758">
        <f t="shared" ref="F68:O68" si="18">EDATE(E68,-3)</f>
        <v>43040</v>
      </c>
      <c r="G68" s="758">
        <f t="shared" si="18"/>
        <v>42948</v>
      </c>
      <c r="H68" s="758">
        <f t="shared" si="18"/>
        <v>42856</v>
      </c>
      <c r="I68" s="758">
        <f t="shared" si="18"/>
        <v>42767</v>
      </c>
      <c r="J68" s="758">
        <f t="shared" si="18"/>
        <v>42675</v>
      </c>
      <c r="K68" s="758">
        <f t="shared" si="18"/>
        <v>42583</v>
      </c>
      <c r="L68" s="758">
        <f t="shared" si="18"/>
        <v>42491</v>
      </c>
      <c r="M68" s="758">
        <f t="shared" si="18"/>
        <v>42401</v>
      </c>
      <c r="N68" s="758">
        <f t="shared" si="18"/>
        <v>42309</v>
      </c>
      <c r="O68" s="758">
        <f t="shared" si="18"/>
        <v>42217</v>
      </c>
    </row>
    <row r="69" spans="1:17" ht="21.75" thickBot="1">
      <c r="A69" s="760" t="s">
        <v>2668</v>
      </c>
      <c r="B69" s="756"/>
      <c r="C69" s="761"/>
      <c r="D69" s="761"/>
      <c r="E69" s="761"/>
      <c r="F69" s="762"/>
      <c r="G69" s="762"/>
      <c r="H69" s="761"/>
      <c r="I69" s="761"/>
      <c r="J69" s="1159"/>
      <c r="K69" s="1160"/>
      <c r="L69" s="1161"/>
      <c r="M69" s="1159"/>
      <c r="N69" s="1159"/>
      <c r="O69" s="1159"/>
      <c r="P69" s="503"/>
      <c r="Q69" s="504"/>
    </row>
    <row r="70" spans="1:17" s="508" customFormat="1" ht="15">
      <c r="A70" s="2706" t="s">
        <v>2776</v>
      </c>
      <c r="B70" s="1359"/>
      <c r="C70" s="1572" t="str">
        <f>YEAR(C68)&amp;"-"&amp;ROUNDUP(MONTH(C68)/3,0)</f>
        <v>2018-3</v>
      </c>
      <c r="D70" s="1572" t="str">
        <f>YEAR(D68)&amp;"-"&amp;ROUNDUP(MONTH(D68)/3,0)</f>
        <v>2018-2</v>
      </c>
      <c r="E70" s="1572" t="str">
        <f t="shared" ref="E70:O70" si="19">YEAR(E68)&amp;"-"&amp;ROUNDUP(MONTH(E68)/3,0)</f>
        <v>2018-1</v>
      </c>
      <c r="F70" s="1572" t="str">
        <f t="shared" si="19"/>
        <v>2017-4</v>
      </c>
      <c r="G70" s="1572" t="str">
        <f t="shared" si="19"/>
        <v>2017-3</v>
      </c>
      <c r="H70" s="1572" t="str">
        <f t="shared" si="19"/>
        <v>2017-2</v>
      </c>
      <c r="I70" s="1572" t="str">
        <f t="shared" si="19"/>
        <v>2017-1</v>
      </c>
      <c r="J70" s="1572" t="str">
        <f t="shared" si="19"/>
        <v>2016-4</v>
      </c>
      <c r="K70" s="1572" t="str">
        <f t="shared" si="19"/>
        <v>2016-3</v>
      </c>
      <c r="L70" s="1572" t="str">
        <f t="shared" si="19"/>
        <v>2016-2</v>
      </c>
      <c r="M70" s="1572" t="str">
        <f t="shared" si="19"/>
        <v>2016-1</v>
      </c>
      <c r="N70" s="1572" t="str">
        <f t="shared" si="19"/>
        <v>2015-4</v>
      </c>
      <c r="O70" s="1572" t="str">
        <f t="shared" si="19"/>
        <v>2015-3</v>
      </c>
      <c r="P70" s="507"/>
    </row>
    <row r="71" spans="1:17" s="117" customFormat="1" ht="30" customHeight="1">
      <c r="A71" s="2707" t="s">
        <v>2777</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8">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2778</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2691</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2779</v>
      </c>
      <c r="C96" s="578" t="s">
        <v>2592</v>
      </c>
      <c r="D96" s="578" t="s">
        <v>2593</v>
      </c>
      <c r="E96" s="578" t="s">
        <v>2594</v>
      </c>
      <c r="F96" s="578" t="s">
        <v>2595</v>
      </c>
      <c r="G96" s="578" t="s">
        <v>2596</v>
      </c>
      <c r="H96" s="578"/>
      <c r="I96" s="578"/>
      <c r="J96" s="578"/>
      <c r="K96" s="578"/>
      <c r="L96" s="697"/>
      <c r="M96" s="621"/>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2780</v>
      </c>
      <c r="C98" s="573" t="s">
        <v>2592</v>
      </c>
      <c r="D98" s="573" t="s">
        <v>2593</v>
      </c>
      <c r="E98" s="573" t="s">
        <v>2594</v>
      </c>
      <c r="F98" s="573" t="s">
        <v>2595</v>
      </c>
      <c r="G98" s="573" t="s">
        <v>2596</v>
      </c>
      <c r="H98" s="578"/>
      <c r="I98" s="578"/>
      <c r="J98" s="578"/>
      <c r="K98" s="578"/>
      <c r="L98" s="578"/>
      <c r="M98" s="621"/>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59" t="s">
        <v>2669</v>
      </c>
      <c r="D102" s="659" t="s">
        <v>2670</v>
      </c>
      <c r="E102" s="659" t="s">
        <v>2671</v>
      </c>
      <c r="F102" s="659" t="s">
        <v>2672</v>
      </c>
      <c r="G102" s="659" t="s">
        <v>2673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4"/>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6"/>
      <c r="E115" s="676"/>
      <c r="F115" s="676"/>
      <c r="G115" s="676"/>
      <c r="H115" s="676"/>
      <c r="I115" s="676"/>
      <c r="J115" s="676"/>
      <c r="K115" s="676"/>
      <c r="L115" s="676"/>
      <c r="M115" s="698"/>
      <c r="N115" s="1153"/>
      <c r="O115" s="1153"/>
      <c r="P115" s="558"/>
      <c r="Q115" s="559"/>
    </row>
    <row r="116" spans="1:17">
      <c r="A116" s="527" t="s">
        <v>2558</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2786</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9"/>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7" sqref="L7"/>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2322</v>
      </c>
      <c r="B2" s="670"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2324</v>
      </c>
      <c r="B3" s="609" t="e">
        <f>ROUND(IF(D3="",B2*10000/'数据-汇总表'!E3,B2*10000/D3),0)</f>
        <v>#DIV/0!</v>
      </c>
      <c r="C3" s="247" t="s">
        <v>2740</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2640</v>
      </c>
      <c r="B4" s="402"/>
      <c r="C4" s="3206" t="s">
        <v>2641</v>
      </c>
      <c r="D4" s="3207"/>
      <c r="E4" s="3208" t="s">
        <v>2642</v>
      </c>
      <c r="F4" s="3209"/>
      <c r="G4" s="3206" t="s">
        <v>2643</v>
      </c>
      <c r="H4" s="3207"/>
      <c r="I4" s="3206" t="s">
        <v>2644</v>
      </c>
      <c r="J4" s="3207"/>
      <c r="K4" s="610" t="s">
        <v>2645</v>
      </c>
      <c r="L4" s="1130"/>
      <c r="M4" s="1131"/>
      <c r="N4" s="1131"/>
      <c r="O4" s="1131"/>
      <c r="P4" s="3210" t="s">
        <v>2646</v>
      </c>
      <c r="Q4" s="3211"/>
      <c r="R4" s="3193" t="s">
        <v>2642</v>
      </c>
      <c r="S4" s="3194"/>
      <c r="T4" s="3193" t="s">
        <v>2643</v>
      </c>
      <c r="U4" s="3194"/>
      <c r="V4" s="3218" t="s">
        <v>2644</v>
      </c>
      <c r="W4" s="3218"/>
      <c r="X4" s="1812"/>
      <c r="Y4" s="3193" t="s">
        <v>2646</v>
      </c>
      <c r="Z4" s="3194"/>
      <c r="AA4" s="3188" t="s">
        <v>2642</v>
      </c>
      <c r="AB4" s="3189" t="s">
        <v>2643</v>
      </c>
      <c r="AC4" s="3188" t="s">
        <v>2644</v>
      </c>
    </row>
    <row r="5" spans="1:29" ht="15">
      <c r="A5" s="404"/>
      <c r="B5" s="405"/>
      <c r="C5" s="3219" t="s">
        <v>2537</v>
      </c>
      <c r="D5" s="3200"/>
      <c r="E5" s="3238" t="s">
        <v>2538</v>
      </c>
      <c r="F5" s="3198"/>
      <c r="G5" s="3219" t="s">
        <v>2539</v>
      </c>
      <c r="H5" s="3200"/>
      <c r="I5" s="3219" t="s">
        <v>2540</v>
      </c>
      <c r="J5" s="3200"/>
      <c r="K5" s="610"/>
      <c r="L5" s="1130"/>
      <c r="M5" s="1131"/>
      <c r="N5" s="1131"/>
      <c r="O5" s="1131"/>
      <c r="P5" s="3212"/>
      <c r="Q5" s="3213"/>
      <c r="R5" s="3195"/>
      <c r="S5" s="3196"/>
      <c r="T5" s="3195"/>
      <c r="U5" s="3196"/>
      <c r="V5" s="3218"/>
      <c r="W5" s="3218"/>
      <c r="X5" s="1812"/>
      <c r="Y5" s="3195"/>
      <c r="Z5" s="3196"/>
      <c r="AA5" s="3189"/>
      <c r="AB5" s="3189"/>
      <c r="AC5" s="3189"/>
    </row>
    <row r="6" spans="1:29" ht="15.75" thickBot="1">
      <c r="A6" s="406"/>
      <c r="B6" s="407"/>
      <c r="C6" s="3256" t="s">
        <v>2791</v>
      </c>
      <c r="D6" s="3257"/>
      <c r="E6" s="3258" t="s">
        <v>2791</v>
      </c>
      <c r="F6" s="3259"/>
      <c r="G6" s="3256" t="s">
        <v>2791</v>
      </c>
      <c r="H6" s="3257"/>
      <c r="I6" s="3256" t="s">
        <v>2791</v>
      </c>
      <c r="J6" s="3257"/>
      <c r="K6" s="610" t="s">
        <v>2542</v>
      </c>
      <c r="L6" s="1130"/>
      <c r="M6" s="1131"/>
      <c r="N6" s="1131"/>
      <c r="O6" s="1131"/>
      <c r="P6" s="3214"/>
      <c r="Q6" s="3215"/>
      <c r="R6" s="3195"/>
      <c r="S6" s="3196"/>
      <c r="T6" s="3216"/>
      <c r="U6" s="3217"/>
      <c r="V6" s="3218"/>
      <c r="W6" s="3218"/>
      <c r="X6" s="1812"/>
      <c r="Y6" s="3216"/>
      <c r="Z6" s="3217"/>
      <c r="AA6" s="3190"/>
      <c r="AB6" s="3190"/>
      <c r="AC6" s="3190"/>
    </row>
    <row r="7" spans="1:29" s="117" customFormat="1" ht="15.75" thickBot="1">
      <c r="A7" s="408" t="s">
        <v>2543</v>
      </c>
      <c r="B7" s="409"/>
      <c r="C7" s="410">
        <f>'数据-取费表'!B2</f>
        <v>43335</v>
      </c>
      <c r="D7" s="411">
        <v>100</v>
      </c>
      <c r="E7" s="412"/>
      <c r="F7" s="413">
        <f>SUMIF(65:65,YEAR(E7)&amp;"-"&amp;INT((MONTH(E7)+2)/3),66:66)</f>
        <v>0</v>
      </c>
      <c r="G7" s="2691"/>
      <c r="H7" s="411">
        <f>SUMIF(65:65,YEAR(G7)&amp;"-"&amp;INT((MONTH(G7)+2)/3),66:66)</f>
        <v>0</v>
      </c>
      <c r="I7" s="2691"/>
      <c r="J7" s="411">
        <f>SUMIF(65:65,YEAR(I7)&amp;"-"&amp;INT((MONTH(I7)+2)/3),66:66)</f>
        <v>0</v>
      </c>
      <c r="K7" s="611"/>
      <c r="L7" s="1132"/>
      <c r="M7" s="1133"/>
      <c r="N7" s="1133"/>
      <c r="O7" s="1133"/>
      <c r="P7" s="3191" t="s">
        <v>2544</v>
      </c>
      <c r="Q7" s="3220"/>
      <c r="R7" s="767" t="s">
        <v>17</v>
      </c>
      <c r="S7" s="768">
        <f t="shared" ref="S7:S15" si="0">F7</f>
        <v>0</v>
      </c>
      <c r="T7" s="767" t="s">
        <v>17</v>
      </c>
      <c r="U7" s="768">
        <f t="shared" ref="U7:U15" si="1">H7</f>
        <v>0</v>
      </c>
      <c r="V7" s="767" t="s">
        <v>17</v>
      </c>
      <c r="W7" s="768">
        <f t="shared" ref="W7:W15" si="2">J7</f>
        <v>0</v>
      </c>
      <c r="X7" s="769"/>
      <c r="Y7" s="3191" t="s">
        <v>2544</v>
      </c>
      <c r="Z7" s="3192"/>
      <c r="AA7" s="770" t="e">
        <f>D7/F7</f>
        <v>#DIV/0!</v>
      </c>
      <c r="AB7" s="770" t="e">
        <f>D7/H7</f>
        <v>#DIV/0!</v>
      </c>
      <c r="AC7" s="770"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1" t="s">
        <v>2547</v>
      </c>
      <c r="Q8" s="3192"/>
      <c r="R8" s="767" t="s">
        <v>17</v>
      </c>
      <c r="S8" s="768">
        <f t="shared" si="0"/>
        <v>0</v>
      </c>
      <c r="T8" s="767" t="s">
        <v>17</v>
      </c>
      <c r="U8" s="768">
        <f t="shared" si="1"/>
        <v>0</v>
      </c>
      <c r="V8" s="767" t="s">
        <v>17</v>
      </c>
      <c r="W8" s="768">
        <f t="shared" si="2"/>
        <v>0</v>
      </c>
      <c r="X8" s="769"/>
      <c r="Y8" s="3191" t="s">
        <v>2547</v>
      </c>
      <c r="Z8" s="3192"/>
      <c r="AA8" s="770" t="e">
        <f t="shared" ref="AA8:AA40" si="3">D8/F8</f>
        <v>#DIV/0!</v>
      </c>
      <c r="AB8" s="770" t="e">
        <f t="shared" ref="AB8:AB40" si="4">D8/H8</f>
        <v>#DIV/0!</v>
      </c>
      <c r="AC8" s="770" t="e">
        <f t="shared" ref="AC8:AC40" si="5">D8/J8</f>
        <v>#DIV/0!</v>
      </c>
    </row>
    <row r="9" spans="1:29" s="117" customFormat="1">
      <c r="A9" s="415" t="s">
        <v>2548</v>
      </c>
      <c r="B9" s="71" t="s">
        <v>2549</v>
      </c>
      <c r="C9" s="2694"/>
      <c r="D9" s="135">
        <v>100</v>
      </c>
      <c r="E9" s="2694"/>
      <c r="F9" s="135">
        <f>SUMIF(70:70,E9,71:71)-SUMIF(70:70,C9,71:71)+100</f>
        <v>100</v>
      </c>
      <c r="G9" s="2694"/>
      <c r="H9" s="135">
        <f>SUMIF(70:70,G9,71:71)-SUMIF(70:70,C9,71:71)+100</f>
        <v>100</v>
      </c>
      <c r="I9" s="2694"/>
      <c r="J9" s="135">
        <f>SUMIF(70:70,I9,71:71)-SUMIF(70:70,C9,71:71)+100</f>
        <v>100</v>
      </c>
      <c r="K9" s="611"/>
      <c r="L9" s="1132"/>
      <c r="M9" s="1133"/>
      <c r="N9" s="1133"/>
      <c r="O9" s="1134"/>
      <c r="P9" s="3224" t="s">
        <v>2550</v>
      </c>
      <c r="Q9" s="1794" t="str">
        <f t="shared" ref="Q9:Q15" si="6">B9</f>
        <v>用途</v>
      </c>
      <c r="R9" s="767" t="s">
        <v>17</v>
      </c>
      <c r="S9" s="768">
        <f t="shared" si="0"/>
        <v>100</v>
      </c>
      <c r="T9" s="767" t="s">
        <v>17</v>
      </c>
      <c r="U9" s="768">
        <f t="shared" si="1"/>
        <v>100</v>
      </c>
      <c r="V9" s="767" t="s">
        <v>17</v>
      </c>
      <c r="W9" s="768">
        <f t="shared" si="2"/>
        <v>100</v>
      </c>
      <c r="X9" s="769"/>
      <c r="Y9" s="3038" t="s">
        <v>2551</v>
      </c>
      <c r="Z9" s="55" t="str">
        <f t="shared" ref="Z9:Z15" si="7">Q9</f>
        <v>用途</v>
      </c>
      <c r="AA9" s="770">
        <f t="shared" si="3"/>
        <v>1</v>
      </c>
      <c r="AB9" s="770">
        <f t="shared" si="4"/>
        <v>1</v>
      </c>
      <c r="AC9" s="770">
        <f t="shared" si="5"/>
        <v>1</v>
      </c>
    </row>
    <row r="10" spans="1:29" s="427" customFormat="1" ht="27">
      <c r="A10" s="421"/>
      <c r="B10" s="422" t="s">
        <v>2552</v>
      </c>
      <c r="C10" s="432"/>
      <c r="D10" s="136">
        <v>100</v>
      </c>
      <c r="E10" s="432"/>
      <c r="F10" s="136">
        <f>ROUND(100/'数据-取费表'!G16,0)</f>
        <v>105</v>
      </c>
      <c r="G10" s="432"/>
      <c r="H10" s="136">
        <f>ROUND(100/'数据-取费表'!G16,0)</f>
        <v>105</v>
      </c>
      <c r="I10" s="432"/>
      <c r="J10" s="136">
        <f>ROUND(100/'数据-取费表'!G16,0)</f>
        <v>105</v>
      </c>
      <c r="K10" s="671"/>
      <c r="L10" s="1135"/>
      <c r="M10" s="1136"/>
      <c r="N10" s="1136"/>
      <c r="O10" s="1137"/>
      <c r="P10" s="3224"/>
      <c r="Q10" s="1794" t="str">
        <f t="shared" si="6"/>
        <v>土地使用年限（年）</v>
      </c>
      <c r="R10" s="767" t="s">
        <v>17</v>
      </c>
      <c r="S10" s="768">
        <f t="shared" si="0"/>
        <v>105</v>
      </c>
      <c r="T10" s="767" t="s">
        <v>17</v>
      </c>
      <c r="U10" s="768">
        <f t="shared" si="1"/>
        <v>105</v>
      </c>
      <c r="V10" s="767" t="s">
        <v>17</v>
      </c>
      <c r="W10" s="768">
        <f t="shared" si="2"/>
        <v>105</v>
      </c>
      <c r="X10" s="769"/>
      <c r="Y10" s="3038"/>
      <c r="Z10" s="55" t="str">
        <f t="shared" si="7"/>
        <v>土地使用年限（年）</v>
      </c>
      <c r="AA10" s="770">
        <f t="shared" si="3"/>
        <v>0.95238095238095233</v>
      </c>
      <c r="AB10" s="770">
        <f t="shared" si="4"/>
        <v>0.95238095238095233</v>
      </c>
      <c r="AC10" s="770">
        <f t="shared" si="5"/>
        <v>0.95238095238095233</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8"/>
      <c r="M11" s="1131"/>
      <c r="N11" s="1131"/>
      <c r="O11" s="1139"/>
      <c r="P11" s="3224"/>
      <c r="Q11" s="1794" t="str">
        <f t="shared" si="6"/>
        <v>容积率</v>
      </c>
      <c r="R11" s="767" t="s">
        <v>17</v>
      </c>
      <c r="S11" s="768" t="e">
        <f t="shared" si="0"/>
        <v>#N/A</v>
      </c>
      <c r="T11" s="767" t="s">
        <v>17</v>
      </c>
      <c r="U11" s="768" t="e">
        <f t="shared" si="1"/>
        <v>#N/A</v>
      </c>
      <c r="V11" s="767" t="s">
        <v>17</v>
      </c>
      <c r="W11" s="768" t="e">
        <f t="shared" si="2"/>
        <v>#N/A</v>
      </c>
      <c r="X11" s="769"/>
      <c r="Y11" s="3038"/>
      <c r="Z11" s="55" t="str">
        <f t="shared" si="7"/>
        <v>容积率</v>
      </c>
      <c r="AA11" s="770" t="e">
        <f t="shared" si="3"/>
        <v>#N/A</v>
      </c>
      <c r="AB11" s="770" t="e">
        <f t="shared" si="4"/>
        <v>#N/A</v>
      </c>
      <c r="AC11" s="770" t="e">
        <f t="shared" si="5"/>
        <v>#N/A</v>
      </c>
    </row>
    <row r="12" spans="1:29" s="117" customFormat="1" ht="15">
      <c r="A12" s="431"/>
      <c r="B12" s="2596">
        <v>111</v>
      </c>
      <c r="C12" s="432"/>
      <c r="D12" s="433">
        <v>100</v>
      </c>
      <c r="E12" s="549"/>
      <c r="F12" s="136">
        <f>SUMIF(77:77,E12,78:78)-SUMIF(77:77,C12,78:78)+100</f>
        <v>100</v>
      </c>
      <c r="G12" s="673"/>
      <c r="H12" s="136">
        <f>SUMIF(77:77,G12,78:78)-SUMIF(77:77,C12,78:78)+100</f>
        <v>100</v>
      </c>
      <c r="I12" s="549"/>
      <c r="J12" s="136">
        <f>SUMIF(77:77,I12,78:78)-SUMIF(77:77,C12,78:78)+100</f>
        <v>100</v>
      </c>
      <c r="K12" s="671"/>
      <c r="L12" s="1132"/>
      <c r="M12" s="1133"/>
      <c r="N12" s="1133"/>
      <c r="O12" s="1134"/>
      <c r="P12" s="3224"/>
      <c r="Q12" s="1794">
        <f t="shared" si="6"/>
        <v>111</v>
      </c>
      <c r="R12" s="767" t="s">
        <v>17</v>
      </c>
      <c r="S12" s="768">
        <f t="shared" si="0"/>
        <v>100</v>
      </c>
      <c r="T12" s="767" t="s">
        <v>17</v>
      </c>
      <c r="U12" s="768">
        <f t="shared" si="1"/>
        <v>100</v>
      </c>
      <c r="V12" s="767" t="s">
        <v>17</v>
      </c>
      <c r="W12" s="768">
        <f t="shared" si="2"/>
        <v>100</v>
      </c>
      <c r="X12" s="769"/>
      <c r="Y12" s="3038"/>
      <c r="Z12" s="55">
        <f t="shared" si="7"/>
        <v>111</v>
      </c>
      <c r="AA12" s="770">
        <f>D12/F12</f>
        <v>1</v>
      </c>
      <c r="AB12" s="770">
        <f>D12/H12</f>
        <v>1</v>
      </c>
      <c r="AC12" s="770">
        <f>D12/J12</f>
        <v>1</v>
      </c>
    </row>
    <row r="13" spans="1:29" ht="15">
      <c r="A13" s="428"/>
      <c r="B13" s="2596">
        <v>111</v>
      </c>
      <c r="C13" s="434"/>
      <c r="D13" s="435">
        <v>100</v>
      </c>
      <c r="E13" s="549"/>
      <c r="F13" s="136">
        <f>SUMIF(79:79,E13,80:80)-SUMIF(79:79,C13,80:80)+100</f>
        <v>100</v>
      </c>
      <c r="G13" s="673"/>
      <c r="H13" s="435">
        <f>SUMIF(79:79,G13,80:80)-SUMIF(79:79,C13,80:80)+100</f>
        <v>100</v>
      </c>
      <c r="I13" s="549"/>
      <c r="J13" s="435">
        <f>SUMIF(79:79,I13,80:80)-SUMIF(79:79,C13,80:80)+100</f>
        <v>100</v>
      </c>
      <c r="K13" s="671"/>
      <c r="L13" s="1140"/>
      <c r="M13" s="1131"/>
      <c r="N13" s="1131"/>
      <c r="O13" s="1139"/>
      <c r="P13" s="3224"/>
      <c r="Q13" s="1794">
        <f t="shared" si="6"/>
        <v>111</v>
      </c>
      <c r="R13" s="767" t="s">
        <v>17</v>
      </c>
      <c r="S13" s="768">
        <f t="shared" si="0"/>
        <v>100</v>
      </c>
      <c r="T13" s="767" t="s">
        <v>17</v>
      </c>
      <c r="U13" s="768">
        <f t="shared" si="1"/>
        <v>100</v>
      </c>
      <c r="V13" s="767" t="s">
        <v>17</v>
      </c>
      <c r="W13" s="768">
        <f t="shared" si="2"/>
        <v>100</v>
      </c>
      <c r="X13" s="769"/>
      <c r="Y13" s="3038"/>
      <c r="Z13" s="55">
        <f t="shared" si="7"/>
        <v>111</v>
      </c>
      <c r="AA13" s="770">
        <f t="shared" si="3"/>
        <v>1</v>
      </c>
      <c r="AB13" s="770">
        <f t="shared" si="4"/>
        <v>1</v>
      </c>
      <c r="AC13" s="770">
        <f t="shared" si="5"/>
        <v>1</v>
      </c>
    </row>
    <row r="14" spans="1:29" ht="15.75" thickBot="1">
      <c r="A14" s="436"/>
      <c r="B14" s="2598">
        <v>111</v>
      </c>
      <c r="C14" s="437"/>
      <c r="D14" s="438">
        <v>100</v>
      </c>
      <c r="E14" s="549"/>
      <c r="F14" s="438">
        <f>SUMIF(81:81,E14,82:82)-SUMIF(81:81,C14,82:82)+100</f>
        <v>100</v>
      </c>
      <c r="G14" s="673"/>
      <c r="H14" s="438">
        <f>SUMIF(81:81,G14,82:82)-SUMIF(81:81,C14,82:82)+100</f>
        <v>100</v>
      </c>
      <c r="I14" s="549"/>
      <c r="J14" s="438">
        <f>SUMIF(81:81,I14,82:82)-SUMIF(81:81,C14,82:82)+100</f>
        <v>100</v>
      </c>
      <c r="K14" s="671"/>
      <c r="L14" s="1140"/>
      <c r="M14" s="1131"/>
      <c r="N14" s="1131"/>
      <c r="O14" s="1139"/>
      <c r="P14" s="3224"/>
      <c r="Q14" s="1794">
        <f t="shared" si="6"/>
        <v>111</v>
      </c>
      <c r="R14" s="767" t="s">
        <v>17</v>
      </c>
      <c r="S14" s="768">
        <f t="shared" si="0"/>
        <v>100</v>
      </c>
      <c r="T14" s="767" t="s">
        <v>17</v>
      </c>
      <c r="U14" s="768">
        <f t="shared" si="1"/>
        <v>100</v>
      </c>
      <c r="V14" s="767" t="s">
        <v>17</v>
      </c>
      <c r="W14" s="768">
        <f t="shared" si="2"/>
        <v>100</v>
      </c>
      <c r="X14" s="769"/>
      <c r="Y14" s="3038"/>
      <c r="Z14" s="55">
        <f t="shared" si="7"/>
        <v>111</v>
      </c>
      <c r="AA14" s="770">
        <f t="shared" si="3"/>
        <v>1</v>
      </c>
      <c r="AB14" s="770">
        <f t="shared" si="4"/>
        <v>1</v>
      </c>
      <c r="AC14" s="770">
        <f t="shared" si="5"/>
        <v>1</v>
      </c>
    </row>
    <row r="15" spans="1:29" ht="57">
      <c r="A15" s="440" t="s">
        <v>2554</v>
      </c>
      <c r="B15" s="628" t="s">
        <v>2792</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0"/>
      <c r="M15" s="1131"/>
      <c r="N15" s="1131"/>
      <c r="O15" s="1139"/>
      <c r="P15" s="3226" t="s">
        <v>2555</v>
      </c>
      <c r="Q15" s="1809" t="str">
        <f t="shared" si="6"/>
        <v>产业集聚程度</v>
      </c>
      <c r="R15" s="771" t="s">
        <v>17</v>
      </c>
      <c r="S15" s="772">
        <f t="shared" si="0"/>
        <v>100</v>
      </c>
      <c r="T15" s="771" t="s">
        <v>17</v>
      </c>
      <c r="U15" s="772">
        <f t="shared" si="1"/>
        <v>100</v>
      </c>
      <c r="V15" s="771" t="s">
        <v>17</v>
      </c>
      <c r="W15" s="772">
        <f t="shared" si="2"/>
        <v>100</v>
      </c>
      <c r="X15" s="1812"/>
      <c r="Y15" s="3226" t="s">
        <v>2555</v>
      </c>
      <c r="Z15" s="1813" t="str">
        <f t="shared" si="7"/>
        <v>产业集聚程度</v>
      </c>
      <c r="AA15" s="1810">
        <f t="shared" si="3"/>
        <v>1</v>
      </c>
      <c r="AB15" s="1810">
        <f t="shared" si="4"/>
        <v>1</v>
      </c>
      <c r="AC15" s="1810">
        <f t="shared" si="5"/>
        <v>1</v>
      </c>
    </row>
    <row r="16" spans="1:29" ht="15">
      <c r="A16" s="428"/>
      <c r="B16" s="629"/>
      <c r="C16" s="447"/>
      <c r="D16" s="448"/>
      <c r="E16" s="2607"/>
      <c r="F16" s="448"/>
      <c r="G16" s="2607"/>
      <c r="H16" s="450"/>
      <c r="I16" s="2607"/>
      <c r="J16" s="448"/>
      <c r="K16" s="671"/>
      <c r="L16" s="1140"/>
      <c r="M16" s="1131"/>
      <c r="N16" s="1131"/>
      <c r="O16" s="1139"/>
      <c r="P16" s="3227"/>
      <c r="Q16" s="1809"/>
      <c r="R16" s="771"/>
      <c r="S16" s="772"/>
      <c r="T16" s="771"/>
      <c r="U16" s="772"/>
      <c r="V16" s="771"/>
      <c r="W16" s="772"/>
      <c r="X16" s="1812"/>
      <c r="Y16" s="3227"/>
      <c r="Z16" s="1813"/>
      <c r="AA16" s="1810">
        <v>1</v>
      </c>
      <c r="AB16" s="1810">
        <v>1</v>
      </c>
      <c r="AC16" s="1810">
        <v>1</v>
      </c>
    </row>
    <row r="17" spans="1:29" ht="85.5">
      <c r="A17" s="428"/>
      <c r="B17" s="630" t="s">
        <v>2703</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0"/>
      <c r="M17" s="1131"/>
      <c r="N17" s="1131"/>
      <c r="O17" s="1139"/>
      <c r="P17" s="3227"/>
      <c r="Q17" s="1809" t="str">
        <f>B17</f>
        <v>交通便捷度</v>
      </c>
      <c r="R17" s="771" t="s">
        <v>17</v>
      </c>
      <c r="S17" s="772">
        <f>F17</f>
        <v>100</v>
      </c>
      <c r="T17" s="771" t="s">
        <v>17</v>
      </c>
      <c r="U17" s="772">
        <f>H17</f>
        <v>100</v>
      </c>
      <c r="V17" s="771" t="s">
        <v>17</v>
      </c>
      <c r="W17" s="772">
        <f>J17</f>
        <v>100</v>
      </c>
      <c r="X17" s="1812"/>
      <c r="Y17" s="3227"/>
      <c r="Z17" s="1813" t="str">
        <f>Q17</f>
        <v>交通便捷度</v>
      </c>
      <c r="AA17" s="1810">
        <f t="shared" si="3"/>
        <v>1</v>
      </c>
      <c r="AB17" s="1810">
        <f t="shared" si="4"/>
        <v>1</v>
      </c>
      <c r="AC17" s="1810">
        <f t="shared" si="5"/>
        <v>1</v>
      </c>
    </row>
    <row r="18" spans="1:29" ht="15">
      <c r="A18" s="428"/>
      <c r="B18" s="631"/>
      <c r="C18" s="447"/>
      <c r="D18" s="448"/>
      <c r="E18" s="2601"/>
      <c r="F18" s="448"/>
      <c r="G18" s="2601"/>
      <c r="H18" s="448"/>
      <c r="I18" s="2600"/>
      <c r="J18" s="448"/>
      <c r="K18" s="671"/>
      <c r="L18" s="1140"/>
      <c r="M18" s="1131"/>
      <c r="N18" s="1131"/>
      <c r="O18" s="1139"/>
      <c r="P18" s="3227"/>
      <c r="Q18" s="1809"/>
      <c r="R18" s="771"/>
      <c r="S18" s="772"/>
      <c r="T18" s="771"/>
      <c r="U18" s="772"/>
      <c r="V18" s="771"/>
      <c r="W18" s="772"/>
      <c r="X18" s="1812"/>
      <c r="Y18" s="3227"/>
      <c r="Z18" s="1813"/>
      <c r="AA18" s="1810">
        <v>1</v>
      </c>
      <c r="AB18" s="1810">
        <v>1</v>
      </c>
      <c r="AC18" s="1810">
        <v>1</v>
      </c>
    </row>
    <row r="19" spans="1:29" ht="15">
      <c r="A19" s="428"/>
      <c r="B19" s="630" t="s">
        <v>2742</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0"/>
      <c r="M19" s="1131"/>
      <c r="N19" s="1131"/>
      <c r="O19" s="1139"/>
      <c r="P19" s="3227"/>
      <c r="Q19" s="1809" t="str">
        <f t="shared" ref="Q19:Q33" si="8">B19</f>
        <v>区域土地利用方向</v>
      </c>
      <c r="R19" s="771" t="s">
        <v>17</v>
      </c>
      <c r="S19" s="772">
        <f>F19</f>
        <v>100</v>
      </c>
      <c r="T19" s="771" t="s">
        <v>17</v>
      </c>
      <c r="U19" s="772">
        <f>H19</f>
        <v>100</v>
      </c>
      <c r="V19" s="771" t="s">
        <v>17</v>
      </c>
      <c r="W19" s="772">
        <f>J19</f>
        <v>100</v>
      </c>
      <c r="X19" s="1812"/>
      <c r="Y19" s="3227"/>
      <c r="Z19" s="1813" t="str">
        <f>Q19</f>
        <v>区域土地利用方向</v>
      </c>
      <c r="AA19" s="1810">
        <f t="shared" si="3"/>
        <v>1</v>
      </c>
      <c r="AB19" s="1810">
        <f t="shared" si="4"/>
        <v>1</v>
      </c>
      <c r="AC19" s="1810">
        <f t="shared" si="5"/>
        <v>1</v>
      </c>
    </row>
    <row r="20" spans="1:29" ht="15">
      <c r="A20" s="404"/>
      <c r="B20" s="631"/>
      <c r="C20" s="447"/>
      <c r="D20" s="448"/>
      <c r="E20" s="2601"/>
      <c r="F20" s="448"/>
      <c r="G20" s="2601"/>
      <c r="H20" s="448"/>
      <c r="I20" s="2601"/>
      <c r="J20" s="448"/>
      <c r="K20" s="809"/>
      <c r="L20" s="1140"/>
      <c r="M20" s="1131"/>
      <c r="N20" s="1131"/>
      <c r="O20" s="1139"/>
      <c r="P20" s="3227"/>
      <c r="Q20" s="1809"/>
      <c r="R20" s="771"/>
      <c r="S20" s="772"/>
      <c r="T20" s="771"/>
      <c r="U20" s="772"/>
      <c r="V20" s="771"/>
      <c r="W20" s="772"/>
      <c r="X20" s="1812"/>
      <c r="Y20" s="3227"/>
      <c r="Z20" s="1813"/>
      <c r="AA20" s="1810"/>
      <c r="AB20" s="1810"/>
      <c r="AC20" s="1810"/>
    </row>
    <row r="21" spans="1:29" ht="71.25">
      <c r="A21" s="404"/>
      <c r="B21" s="630" t="s">
        <v>2793</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0"/>
      <c r="M21" s="1131"/>
      <c r="N21" s="1131"/>
      <c r="O21" s="1139"/>
      <c r="P21" s="3227"/>
      <c r="Q21" s="1809" t="str">
        <f t="shared" si="8"/>
        <v>环境状况</v>
      </c>
      <c r="R21" s="771" t="s">
        <v>17</v>
      </c>
      <c r="S21" s="772">
        <f>F21</f>
        <v>100</v>
      </c>
      <c r="T21" s="771" t="s">
        <v>17</v>
      </c>
      <c r="U21" s="772">
        <f>H21</f>
        <v>100</v>
      </c>
      <c r="V21" s="771" t="s">
        <v>17</v>
      </c>
      <c r="W21" s="772">
        <f>J21</f>
        <v>100</v>
      </c>
      <c r="X21" s="1812"/>
      <c r="Y21" s="3227"/>
      <c r="Z21" s="1813" t="str">
        <f>Q21</f>
        <v>环境状况</v>
      </c>
      <c r="AA21" s="1810">
        <f t="shared" si="3"/>
        <v>1</v>
      </c>
      <c r="AB21" s="1810">
        <f t="shared" si="4"/>
        <v>1</v>
      </c>
      <c r="AC21" s="1810">
        <f t="shared" si="5"/>
        <v>1</v>
      </c>
    </row>
    <row r="22" spans="1:29" ht="15">
      <c r="A22" s="404"/>
      <c r="B22" s="631"/>
      <c r="C22" s="447"/>
      <c r="D22" s="448"/>
      <c r="E22" s="2607"/>
      <c r="F22" s="448"/>
      <c r="G22" s="2607"/>
      <c r="H22" s="448"/>
      <c r="I22" s="447"/>
      <c r="J22" s="448"/>
      <c r="K22" s="671"/>
      <c r="L22" s="1140"/>
      <c r="M22" s="1131"/>
      <c r="N22" s="1131"/>
      <c r="O22" s="1139"/>
      <c r="P22" s="3227"/>
      <c r="Q22" s="1809"/>
      <c r="R22" s="771"/>
      <c r="S22" s="772"/>
      <c r="T22" s="771"/>
      <c r="U22" s="772"/>
      <c r="V22" s="771"/>
      <c r="W22" s="772"/>
      <c r="X22" s="1812"/>
      <c r="Y22" s="3227"/>
      <c r="Z22" s="1813"/>
      <c r="AA22" s="1810">
        <v>1</v>
      </c>
      <c r="AB22" s="1810">
        <v>1</v>
      </c>
      <c r="AC22" s="1810">
        <v>1</v>
      </c>
    </row>
    <row r="23" spans="1:29" s="117" customFormat="1" ht="42.75">
      <c r="A23" s="648"/>
      <c r="B23" s="632" t="s">
        <v>2649</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2"/>
      <c r="M23" s="1133"/>
      <c r="N23" s="1133"/>
      <c r="O23" s="1134"/>
      <c r="P23" s="3227"/>
      <c r="Q23" s="1794" t="str">
        <f t="shared" si="8"/>
        <v>公共配套设施</v>
      </c>
      <c r="R23" s="767" t="s">
        <v>17</v>
      </c>
      <c r="S23" s="768">
        <f>F23</f>
        <v>100</v>
      </c>
      <c r="T23" s="767" t="s">
        <v>17</v>
      </c>
      <c r="U23" s="768">
        <f>H23</f>
        <v>100</v>
      </c>
      <c r="V23" s="767" t="s">
        <v>17</v>
      </c>
      <c r="W23" s="768">
        <f>J23</f>
        <v>100</v>
      </c>
      <c r="X23" s="769"/>
      <c r="Y23" s="3227"/>
      <c r="Z23" s="55" t="str">
        <f>Q23</f>
        <v>公共配套设施</v>
      </c>
      <c r="AA23" s="1810">
        <f>D23/F23</f>
        <v>1</v>
      </c>
      <c r="AB23" s="1810">
        <f>D23/H23</f>
        <v>1</v>
      </c>
      <c r="AC23" s="1810">
        <f>D23/J23</f>
        <v>1</v>
      </c>
    </row>
    <row r="24" spans="1:29" s="117" customFormat="1" ht="15">
      <c r="A24" s="648"/>
      <c r="B24" s="631"/>
      <c r="C24" s="2695"/>
      <c r="D24" s="448"/>
      <c r="E24" s="2607"/>
      <c r="F24" s="448"/>
      <c r="G24" s="2607"/>
      <c r="H24" s="448"/>
      <c r="I24" s="447"/>
      <c r="J24" s="448"/>
      <c r="K24" s="671"/>
      <c r="L24" s="1132"/>
      <c r="M24" s="1133"/>
      <c r="N24" s="1133"/>
      <c r="O24" s="1134"/>
      <c r="P24" s="3227"/>
      <c r="Q24" s="1794"/>
      <c r="R24" s="767"/>
      <c r="S24" s="768"/>
      <c r="T24" s="767"/>
      <c r="U24" s="768"/>
      <c r="V24" s="767"/>
      <c r="W24" s="768"/>
      <c r="X24" s="769"/>
      <c r="Y24" s="3227"/>
      <c r="Z24" s="55"/>
      <c r="AA24" s="770">
        <v>1</v>
      </c>
      <c r="AB24" s="770">
        <v>1</v>
      </c>
      <c r="AC24" s="770">
        <v>1</v>
      </c>
    </row>
    <row r="25" spans="1:29" s="117" customFormat="1" ht="28.5">
      <c r="A25" s="648"/>
      <c r="B25" s="632" t="s">
        <v>2650</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2"/>
      <c r="M25" s="1133"/>
      <c r="N25" s="1133"/>
      <c r="O25" s="1134"/>
      <c r="P25" s="3227"/>
      <c r="Q25" s="1794" t="str">
        <f t="shared" ref="Q25" si="9">B25</f>
        <v>基础设施水平</v>
      </c>
      <c r="R25" s="767" t="s">
        <v>17</v>
      </c>
      <c r="S25" s="768">
        <f>F25</f>
        <v>100</v>
      </c>
      <c r="T25" s="767" t="s">
        <v>17</v>
      </c>
      <c r="U25" s="768">
        <f>H25</f>
        <v>100</v>
      </c>
      <c r="V25" s="767" t="s">
        <v>17</v>
      </c>
      <c r="W25" s="768">
        <f>J25</f>
        <v>100</v>
      </c>
      <c r="X25" s="769"/>
      <c r="Y25" s="3227"/>
      <c r="Z25" s="55" t="str">
        <f>Q25</f>
        <v>基础设施水平</v>
      </c>
      <c r="AA25" s="1810">
        <f>D25/F25</f>
        <v>1</v>
      </c>
      <c r="AB25" s="1810">
        <f>D25/H25</f>
        <v>1</v>
      </c>
      <c r="AC25" s="1810">
        <f>D25/J25</f>
        <v>1</v>
      </c>
    </row>
    <row r="26" spans="1:29" s="117" customFormat="1" ht="15">
      <c r="A26" s="648"/>
      <c r="B26" s="631"/>
      <c r="C26" s="2695"/>
      <c r="D26" s="448"/>
      <c r="E26" s="2696"/>
      <c r="F26" s="448"/>
      <c r="G26" s="2696"/>
      <c r="H26" s="448"/>
      <c r="I26" s="2696"/>
      <c r="J26" s="448"/>
      <c r="K26" s="671"/>
      <c r="L26" s="1132"/>
      <c r="M26" s="1133"/>
      <c r="N26" s="1133"/>
      <c r="O26" s="1134"/>
      <c r="P26" s="3227"/>
      <c r="Q26" s="1794"/>
      <c r="R26" s="767"/>
      <c r="S26" s="768"/>
      <c r="T26" s="767"/>
      <c r="U26" s="768"/>
      <c r="V26" s="767"/>
      <c r="W26" s="768"/>
      <c r="X26" s="769"/>
      <c r="Y26" s="3227"/>
      <c r="Z26" s="55"/>
      <c r="AA26" s="770">
        <v>1</v>
      </c>
      <c r="AB26" s="770">
        <v>1</v>
      </c>
      <c r="AC26" s="770">
        <v>1</v>
      </c>
    </row>
    <row r="27" spans="1:29" ht="15">
      <c r="A27" s="428"/>
      <c r="B27" s="631" t="s">
        <v>2651</v>
      </c>
      <c r="C27" s="616"/>
      <c r="D27" s="435">
        <v>100</v>
      </c>
      <c r="E27" s="633"/>
      <c r="F27" s="435">
        <f>SUMIF(95:95,E27,96:96)-SUMIF(95:95,C27,96:96)+100</f>
        <v>100</v>
      </c>
      <c r="G27" s="633"/>
      <c r="H27" s="435">
        <f>SUMIF(95:95,G27,96:96)-SUMIF(95:95,C27,96:96)+100</f>
        <v>100</v>
      </c>
      <c r="I27" s="633"/>
      <c r="J27" s="435">
        <f>SUMIF(95:95,I27,96:96)-SUMIF(95:95,C27,96:96)+100</f>
        <v>100</v>
      </c>
      <c r="K27" s="672"/>
      <c r="L27" s="1140"/>
      <c r="M27" s="1131"/>
      <c r="N27" s="1131"/>
      <c r="O27" s="1139"/>
      <c r="P27" s="3227"/>
      <c r="Q27" s="1809" t="str">
        <f t="shared" si="8"/>
        <v>临街状况</v>
      </c>
      <c r="R27" s="771" t="s">
        <v>17</v>
      </c>
      <c r="S27" s="772">
        <f t="shared" ref="S27:S40" si="10">F27</f>
        <v>100</v>
      </c>
      <c r="T27" s="771" t="s">
        <v>17</v>
      </c>
      <c r="U27" s="772">
        <f t="shared" ref="U27:U40" si="11">H27</f>
        <v>100</v>
      </c>
      <c r="V27" s="771" t="s">
        <v>17</v>
      </c>
      <c r="W27" s="772">
        <f t="shared" ref="W27:W40" si="12">J27</f>
        <v>100</v>
      </c>
      <c r="X27" s="1812"/>
      <c r="Y27" s="3227"/>
      <c r="Z27" s="1813" t="str">
        <f t="shared" ref="Z27:Z40" si="13">Q27</f>
        <v>临街状况</v>
      </c>
      <c r="AA27" s="1810">
        <f t="shared" si="3"/>
        <v>1</v>
      </c>
      <c r="AB27" s="1810">
        <f t="shared" si="4"/>
        <v>1</v>
      </c>
      <c r="AC27" s="1810">
        <f t="shared" si="5"/>
        <v>1</v>
      </c>
    </row>
    <row r="28" spans="1:29" ht="27">
      <c r="A28" s="428"/>
      <c r="B28" s="632" t="s">
        <v>2685</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0"/>
      <c r="M28" s="1131"/>
      <c r="N28" s="1131"/>
      <c r="O28" s="1139"/>
      <c r="P28" s="3227"/>
      <c r="Q28" s="1809" t="str">
        <f t="shared" si="8"/>
        <v>毗邻道路的类型与等级</v>
      </c>
      <c r="R28" s="771" t="s">
        <v>17</v>
      </c>
      <c r="S28" s="772">
        <f t="shared" si="10"/>
        <v>100</v>
      </c>
      <c r="T28" s="771" t="s">
        <v>17</v>
      </c>
      <c r="U28" s="772">
        <f t="shared" si="11"/>
        <v>100</v>
      </c>
      <c r="V28" s="771" t="s">
        <v>17</v>
      </c>
      <c r="W28" s="772">
        <f t="shared" si="12"/>
        <v>100</v>
      </c>
      <c r="X28" s="1812"/>
      <c r="Y28" s="3227"/>
      <c r="Z28" s="1813" t="str">
        <f t="shared" si="13"/>
        <v>毗邻道路的类型与等级</v>
      </c>
      <c r="AA28" s="1810">
        <f t="shared" si="3"/>
        <v>1</v>
      </c>
      <c r="AB28" s="1810">
        <f t="shared" si="4"/>
        <v>1</v>
      </c>
      <c r="AC28" s="1810">
        <f t="shared" si="5"/>
        <v>1</v>
      </c>
    </row>
    <row r="29" spans="1:29" ht="15">
      <c r="A29" s="428"/>
      <c r="B29" s="631"/>
      <c r="C29" s="447"/>
      <c r="D29" s="448"/>
      <c r="E29" s="2607"/>
      <c r="F29" s="448"/>
      <c r="G29" s="2607"/>
      <c r="H29" s="448"/>
      <c r="I29" s="2607"/>
      <c r="J29" s="448"/>
      <c r="K29" s="613"/>
      <c r="L29" s="1140"/>
      <c r="M29" s="1131"/>
      <c r="N29" s="1131"/>
      <c r="O29" s="1139"/>
      <c r="P29" s="3227"/>
      <c r="Q29" s="1809"/>
      <c r="R29" s="771"/>
      <c r="S29" s="772"/>
      <c r="T29" s="771"/>
      <c r="U29" s="772"/>
      <c r="V29" s="771"/>
      <c r="W29" s="772"/>
      <c r="X29" s="1812"/>
      <c r="Y29" s="3227"/>
      <c r="Z29" s="1813"/>
      <c r="AA29" s="1810">
        <v>1</v>
      </c>
      <c r="AB29" s="1810">
        <v>1</v>
      </c>
      <c r="AC29" s="1810">
        <v>1</v>
      </c>
    </row>
    <row r="30" spans="1:29" ht="15">
      <c r="A30" s="428"/>
      <c r="B30" s="653" t="s">
        <v>2744</v>
      </c>
      <c r="C30" s="1389">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0"/>
      <c r="M30" s="1131"/>
      <c r="N30" s="1131"/>
      <c r="O30" s="1139"/>
      <c r="P30" s="3227"/>
      <c r="Q30" s="1809" t="str">
        <f t="shared" si="8"/>
        <v>土地级别</v>
      </c>
      <c r="R30" s="771" t="s">
        <v>17</v>
      </c>
      <c r="S30" s="772">
        <f t="shared" si="10"/>
        <v>100</v>
      </c>
      <c r="T30" s="771" t="s">
        <v>17</v>
      </c>
      <c r="U30" s="772">
        <f t="shared" si="11"/>
        <v>100</v>
      </c>
      <c r="V30" s="771" t="s">
        <v>17</v>
      </c>
      <c r="W30" s="772">
        <f t="shared" si="12"/>
        <v>100</v>
      </c>
      <c r="X30" s="1812"/>
      <c r="Y30" s="3227"/>
      <c r="Z30" s="1813" t="str">
        <f t="shared" si="13"/>
        <v>土地级别</v>
      </c>
      <c r="AA30" s="1810">
        <f t="shared" si="3"/>
        <v>1</v>
      </c>
      <c r="AB30" s="1810">
        <f t="shared" si="4"/>
        <v>1</v>
      </c>
      <c r="AC30" s="1810">
        <f t="shared" si="5"/>
        <v>1</v>
      </c>
    </row>
    <row r="31" spans="1:29" ht="15">
      <c r="A31" s="404"/>
      <c r="B31" s="2673">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7"/>
      <c r="Q31" s="1809">
        <f t="shared" si="8"/>
        <v>111</v>
      </c>
      <c r="R31" s="771" t="s">
        <v>17</v>
      </c>
      <c r="S31" s="772">
        <f t="shared" si="10"/>
        <v>100</v>
      </c>
      <c r="T31" s="771" t="s">
        <v>17</v>
      </c>
      <c r="U31" s="772">
        <f t="shared" si="11"/>
        <v>100</v>
      </c>
      <c r="V31" s="771" t="s">
        <v>17</v>
      </c>
      <c r="W31" s="772">
        <f t="shared" si="12"/>
        <v>100</v>
      </c>
      <c r="X31" s="1812"/>
      <c r="Y31" s="3227"/>
      <c r="Z31" s="1813">
        <f t="shared" si="13"/>
        <v>111</v>
      </c>
      <c r="AA31" s="1810">
        <f t="shared" si="3"/>
        <v>1</v>
      </c>
      <c r="AB31" s="1810">
        <f t="shared" si="4"/>
        <v>1</v>
      </c>
      <c r="AC31" s="1810">
        <f t="shared" si="5"/>
        <v>1</v>
      </c>
    </row>
    <row r="32" spans="1:29" ht="15">
      <c r="A32" s="674"/>
      <c r="B32" s="2709">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0"/>
      <c r="M32" s="1131"/>
      <c r="N32" s="1131"/>
      <c r="O32" s="1139"/>
      <c r="P32" s="3251" t="s">
        <v>2560</v>
      </c>
      <c r="Q32" s="1809">
        <f t="shared" si="8"/>
        <v>111</v>
      </c>
      <c r="R32" s="771" t="s">
        <v>17</v>
      </c>
      <c r="S32" s="772">
        <f t="shared" si="10"/>
        <v>100</v>
      </c>
      <c r="T32" s="771" t="s">
        <v>17</v>
      </c>
      <c r="U32" s="772">
        <f t="shared" si="11"/>
        <v>100</v>
      </c>
      <c r="V32" s="771" t="s">
        <v>17</v>
      </c>
      <c r="W32" s="772">
        <f t="shared" si="12"/>
        <v>100</v>
      </c>
      <c r="X32" s="1812"/>
      <c r="Y32" s="3231" t="s">
        <v>2560</v>
      </c>
      <c r="Z32" s="1813">
        <f t="shared" si="13"/>
        <v>111</v>
      </c>
      <c r="AA32" s="1810">
        <f t="shared" si="3"/>
        <v>1</v>
      </c>
      <c r="AB32" s="1810">
        <f t="shared" si="4"/>
        <v>1</v>
      </c>
      <c r="AC32" s="1810">
        <f t="shared" si="5"/>
        <v>1</v>
      </c>
    </row>
    <row r="33" spans="1:29" s="471" customFormat="1" ht="15.75" thickBot="1">
      <c r="A33" s="675"/>
      <c r="B33" s="2710">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8"/>
      <c r="M33" s="1141"/>
      <c r="N33" s="1141"/>
      <c r="O33" s="1142"/>
      <c r="P33" s="3231"/>
      <c r="Q33" s="1809">
        <f t="shared" si="8"/>
        <v>111</v>
      </c>
      <c r="R33" s="774" t="s">
        <v>17</v>
      </c>
      <c r="S33" s="775">
        <f t="shared" si="10"/>
        <v>100</v>
      </c>
      <c r="T33" s="774" t="s">
        <v>17</v>
      </c>
      <c r="U33" s="775">
        <f t="shared" si="11"/>
        <v>100</v>
      </c>
      <c r="V33" s="774" t="s">
        <v>17</v>
      </c>
      <c r="W33" s="775">
        <f t="shared" si="12"/>
        <v>100</v>
      </c>
      <c r="X33" s="776"/>
      <c r="Y33" s="3231"/>
      <c r="Z33" s="777">
        <f t="shared" si="13"/>
        <v>111</v>
      </c>
      <c r="AA33" s="1810">
        <f t="shared" si="3"/>
        <v>1</v>
      </c>
      <c r="AB33" s="1810">
        <f t="shared" si="4"/>
        <v>1</v>
      </c>
      <c r="AC33" s="1810">
        <f t="shared" si="5"/>
        <v>1</v>
      </c>
    </row>
    <row r="34" spans="1:29" ht="15">
      <c r="A34" s="440" t="s">
        <v>2558</v>
      </c>
      <c r="B34" s="456" t="s">
        <v>2745</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0"/>
      <c r="M34" s="1131"/>
      <c r="N34" s="1131"/>
      <c r="O34" s="1139"/>
      <c r="P34" s="3231"/>
      <c r="Q34" s="1809" t="str">
        <f>B34</f>
        <v>宗地面积</v>
      </c>
      <c r="R34" s="771" t="s">
        <v>17</v>
      </c>
      <c r="S34" s="772" t="e">
        <f t="shared" si="10"/>
        <v>#N/A</v>
      </c>
      <c r="T34" s="771" t="s">
        <v>17</v>
      </c>
      <c r="U34" s="772" t="e">
        <f t="shared" si="11"/>
        <v>#N/A</v>
      </c>
      <c r="V34" s="771" t="s">
        <v>17</v>
      </c>
      <c r="W34" s="772" t="e">
        <f t="shared" si="12"/>
        <v>#N/A</v>
      </c>
      <c r="X34" s="1812"/>
      <c r="Y34" s="3231"/>
      <c r="Z34" s="1813" t="str">
        <f t="shared" si="13"/>
        <v>宗地面积</v>
      </c>
      <c r="AA34" s="1810" t="e">
        <f t="shared" si="3"/>
        <v>#N/A</v>
      </c>
      <c r="AB34" s="1810" t="e">
        <f t="shared" si="4"/>
        <v>#N/A</v>
      </c>
      <c r="AC34" s="1810" t="e">
        <f t="shared" si="5"/>
        <v>#N/A</v>
      </c>
    </row>
    <row r="35" spans="1:29" ht="15">
      <c r="A35" s="472"/>
      <c r="B35" s="422" t="s">
        <v>2746</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31"/>
      <c r="Q35" s="1809" t="str">
        <f t="shared" ref="Q35:Q40" si="14">B35</f>
        <v>宗地形状</v>
      </c>
      <c r="R35" s="771" t="s">
        <v>17</v>
      </c>
      <c r="S35" s="772">
        <f t="shared" si="10"/>
        <v>100</v>
      </c>
      <c r="T35" s="771" t="s">
        <v>17</v>
      </c>
      <c r="U35" s="772">
        <f t="shared" si="11"/>
        <v>100</v>
      </c>
      <c r="V35" s="771" t="s">
        <v>17</v>
      </c>
      <c r="W35" s="772">
        <f t="shared" si="12"/>
        <v>100</v>
      </c>
      <c r="X35" s="1812"/>
      <c r="Y35" s="3231"/>
      <c r="Z35" s="1813" t="str">
        <f t="shared" si="13"/>
        <v>宗地形状</v>
      </c>
      <c r="AA35" s="1810">
        <f t="shared" si="3"/>
        <v>1</v>
      </c>
      <c r="AB35" s="1810">
        <f t="shared" si="4"/>
        <v>1</v>
      </c>
      <c r="AC35" s="1810">
        <f t="shared" si="5"/>
        <v>1</v>
      </c>
    </row>
    <row r="36" spans="1:29" s="117" customFormat="1" ht="15">
      <c r="A36" s="473"/>
      <c r="B36" s="422" t="s">
        <v>2748</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2"/>
      <c r="M36" s="1133"/>
      <c r="N36" s="1133"/>
      <c r="O36" s="1134"/>
      <c r="P36" s="3231"/>
      <c r="Q36" s="1809" t="str">
        <f t="shared" si="14"/>
        <v>宗地开发程度</v>
      </c>
      <c r="R36" s="767" t="s">
        <v>17</v>
      </c>
      <c r="S36" s="768">
        <f t="shared" si="10"/>
        <v>100</v>
      </c>
      <c r="T36" s="767" t="s">
        <v>17</v>
      </c>
      <c r="U36" s="768">
        <f t="shared" si="11"/>
        <v>100</v>
      </c>
      <c r="V36" s="767" t="s">
        <v>17</v>
      </c>
      <c r="W36" s="768">
        <f t="shared" si="12"/>
        <v>100</v>
      </c>
      <c r="X36" s="769"/>
      <c r="Y36" s="3231"/>
      <c r="Z36" s="55" t="str">
        <f t="shared" si="13"/>
        <v>宗地开发程度</v>
      </c>
      <c r="AA36" s="770">
        <f t="shared" si="3"/>
        <v>1</v>
      </c>
      <c r="AB36" s="770">
        <f t="shared" si="4"/>
        <v>1</v>
      </c>
      <c r="AC36" s="770">
        <f t="shared" si="5"/>
        <v>1</v>
      </c>
    </row>
    <row r="37" spans="1:29" ht="15">
      <c r="A37" s="472"/>
      <c r="B37" s="422" t="s">
        <v>2749</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31" t="s">
        <v>2560</v>
      </c>
      <c r="Q37" s="1809" t="str">
        <f t="shared" si="14"/>
        <v>工程地质条件</v>
      </c>
      <c r="R37" s="771" t="s">
        <v>17</v>
      </c>
      <c r="S37" s="772">
        <f t="shared" si="10"/>
        <v>100</v>
      </c>
      <c r="T37" s="771" t="s">
        <v>17</v>
      </c>
      <c r="U37" s="772">
        <f t="shared" si="11"/>
        <v>100</v>
      </c>
      <c r="V37" s="771" t="s">
        <v>17</v>
      </c>
      <c r="W37" s="772">
        <f t="shared" si="12"/>
        <v>100</v>
      </c>
      <c r="X37" s="1812"/>
      <c r="Y37" s="3231" t="s">
        <v>2560</v>
      </c>
      <c r="Z37" s="1813" t="str">
        <f t="shared" si="13"/>
        <v>工程地质条件</v>
      </c>
      <c r="AA37" s="1810">
        <f t="shared" si="3"/>
        <v>1</v>
      </c>
      <c r="AB37" s="1810">
        <f t="shared" si="4"/>
        <v>1</v>
      </c>
      <c r="AC37" s="1810">
        <f t="shared" si="5"/>
        <v>1</v>
      </c>
    </row>
    <row r="38" spans="1:29" ht="15">
      <c r="A38" s="472"/>
      <c r="B38" s="1387">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0"/>
      <c r="M38" s="1131"/>
      <c r="N38" s="1131"/>
      <c r="O38" s="1139"/>
      <c r="P38" s="3231"/>
      <c r="Q38" s="1809">
        <f t="shared" si="14"/>
        <v>111</v>
      </c>
      <c r="R38" s="771" t="s">
        <v>17</v>
      </c>
      <c r="S38" s="772">
        <f t="shared" si="10"/>
        <v>100</v>
      </c>
      <c r="T38" s="771" t="s">
        <v>17</v>
      </c>
      <c r="U38" s="772">
        <f t="shared" si="11"/>
        <v>100</v>
      </c>
      <c r="V38" s="771" t="s">
        <v>17</v>
      </c>
      <c r="W38" s="772">
        <f t="shared" si="12"/>
        <v>100</v>
      </c>
      <c r="X38" s="1812"/>
      <c r="Y38" s="3231"/>
      <c r="Z38" s="1813">
        <f t="shared" si="13"/>
        <v>111</v>
      </c>
      <c r="AA38" s="1810">
        <f t="shared" si="3"/>
        <v>1</v>
      </c>
      <c r="AB38" s="1810">
        <f t="shared" si="4"/>
        <v>1</v>
      </c>
      <c r="AC38" s="1810">
        <f t="shared" si="5"/>
        <v>1</v>
      </c>
    </row>
    <row r="39" spans="1:29" ht="15">
      <c r="A39" s="472"/>
      <c r="B39" s="1387">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0"/>
      <c r="M39" s="1131"/>
      <c r="N39" s="1131"/>
      <c r="O39" s="1139"/>
      <c r="P39" s="3231"/>
      <c r="Q39" s="1809">
        <f t="shared" si="14"/>
        <v>111</v>
      </c>
      <c r="R39" s="771" t="s">
        <v>17</v>
      </c>
      <c r="S39" s="772">
        <f t="shared" si="10"/>
        <v>100</v>
      </c>
      <c r="T39" s="771" t="s">
        <v>17</v>
      </c>
      <c r="U39" s="772">
        <f t="shared" si="11"/>
        <v>100</v>
      </c>
      <c r="V39" s="771" t="s">
        <v>17</v>
      </c>
      <c r="W39" s="772">
        <f t="shared" si="12"/>
        <v>100</v>
      </c>
      <c r="X39" s="1812"/>
      <c r="Y39" s="3231"/>
      <c r="Z39" s="1813">
        <f t="shared" si="13"/>
        <v>111</v>
      </c>
      <c r="AA39" s="1810">
        <f t="shared" si="3"/>
        <v>1</v>
      </c>
      <c r="AB39" s="1810">
        <f t="shared" si="4"/>
        <v>1</v>
      </c>
      <c r="AC39" s="1810">
        <f t="shared" si="5"/>
        <v>1</v>
      </c>
    </row>
    <row r="40" spans="1:29" s="471" customFormat="1" ht="15.75" thickBot="1">
      <c r="A40" s="468"/>
      <c r="B40" s="1387">
        <v>111</v>
      </c>
      <c r="C40" s="2698"/>
      <c r="D40" s="137">
        <v>100</v>
      </c>
      <c r="E40" s="673"/>
      <c r="F40" s="438">
        <f>SUMIF(120:120,E40,121:121)-SUMIF(120:120,C40,121:121)+100</f>
        <v>100</v>
      </c>
      <c r="G40" s="673"/>
      <c r="H40" s="438">
        <f>SUMIF(120:120,G40,121:121)-SUMIF(120:120,C40,121:121)+100</f>
        <v>100</v>
      </c>
      <c r="I40" s="549"/>
      <c r="J40" s="438">
        <f>SUMIF(120:120,I40,121:121)-SUMIF(120:120,C40,121:121)+100</f>
        <v>100</v>
      </c>
      <c r="K40" s="680"/>
      <c r="L40" s="1138"/>
      <c r="M40" s="1141"/>
      <c r="N40" s="1141"/>
      <c r="O40" s="1142"/>
      <c r="P40" s="3231"/>
      <c r="Q40" s="1809">
        <f t="shared" si="14"/>
        <v>111</v>
      </c>
      <c r="R40" s="774" t="s">
        <v>17</v>
      </c>
      <c r="S40" s="775">
        <f t="shared" si="10"/>
        <v>100</v>
      </c>
      <c r="T40" s="774" t="s">
        <v>17</v>
      </c>
      <c r="U40" s="775">
        <f t="shared" si="11"/>
        <v>100</v>
      </c>
      <c r="V40" s="774" t="s">
        <v>17</v>
      </c>
      <c r="W40" s="775">
        <f t="shared" si="12"/>
        <v>100</v>
      </c>
      <c r="X40" s="776"/>
      <c r="Y40" s="3231"/>
      <c r="Z40" s="777">
        <f t="shared" si="13"/>
        <v>111</v>
      </c>
      <c r="AA40" s="1810">
        <f t="shared" si="3"/>
        <v>1</v>
      </c>
      <c r="AB40" s="1810">
        <f t="shared" si="4"/>
        <v>1</v>
      </c>
      <c r="AC40" s="1810">
        <f t="shared" si="5"/>
        <v>1</v>
      </c>
    </row>
    <row r="41" spans="1:29" ht="15">
      <c r="A41" s="479" t="s">
        <v>2714</v>
      </c>
      <c r="B41" s="2699" t="s">
        <v>2794</v>
      </c>
      <c r="C41" s="681" t="s">
        <v>1</v>
      </c>
      <c r="D41" s="481"/>
      <c r="E41" s="482"/>
      <c r="F41" s="483"/>
      <c r="G41" s="484"/>
      <c r="H41" s="485"/>
      <c r="I41" s="482"/>
      <c r="J41" s="485"/>
      <c r="K41" s="780"/>
      <c r="L41" s="1143"/>
      <c r="M41" s="1131"/>
      <c r="N41" s="1131"/>
      <c r="O41" s="1144"/>
      <c r="P41" s="3224" t="str">
        <f>A41</f>
        <v>成交单价</v>
      </c>
      <c r="Q41" s="3224"/>
      <c r="R41" s="3218">
        <f>E41</f>
        <v>0</v>
      </c>
      <c r="S41" s="3218"/>
      <c r="T41" s="3218">
        <f>G41</f>
        <v>0</v>
      </c>
      <c r="U41" s="3218"/>
      <c r="V41" s="3218">
        <f>I41</f>
        <v>0</v>
      </c>
      <c r="W41" s="3218"/>
      <c r="X41" s="756"/>
      <c r="Y41" s="778"/>
      <c r="Z41" s="756"/>
      <c r="AA41" s="756"/>
      <c r="AB41" s="756"/>
      <c r="AC41" s="756"/>
    </row>
    <row r="42" spans="1:29" ht="15.75" thickBot="1">
      <c r="A42" s="486" t="s">
        <v>2663</v>
      </c>
      <c r="B42" s="682"/>
      <c r="C42" s="490" t="e">
        <f>R43</f>
        <v>#DIV/0!</v>
      </c>
      <c r="D42" s="489"/>
      <c r="E42" s="490" t="e">
        <f>R42</f>
        <v>#DIV/0!</v>
      </c>
      <c r="F42" s="491"/>
      <c r="G42" s="488" t="e">
        <f>T42</f>
        <v>#DIV/0!</v>
      </c>
      <c r="H42" s="489"/>
      <c r="I42" s="490" t="e">
        <f>V42</f>
        <v>#DIV/0!</v>
      </c>
      <c r="J42" s="489"/>
      <c r="K42" s="781"/>
      <c r="L42" s="1143"/>
      <c r="M42" s="1131"/>
      <c r="N42" s="1131"/>
      <c r="O42" s="1144"/>
      <c r="P42" s="3224" t="str">
        <f>A42</f>
        <v>比较价值（元/平方米）</v>
      </c>
      <c r="Q42" s="3224"/>
      <c r="R42" s="3252" t="e">
        <f>ROUND(PRODUCT(R41,AA7:AA40),0)</f>
        <v>#DIV/0!</v>
      </c>
      <c r="S42" s="3252"/>
      <c r="T42" s="3252" t="e">
        <f>ROUND(PRODUCT(T41,AB7:AB40),0)</f>
        <v>#DIV/0!</v>
      </c>
      <c r="U42" s="3252"/>
      <c r="V42" s="3252" t="e">
        <f>ROUND(PRODUCT(V41,AC7:AC40),0)</f>
        <v>#DIV/0!</v>
      </c>
      <c r="W42" s="3252"/>
      <c r="X42" s="756"/>
      <c r="Y42" s="756"/>
      <c r="Z42" s="756"/>
      <c r="AA42" s="756"/>
      <c r="AB42" s="756"/>
      <c r="AC42" s="756"/>
    </row>
    <row r="43" spans="1:29" ht="15.75" thickBot="1">
      <c r="A43" s="492" t="s">
        <v>2664</v>
      </c>
      <c r="B43" s="493"/>
      <c r="C43" s="494" t="e">
        <f>R43</f>
        <v>#DIV/0!</v>
      </c>
      <c r="D43" s="494"/>
      <c r="E43" s="494"/>
      <c r="F43" s="494"/>
      <c r="G43" s="494"/>
      <c r="H43" s="494"/>
      <c r="I43" s="494"/>
      <c r="J43" s="494"/>
      <c r="K43" s="782"/>
      <c r="L43" s="1143"/>
      <c r="M43" s="1131"/>
      <c r="N43" s="1131"/>
      <c r="O43" s="1144"/>
      <c r="P43" s="3221" t="str">
        <f>A43</f>
        <v>估价对象XX用房的比较价值（楼面单价，元/平方米）</v>
      </c>
      <c r="Q43" s="3222"/>
      <c r="R43" s="3253" t="e">
        <f>ROUND(AVERAGE(R42:V42),0)</f>
        <v>#DIV/0!</v>
      </c>
      <c r="S43" s="3253"/>
      <c r="T43" s="3253"/>
      <c r="U43" s="3253"/>
      <c r="V43" s="3253"/>
      <c r="W43" s="3253"/>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59"/>
      <c r="D49" s="757"/>
      <c r="E49" s="757"/>
      <c r="F49" s="757"/>
      <c r="G49" s="757"/>
      <c r="H49" s="757"/>
      <c r="I49" s="757"/>
      <c r="J49" s="757"/>
      <c r="K49" s="1148"/>
      <c r="L49" s="1149"/>
      <c r="M49" s="1145"/>
      <c r="N49" s="1145"/>
      <c r="O49" s="1145"/>
    </row>
    <row r="50" spans="1:17" ht="27">
      <c r="A50" s="683" t="s">
        <v>2752</v>
      </c>
      <c r="B50" s="684" t="s">
        <v>2753</v>
      </c>
      <c r="C50" s="2700" t="s">
        <v>2754</v>
      </c>
      <c r="D50" s="2701" t="s">
        <v>2755</v>
      </c>
      <c r="E50" s="685" t="s">
        <v>2756</v>
      </c>
      <c r="F50" s="686" t="s">
        <v>2757</v>
      </c>
      <c r="G50" s="3206" t="s">
        <v>2758</v>
      </c>
      <c r="H50" s="3254"/>
      <c r="I50" s="1813" t="s">
        <v>2795</v>
      </c>
      <c r="J50" s="1813">
        <f>项目基本情况!F35</f>
        <v>0</v>
      </c>
      <c r="K50" s="2703" t="s">
        <v>2760</v>
      </c>
      <c r="L50" s="1106"/>
      <c r="M50" s="1144"/>
      <c r="N50" s="1144"/>
      <c r="O50" s="1144"/>
    </row>
    <row r="51" spans="1:17" s="691" customFormat="1">
      <c r="A51" s="687" t="s">
        <v>2761</v>
      </c>
      <c r="B51" s="688" t="e">
        <f>C43</f>
        <v>#DIV/0!</v>
      </c>
      <c r="C51" s="689">
        <v>1</v>
      </c>
      <c r="D51" s="1163">
        <v>1</v>
      </c>
      <c r="E51" s="689">
        <f>'数据-汇总表'!E8+'数据-汇总表'!E9</f>
        <v>25398.790000000005</v>
      </c>
      <c r="F51" s="690" t="e">
        <f t="shared" ref="F51:F60" si="15">ROUND(B51*E51/10000,0)</f>
        <v>#DIV/0!</v>
      </c>
      <c r="G51" s="3205"/>
      <c r="H51" s="3224"/>
      <c r="I51" s="942">
        <v>1</v>
      </c>
      <c r="J51" s="942">
        <v>1</v>
      </c>
      <c r="K51" s="1145"/>
      <c r="L51" s="941"/>
      <c r="M51" s="941"/>
      <c r="N51" s="941"/>
      <c r="O51" s="941"/>
    </row>
    <row r="52" spans="1:17" s="691" customFormat="1">
      <c r="A52" s="692" t="s">
        <v>2762</v>
      </c>
      <c r="B52" s="262" t="e">
        <f>ROUND($C$43*C52*D52,0)</f>
        <v>#DIV/0!</v>
      </c>
      <c r="C52" s="200">
        <f t="shared" ref="C52:C60" si="16">IF($C$50="北京市系数",I52,J52)</f>
        <v>0.6</v>
      </c>
      <c r="D52" s="1164">
        <v>0.25</v>
      </c>
      <c r="E52" s="693"/>
      <c r="F52" s="690" t="e">
        <f t="shared" si="15"/>
        <v>#DIV/0!</v>
      </c>
      <c r="G52" s="3255" t="s">
        <v>2763</v>
      </c>
      <c r="H52" s="1104" t="str">
        <f>项目基本情况!B37</f>
        <v>八级</v>
      </c>
      <c r="I52" s="942">
        <f>SUMIF(修正!A45:A56,H52,修正!B45:B56)</f>
        <v>0.6</v>
      </c>
      <c r="J52" s="943"/>
      <c r="K52" s="1144"/>
      <c r="L52" s="941"/>
      <c r="M52" s="941"/>
      <c r="N52" s="941"/>
      <c r="O52" s="941"/>
    </row>
    <row r="53" spans="1:17" s="691" customFormat="1">
      <c r="A53" s="692" t="s">
        <v>2764</v>
      </c>
      <c r="B53" s="262" t="e">
        <f t="shared" ref="B53:B60" si="17">ROUND($C$43*C53*D53,0)</f>
        <v>#DIV/0!</v>
      </c>
      <c r="C53" s="200">
        <f t="shared" si="16"/>
        <v>0.3</v>
      </c>
      <c r="D53" s="1164">
        <v>0.25</v>
      </c>
      <c r="E53" s="693"/>
      <c r="F53" s="690" t="e">
        <f t="shared" si="15"/>
        <v>#DIV/0!</v>
      </c>
      <c r="G53" s="3255"/>
      <c r="H53" s="1104" t="str">
        <f>项目基本情况!B37</f>
        <v>八级</v>
      </c>
      <c r="I53" s="942">
        <f>SUMIF(修正!A45:A56,H53,修正!C45:C56)</f>
        <v>0.3</v>
      </c>
      <c r="J53" s="943"/>
      <c r="K53" s="1145"/>
      <c r="L53" s="941"/>
      <c r="M53" s="941"/>
      <c r="N53" s="941"/>
      <c r="O53" s="941"/>
    </row>
    <row r="54" spans="1:17" s="691" customFormat="1">
      <c r="A54" s="692" t="s">
        <v>2765</v>
      </c>
      <c r="B54" s="262" t="e">
        <f t="shared" si="17"/>
        <v>#DIV/0!</v>
      </c>
      <c r="C54" s="200">
        <f t="shared" si="16"/>
        <v>0.2</v>
      </c>
      <c r="D54" s="1164">
        <v>0.25</v>
      </c>
      <c r="E54" s="693"/>
      <c r="F54" s="690" t="e">
        <f t="shared" si="15"/>
        <v>#DIV/0!</v>
      </c>
      <c r="G54" s="3255"/>
      <c r="H54" s="1104" t="str">
        <f>项目基本情况!B37</f>
        <v>八级</v>
      </c>
      <c r="I54" s="942">
        <f>SUMIF(修正!A45:A56,H54,修正!D45:D56)</f>
        <v>0.2</v>
      </c>
      <c r="J54" s="943"/>
      <c r="K54" s="1144"/>
      <c r="L54" s="941"/>
      <c r="M54" s="941"/>
      <c r="N54" s="941"/>
      <c r="O54" s="941"/>
    </row>
    <row r="55" spans="1:17" s="691" customFormat="1">
      <c r="A55" s="692" t="s">
        <v>2766</v>
      </c>
      <c r="B55" s="262" t="e">
        <f t="shared" si="17"/>
        <v>#DIV/0!</v>
      </c>
      <c r="C55" s="200">
        <f t="shared" si="16"/>
        <v>0.2</v>
      </c>
      <c r="D55" s="1164">
        <v>0.25</v>
      </c>
      <c r="E55" s="693"/>
      <c r="F55" s="690" t="e">
        <f t="shared" si="15"/>
        <v>#DIV/0!</v>
      </c>
      <c r="G55" s="3255"/>
      <c r="H55" s="1104" t="str">
        <f>项目基本情况!B37</f>
        <v>八级</v>
      </c>
      <c r="I55" s="942">
        <f>SUMIF(修正!A45:A56,H55,修正!E45:E56)</f>
        <v>0.2</v>
      </c>
      <c r="J55" s="943"/>
      <c r="K55" s="1145"/>
      <c r="L55" s="941"/>
      <c r="M55" s="941"/>
      <c r="N55" s="941"/>
      <c r="O55" s="941"/>
    </row>
    <row r="56" spans="1:17" s="691" customFormat="1">
      <c r="A56" s="692" t="s">
        <v>2767</v>
      </c>
      <c r="B56" s="262" t="e">
        <f t="shared" si="17"/>
        <v>#DIV/0!</v>
      </c>
      <c r="C56" s="200">
        <f t="shared" si="16"/>
        <v>0.2</v>
      </c>
      <c r="D56" s="1164">
        <v>0.25</v>
      </c>
      <c r="E56" s="261">
        <f>'数据-汇总表'!E11</f>
        <v>0</v>
      </c>
      <c r="F56" s="690" t="e">
        <f t="shared" si="15"/>
        <v>#DIV/0!</v>
      </c>
      <c r="G56" s="2704" t="s">
        <v>2768</v>
      </c>
      <c r="H56" s="1104" t="str">
        <f>项目基本情况!C37</f>
        <v>八级</v>
      </c>
      <c r="I56" s="942">
        <f>SUMIF(修正!A45:A56,H56,修正!F45:F56)</f>
        <v>0.2</v>
      </c>
      <c r="J56" s="943"/>
      <c r="K56" s="1144"/>
      <c r="L56" s="941"/>
      <c r="M56" s="941"/>
      <c r="N56" s="941"/>
      <c r="O56" s="941"/>
    </row>
    <row r="57" spans="1:17" s="691" customFormat="1">
      <c r="A57" s="692" t="s">
        <v>2769</v>
      </c>
      <c r="B57" s="262" t="e">
        <f t="shared" si="17"/>
        <v>#DIV/0!</v>
      </c>
      <c r="C57" s="200">
        <f t="shared" si="16"/>
        <v>0.2</v>
      </c>
      <c r="D57" s="1164">
        <v>0.25</v>
      </c>
      <c r="E57" s="261">
        <f>'数据-汇总表'!E12</f>
        <v>0</v>
      </c>
      <c r="F57" s="690" t="e">
        <f t="shared" si="15"/>
        <v>#DIV/0!</v>
      </c>
      <c r="G57" s="1109" t="s">
        <v>2770</v>
      </c>
      <c r="H57" s="1104" t="str">
        <f>IF(G57="商业",项目基本情况!B37,IF(G57="办公",项目基本情况!C37,IF(G57="住宅",项目基本情况!D37,项目基本情况!E37)))</f>
        <v>八级</v>
      </c>
      <c r="I57" s="942">
        <f>SUMIF(修正!A45:A56,H57,修正!G45:G56)</f>
        <v>0.2</v>
      </c>
      <c r="J57" s="943"/>
      <c r="K57" s="1145"/>
      <c r="L57" s="941"/>
      <c r="M57" s="941"/>
      <c r="N57" s="941"/>
      <c r="O57" s="941"/>
    </row>
    <row r="58" spans="1:17" s="691" customFormat="1">
      <c r="A58" s="692" t="s">
        <v>2771</v>
      </c>
      <c r="B58" s="262" t="e">
        <f t="shared" si="17"/>
        <v>#DIV/0!</v>
      </c>
      <c r="C58" s="200">
        <f t="shared" si="16"/>
        <v>0</v>
      </c>
      <c r="D58" s="1164">
        <v>0.25</v>
      </c>
      <c r="E58" s="261">
        <f>'数据-汇总表'!E13</f>
        <v>0</v>
      </c>
      <c r="F58" s="690" t="e">
        <f t="shared" si="15"/>
        <v>#DIV/0!</v>
      </c>
      <c r="G58" s="1109" t="s">
        <v>2772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1" customFormat="1">
      <c r="A59" s="692" t="s">
        <v>2773</v>
      </c>
      <c r="B59" s="262" t="e">
        <f t="shared" si="17"/>
        <v>#DIV/0!</v>
      </c>
      <c r="C59" s="200">
        <f t="shared" si="16"/>
        <v>0.15</v>
      </c>
      <c r="D59" s="1164">
        <v>0.25</v>
      </c>
      <c r="E59" s="261">
        <f>'数据-汇总表'!E14</f>
        <v>0</v>
      </c>
      <c r="F59" s="690" t="e">
        <f t="shared" si="15"/>
        <v>#DIV/0!</v>
      </c>
      <c r="G59" s="2704" t="s">
        <v>2763</v>
      </c>
      <c r="H59" s="1104" t="str">
        <f>项目基本情况!B37</f>
        <v>八级</v>
      </c>
      <c r="I59" s="942">
        <f>SUMIF(修正!A45:A56,H59,修正!H45:H56)</f>
        <v>0.15</v>
      </c>
      <c r="J59" s="943"/>
      <c r="K59" s="1145"/>
      <c r="L59" s="941"/>
      <c r="M59" s="941"/>
      <c r="N59" s="941"/>
      <c r="O59" s="941"/>
    </row>
    <row r="60" spans="1:17" s="691" customFormat="1" ht="15" thickBot="1">
      <c r="A60" s="692" t="s">
        <v>2774</v>
      </c>
      <c r="B60" s="262" t="e">
        <f t="shared" si="17"/>
        <v>#DIV/0!</v>
      </c>
      <c r="C60" s="200">
        <f t="shared" si="16"/>
        <v>0.15</v>
      </c>
      <c r="D60" s="1164">
        <v>0.25</v>
      </c>
      <c r="E60" s="261">
        <f>'数据-汇总表'!E15</f>
        <v>0</v>
      </c>
      <c r="F60" s="690" t="e">
        <f t="shared" si="15"/>
        <v>#DIV/0!</v>
      </c>
      <c r="G60" s="2705" t="s">
        <v>2768</v>
      </c>
      <c r="H60" s="1114" t="str">
        <f>项目基本情况!C37</f>
        <v>八级</v>
      </c>
      <c r="I60" s="942">
        <f>SUMIF(修正!A45:A56,H60,修正!H45:H56)</f>
        <v>0.15</v>
      </c>
      <c r="J60" s="943"/>
      <c r="K60" s="1144"/>
      <c r="L60" s="941"/>
      <c r="M60" s="941"/>
      <c r="N60" s="941"/>
      <c r="O60" s="941"/>
    </row>
    <row r="61" spans="1:17" s="691" customFormat="1" ht="15" thickBot="1">
      <c r="A61" s="694" t="s">
        <v>2775</v>
      </c>
      <c r="B61" s="695" t="s">
        <v>28</v>
      </c>
      <c r="C61" s="695" t="s">
        <v>29</v>
      </c>
      <c r="D61" s="695" t="s">
        <v>1029</v>
      </c>
      <c r="E61" s="695">
        <f>IF(B41="楼面地价",SUM(E51:E60),'数据-汇总表'!D3)</f>
        <v>0</v>
      </c>
      <c r="F61" s="696"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2018-8-1</v>
      </c>
      <c r="D63" s="758">
        <f>EDATE(C63,-3)</f>
        <v>43221</v>
      </c>
      <c r="E63" s="758">
        <f>EDATE(D63,-3)</f>
        <v>43132</v>
      </c>
      <c r="F63" s="758">
        <f t="shared" ref="F63:O63" si="18">EDATE(E63,-3)</f>
        <v>43040</v>
      </c>
      <c r="G63" s="758">
        <f t="shared" si="18"/>
        <v>42948</v>
      </c>
      <c r="H63" s="758">
        <f t="shared" si="18"/>
        <v>42856</v>
      </c>
      <c r="I63" s="758">
        <f t="shared" si="18"/>
        <v>42767</v>
      </c>
      <c r="J63" s="758">
        <f t="shared" si="18"/>
        <v>42675</v>
      </c>
      <c r="K63" s="758">
        <f t="shared" si="18"/>
        <v>42583</v>
      </c>
      <c r="L63" s="758">
        <f t="shared" si="18"/>
        <v>42491</v>
      </c>
      <c r="M63" s="758">
        <f t="shared" si="18"/>
        <v>42401</v>
      </c>
      <c r="N63" s="758">
        <f t="shared" si="18"/>
        <v>42309</v>
      </c>
      <c r="O63" s="758">
        <f t="shared" si="18"/>
        <v>42217</v>
      </c>
    </row>
    <row r="64" spans="1:17" ht="21.75" thickBot="1">
      <c r="A64" s="760" t="s">
        <v>2668</v>
      </c>
      <c r="B64" s="756"/>
      <c r="C64" s="761"/>
      <c r="D64" s="761"/>
      <c r="E64" s="761"/>
      <c r="F64" s="762"/>
      <c r="G64" s="762"/>
      <c r="H64" s="761"/>
      <c r="I64" s="761"/>
      <c r="J64" s="761"/>
      <c r="K64" s="763"/>
      <c r="L64" s="764"/>
      <c r="M64" s="761"/>
      <c r="N64" s="761"/>
      <c r="O64" s="1159"/>
      <c r="P64" s="503"/>
      <c r="Q64" s="504"/>
    </row>
    <row r="65" spans="1:17" s="508" customFormat="1" ht="15">
      <c r="A65" s="2706" t="s">
        <v>2776</v>
      </c>
      <c r="B65" s="1359"/>
      <c r="C65" s="1572" t="str">
        <f>YEAR(C63)&amp;"-"&amp;ROUNDUP(MONTH(C63)/3,0)</f>
        <v>2018-3</v>
      </c>
      <c r="D65" s="1572" t="str">
        <f t="shared" ref="D65:O65" si="19">YEAR(D63)&amp;"-"&amp;ROUNDUP(MONTH(D63)/3,0)</f>
        <v>2018-2</v>
      </c>
      <c r="E65" s="1572" t="str">
        <f t="shared" si="19"/>
        <v>2018-1</v>
      </c>
      <c r="F65" s="1572" t="str">
        <f t="shared" si="19"/>
        <v>2017-4</v>
      </c>
      <c r="G65" s="1572" t="str">
        <f t="shared" si="19"/>
        <v>2017-3</v>
      </c>
      <c r="H65" s="1572" t="str">
        <f t="shared" si="19"/>
        <v>2017-2</v>
      </c>
      <c r="I65" s="1572" t="str">
        <f t="shared" si="19"/>
        <v>2017-1</v>
      </c>
      <c r="J65" s="1572" t="str">
        <f t="shared" si="19"/>
        <v>2016-4</v>
      </c>
      <c r="K65" s="1572" t="str">
        <f t="shared" si="19"/>
        <v>2016-3</v>
      </c>
      <c r="L65" s="1572" t="str">
        <f t="shared" si="19"/>
        <v>2016-2</v>
      </c>
      <c r="M65" s="1572" t="str">
        <f t="shared" si="19"/>
        <v>2016-1</v>
      </c>
      <c r="N65" s="1572" t="str">
        <f t="shared" si="19"/>
        <v>2015-4</v>
      </c>
      <c r="O65" s="1572" t="str">
        <f t="shared" si="19"/>
        <v>2015-3</v>
      </c>
      <c r="P65" s="507"/>
    </row>
    <row r="66" spans="1:17" s="117" customFormat="1" ht="30.75" customHeight="1">
      <c r="A66" s="2711" t="s">
        <v>2796</v>
      </c>
      <c r="B66" s="332" t="str">
        <f>"北京市平均增长率"&amp;TEXT(基准地价修正!P24,"0.00%")</f>
        <v>北京市平均增长率1.41%</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8">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2699</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2779</v>
      </c>
      <c r="C87" s="573" t="s">
        <v>2592</v>
      </c>
      <c r="D87" s="573" t="s">
        <v>2593</v>
      </c>
      <c r="E87" s="573" t="s">
        <v>2594</v>
      </c>
      <c r="F87" s="573" t="s">
        <v>2595</v>
      </c>
      <c r="G87" s="573" t="s">
        <v>2596</v>
      </c>
      <c r="H87" s="578"/>
      <c r="I87" s="578"/>
      <c r="J87" s="578"/>
      <c r="K87" s="578"/>
      <c r="L87" s="697"/>
      <c r="M87" s="621"/>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2780</v>
      </c>
      <c r="C89" s="573" t="s">
        <v>2592</v>
      </c>
      <c r="D89" s="573" t="s">
        <v>2593</v>
      </c>
      <c r="E89" s="573" t="s">
        <v>2594</v>
      </c>
      <c r="F89" s="573" t="s">
        <v>2595</v>
      </c>
      <c r="G89" s="573" t="s">
        <v>2596</v>
      </c>
      <c r="H89" s="578"/>
      <c r="I89" s="578"/>
      <c r="J89" s="578"/>
      <c r="K89" s="578"/>
      <c r="L89" s="578"/>
      <c r="M89" s="621"/>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2797</v>
      </c>
      <c r="C93" s="659" t="s">
        <v>2669</v>
      </c>
      <c r="D93" s="659" t="s">
        <v>2670</v>
      </c>
      <c r="E93" s="659" t="s">
        <v>2671</v>
      </c>
      <c r="F93" s="659" t="s">
        <v>2672</v>
      </c>
      <c r="G93" s="659" t="s">
        <v>2673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4"/>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6"/>
      <c r="H106" s="676"/>
      <c r="I106" s="676"/>
      <c r="J106" s="676"/>
      <c r="K106" s="676"/>
      <c r="L106" s="676"/>
      <c r="M106" s="698"/>
      <c r="N106" s="1153"/>
      <c r="O106" s="1153"/>
      <c r="P106" s="558"/>
      <c r="Q106" s="559"/>
    </row>
    <row r="107" spans="1:17">
      <c r="A107" s="527" t="s">
        <v>2558</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9"/>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L7" sqref="L7"/>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2798</v>
      </c>
      <c r="B1" s="241"/>
      <c r="C1" s="245" t="s">
        <v>2799</v>
      </c>
      <c r="D1" s="388">
        <f>SUM(D29:D30,D33:D39)</f>
        <v>0</v>
      </c>
      <c r="E1" s="2712"/>
      <c r="F1" s="2712"/>
      <c r="G1" s="2712"/>
      <c r="H1" s="2712"/>
      <c r="I1" s="2712"/>
      <c r="J1" s="2712"/>
      <c r="K1" s="1370"/>
      <c r="L1" s="2713" t="s">
        <v>2800</v>
      </c>
      <c r="M1" s="1080">
        <f>SUMPRODUCT((区片价!B5:B9=I2)*(区片价!C3:F3=E2)*(区片价!C5:F9))</f>
        <v>0</v>
      </c>
      <c r="N1" s="1083">
        <f>SUMPRODUCT((因素修正幅度!B5:B9=I2)*(因素修正幅度!C3:F3=E2)*(因素修正幅度!C5:F9))</f>
        <v>0</v>
      </c>
      <c r="O1" s="2714"/>
      <c r="P1" s="2714"/>
      <c r="Q1" s="1370"/>
      <c r="R1" s="1602" t="s">
        <v>2801</v>
      </c>
      <c r="S1" s="1602" t="s">
        <v>2802</v>
      </c>
      <c r="T1" s="1602" t="s">
        <v>2803</v>
      </c>
      <c r="U1" s="1602" t="s">
        <v>2804</v>
      </c>
      <c r="V1" s="1602" t="s">
        <v>2805</v>
      </c>
      <c r="W1" s="1606"/>
      <c r="X1" s="1606"/>
      <c r="Y1" s="1606"/>
      <c r="Z1" s="1606"/>
      <c r="AA1" s="1606"/>
      <c r="AB1" s="1606"/>
      <c r="AC1" s="1607"/>
      <c r="AD1" s="1608"/>
      <c r="AE1" s="1608"/>
      <c r="AF1" s="1608"/>
      <c r="AG1" s="1608"/>
      <c r="AH1" s="1608"/>
      <c r="AI1" s="1608"/>
      <c r="AJ1" s="1609"/>
    </row>
    <row r="2" spans="1:36" ht="15.75">
      <c r="A2" s="245" t="s">
        <v>2806</v>
      </c>
      <c r="B2" s="248" t="e">
        <f>C26</f>
        <v>#DIV/0!</v>
      </c>
      <c r="C2" s="2716" t="s">
        <v>2807</v>
      </c>
      <c r="D2" s="2717" t="s">
        <v>2808</v>
      </c>
      <c r="E2" s="2718"/>
      <c r="F2" s="2717" t="s">
        <v>2809</v>
      </c>
      <c r="G2" s="2719">
        <f>IF(E2="商业",项目基本情况!B37,IF(E2="办公",项目基本情况!C37,IF(E2="住宅",项目基本情况!D37,项目基本情况!E37)))</f>
        <v>0</v>
      </c>
      <c r="H2" s="2717" t="s">
        <v>2810</v>
      </c>
      <c r="I2" s="2719">
        <f>IF(E2="商业",项目基本情况!B38,IF(E2="办公",项目基本情况!C38,IF(E2="住宅",项目基本情况!D38,项目基本情况!E38)))</f>
        <v>0</v>
      </c>
      <c r="J2" s="2720"/>
      <c r="K2" s="1370"/>
      <c r="L2" s="2721" t="s">
        <v>2811</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2812</v>
      </c>
      <c r="B3" s="248" t="e">
        <f>ROUND(B2*10000/D1,0)</f>
        <v>#DIV/0!</v>
      </c>
      <c r="C3" s="2716" t="s">
        <v>2813</v>
      </c>
      <c r="D3" s="2717" t="s">
        <v>2814</v>
      </c>
      <c r="E3" s="2722"/>
      <c r="F3" s="2723" t="s">
        <v>2815</v>
      </c>
      <c r="G3" s="913" t="e">
        <f>IF(F3="宗地容积率",'数据-汇总表'!I4,IF(F3="估价对象容积率",'数据-汇总表'!I6,'数据-汇总表'!I7))</f>
        <v>#DIV/0!</v>
      </c>
      <c r="H3" s="198" t="s">
        <v>2816</v>
      </c>
      <c r="I3" s="944"/>
      <c r="J3" s="2720" t="s">
        <v>2817</v>
      </c>
      <c r="K3" s="1370"/>
      <c r="L3" s="2721" t="s">
        <v>2818</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4"/>
      <c r="B4" s="3275"/>
      <c r="C4" s="3275"/>
      <c r="D4" s="3276"/>
      <c r="E4" s="3276"/>
      <c r="F4" s="3276"/>
      <c r="G4" s="3276"/>
      <c r="H4" s="3276"/>
      <c r="I4" s="3276"/>
      <c r="J4" s="3277"/>
      <c r="K4" s="1370"/>
      <c r="L4" s="2721" t="s">
        <v>2819</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3" customFormat="1" ht="15.75" thickBot="1">
      <c r="A5" s="2724" t="s">
        <v>807</v>
      </c>
      <c r="B5" s="2725" t="s">
        <v>2820</v>
      </c>
      <c r="C5" s="914" t="e">
        <f>ROUND(IF(E2="商业",IF(F16="增加",C6*C7+C16,C6*C7-C16),IF(E2="住宅",IF(F16="增加",C6*C12+C16,C6*C12-C16),IF(F16="增加",C6+C16,C6-C16))),0)</f>
        <v>#DIV/0!</v>
      </c>
      <c r="D5" s="1786">
        <f>ROUND(IF(E2="商业",IF(F16="增加",C6+C16,C6-C16)),0)</f>
        <v>0</v>
      </c>
      <c r="E5" s="2726"/>
      <c r="F5" s="2726"/>
      <c r="G5" s="2727"/>
      <c r="H5" s="2727"/>
      <c r="I5" s="2727"/>
      <c r="J5" s="2728"/>
      <c r="K5" s="2729"/>
      <c r="L5" s="2721" t="s">
        <v>2821</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0"/>
      <c r="AD5" s="2731"/>
      <c r="AE5" s="2731"/>
      <c r="AF5" s="2731"/>
      <c r="AG5" s="2731"/>
      <c r="AH5" s="2731"/>
      <c r="AI5" s="2731"/>
      <c r="AJ5" s="2732"/>
    </row>
    <row r="6" spans="1:36" ht="15.75" thickBot="1">
      <c r="A6" s="2734" t="s">
        <v>2822</v>
      </c>
      <c r="B6" s="2735" t="s">
        <v>2823</v>
      </c>
      <c r="C6" s="915">
        <f>SUMIF(L1:L12,G2,M1:M12)</f>
        <v>0</v>
      </c>
      <c r="D6" s="2736" t="s">
        <v>2824</v>
      </c>
      <c r="E6" s="2737"/>
      <c r="F6" s="2737"/>
      <c r="G6" s="2738"/>
      <c r="H6" s="2738"/>
      <c r="I6" s="2738"/>
      <c r="J6" s="2739"/>
      <c r="K6" s="1841"/>
      <c r="L6" s="2721" t="s">
        <v>2825</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0"/>
      <c r="AD6" s="2731"/>
      <c r="AE6" s="2731"/>
      <c r="AF6" s="2731"/>
      <c r="AG6" s="2731"/>
      <c r="AH6" s="2731"/>
      <c r="AI6" s="2731"/>
      <c r="AJ6" s="2732"/>
    </row>
    <row r="7" spans="1:36" ht="24">
      <c r="A7" s="3260" t="str">
        <f>IF(E2="商业",IF(C8="不临58条商业街","",2),"")</f>
        <v/>
      </c>
      <c r="B7" s="2740" t="s">
        <v>2826</v>
      </c>
      <c r="C7" s="916" t="e">
        <f>IF(C8="不临58条商业街",1,ROUND(1+(1.6*E8+1.2*E9+0.8*E10+0.4*E11)*C9,4))</f>
        <v>#DIV/0!</v>
      </c>
      <c r="D7" s="2741" t="s">
        <v>2827</v>
      </c>
      <c r="E7" s="945"/>
      <c r="F7" s="2742"/>
      <c r="G7" s="2743"/>
      <c r="H7" s="2743"/>
      <c r="I7" s="2743"/>
      <c r="J7" s="2744"/>
      <c r="K7" s="1841"/>
      <c r="L7" s="2721" t="s">
        <v>2828</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5" t="s">
        <v>2829</v>
      </c>
      <c r="X7" s="1604">
        <f>G2</f>
        <v>0</v>
      </c>
      <c r="Y7" s="1604" t="s">
        <v>2830</v>
      </c>
      <c r="Z7" s="1605" t="e">
        <f>G3</f>
        <v>#DIV/0!</v>
      </c>
      <c r="AA7" s="1606"/>
      <c r="AB7" s="1606"/>
      <c r="AC7" s="1607"/>
      <c r="AD7" s="1608"/>
      <c r="AE7" s="1608"/>
      <c r="AF7" s="1608"/>
      <c r="AG7" s="1608"/>
      <c r="AH7" s="1608"/>
      <c r="AI7" s="1608"/>
      <c r="AJ7" s="1609"/>
    </row>
    <row r="8" spans="1:36" ht="15">
      <c r="A8" s="3261"/>
      <c r="B8" s="198" t="s">
        <v>2831</v>
      </c>
      <c r="C8" s="2745"/>
      <c r="D8" s="917" t="s">
        <v>139</v>
      </c>
      <c r="E8" s="918" t="e">
        <f>ROUND(C11/E7,4)</f>
        <v>#DIV/0!</v>
      </c>
      <c r="F8" s="2746" t="s">
        <v>2832</v>
      </c>
      <c r="G8" s="2747"/>
      <c r="H8" s="2747"/>
      <c r="I8" s="2747"/>
      <c r="J8" s="2748"/>
      <c r="K8" s="1370"/>
      <c r="L8" s="2721" t="s">
        <v>2833</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1" t="s">
        <v>2834</v>
      </c>
      <c r="X8" s="3272"/>
      <c r="Y8" s="1610" t="s">
        <v>2835</v>
      </c>
      <c r="Z8" s="1610" t="s">
        <v>2836</v>
      </c>
      <c r="AA8" s="1610" t="s">
        <v>2837</v>
      </c>
      <c r="AB8" s="1610" t="s">
        <v>2838</v>
      </c>
      <c r="AC8" s="1610" t="s">
        <v>2839</v>
      </c>
      <c r="AD8" s="1610" t="s">
        <v>2840</v>
      </c>
      <c r="AE8" s="1610" t="s">
        <v>2841</v>
      </c>
      <c r="AF8" s="1610" t="s">
        <v>2842</v>
      </c>
      <c r="AG8" s="1610" t="s">
        <v>2843</v>
      </c>
      <c r="AH8" s="1610" t="s">
        <v>2844</v>
      </c>
      <c r="AI8" s="1610" t="s">
        <v>2845</v>
      </c>
      <c r="AJ8" s="1610" t="s">
        <v>2846</v>
      </c>
    </row>
    <row r="9" spans="1:36" ht="15">
      <c r="A9" s="3261"/>
      <c r="B9" s="198" t="s">
        <v>2847</v>
      </c>
      <c r="C9" s="919">
        <f>SUMIF(修正!C59:C119,C8,修正!E59:E119)</f>
        <v>0</v>
      </c>
      <c r="D9" s="200" t="s">
        <v>140</v>
      </c>
      <c r="E9" s="200" t="e">
        <f>ROUND(C11/E7,4)</f>
        <v>#DIV/0!</v>
      </c>
      <c r="F9" s="2746" t="s">
        <v>2848</v>
      </c>
      <c r="G9" s="2747"/>
      <c r="H9" s="2747"/>
      <c r="I9" s="2747"/>
      <c r="J9" s="2748"/>
      <c r="K9" s="1370"/>
      <c r="L9" s="2721" t="s">
        <v>2849</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3" t="s">
        <v>2850</v>
      </c>
      <c r="X9" s="1611" t="s">
        <v>2851</v>
      </c>
      <c r="Y9" s="1771"/>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1"/>
      <c r="B10" s="198" t="s">
        <v>2852</v>
      </c>
      <c r="C10" s="200">
        <f>SUMIF(修正!C59:C119,C8,修正!F59:F119)</f>
        <v>0</v>
      </c>
      <c r="D10" s="200" t="s">
        <v>141</v>
      </c>
      <c r="E10" s="200" t="e">
        <f>ROUND(C11/E7,4)</f>
        <v>#DIV/0!</v>
      </c>
      <c r="F10" s="2746" t="s">
        <v>2853</v>
      </c>
      <c r="G10" s="2747"/>
      <c r="H10" s="2747"/>
      <c r="I10" s="2747"/>
      <c r="J10" s="2748"/>
      <c r="K10" s="1370"/>
      <c r="L10" s="2721" t="s">
        <v>2854</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1"/>
      <c r="B11" s="2749" t="s">
        <v>2855</v>
      </c>
      <c r="C11" s="920">
        <f>C10/4</f>
        <v>0</v>
      </c>
      <c r="D11" s="920" t="s">
        <v>142</v>
      </c>
      <c r="E11" s="920" t="e">
        <f>ROUND(C11/E7,4)</f>
        <v>#DIV/0!</v>
      </c>
      <c r="F11" s="2750" t="s">
        <v>2856</v>
      </c>
      <c r="G11" s="2751"/>
      <c r="H11" s="2751"/>
      <c r="I11" s="2751"/>
      <c r="J11" s="2752"/>
      <c r="K11" s="1370"/>
      <c r="L11" s="2721" t="s">
        <v>2857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3" t="s">
        <v>2858</v>
      </c>
      <c r="X11" s="1614" t="s">
        <v>2859</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60" t="s">
        <v>2860</v>
      </c>
      <c r="B12" s="2753" t="s">
        <v>2861</v>
      </c>
      <c r="C12" s="916">
        <f>ROUND(C15*D15*E15*F15*G15*H15*I15*J15,4)</f>
        <v>1</v>
      </c>
      <c r="D12" s="2754" t="s">
        <v>2862</v>
      </c>
      <c r="E12" s="2755"/>
      <c r="F12" s="2755"/>
      <c r="G12" s="2756"/>
      <c r="H12" s="2756"/>
      <c r="I12" s="2756"/>
      <c r="J12" s="2757"/>
      <c r="K12" s="1370"/>
      <c r="L12" s="2758" t="s">
        <v>2863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3"/>
      <c r="X12" s="1616" t="s">
        <v>2864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8"/>
      <c r="B13" s="2759" t="s">
        <v>2865</v>
      </c>
      <c r="C13" s="2760" t="s">
        <v>2866</v>
      </c>
      <c r="D13" s="1807" t="s">
        <v>2867</v>
      </c>
      <c r="E13" s="1807" t="s">
        <v>2868</v>
      </c>
      <c r="F13" s="30" t="s">
        <v>2869</v>
      </c>
      <c r="G13" s="2761" t="s">
        <v>2870</v>
      </c>
      <c r="H13" s="2761" t="s">
        <v>2870</v>
      </c>
      <c r="I13" s="2761" t="s">
        <v>2870</v>
      </c>
      <c r="J13" s="2762" t="s">
        <v>2870</v>
      </c>
      <c r="K13" s="1370"/>
      <c r="L13" s="1370"/>
      <c r="M13" s="1370"/>
      <c r="N13" s="1370"/>
      <c r="O13" s="1370"/>
      <c r="P13" s="1370"/>
      <c r="Q13" s="1370"/>
      <c r="R13" s="1602">
        <v>12</v>
      </c>
      <c r="S13" s="1603"/>
      <c r="T13" s="1602" t="e">
        <f t="shared" si="0"/>
        <v>#DIV/0!</v>
      </c>
      <c r="U13" s="1603"/>
      <c r="V13" s="1602" t="e">
        <f t="shared" si="1"/>
        <v>#DIV/0!</v>
      </c>
      <c r="W13" s="3273"/>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78"/>
      <c r="B14" s="2763"/>
      <c r="C14" s="2764"/>
      <c r="D14" s="2765"/>
      <c r="E14" s="2765"/>
      <c r="F14" s="2766"/>
      <c r="G14" s="2767" t="s">
        <v>2871</v>
      </c>
      <c r="H14" s="2768"/>
      <c r="I14" s="2769"/>
      <c r="J14" s="2770"/>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9"/>
      <c r="B15" s="2771" t="s">
        <v>2872</v>
      </c>
      <c r="C15" s="229">
        <f>IF(C14="有",1.1,1)</f>
        <v>1</v>
      </c>
      <c r="D15" s="229">
        <f>IF(D14="有",1.1,1)</f>
        <v>1</v>
      </c>
      <c r="E15" s="229">
        <f>IF(E14="有",1.1,1)</f>
        <v>1</v>
      </c>
      <c r="F15" s="229">
        <f>IF(F14="500米范围内",1.2,IF(F14="500-1000米",1.1,1))</f>
        <v>1</v>
      </c>
      <c r="G15" s="946">
        <v>1</v>
      </c>
      <c r="H15" s="946">
        <v>1</v>
      </c>
      <c r="I15" s="946">
        <v>1</v>
      </c>
      <c r="J15" s="947">
        <v>1</v>
      </c>
      <c r="K15" s="1370"/>
      <c r="L15" s="2772" t="s">
        <v>2808</v>
      </c>
      <c r="M15" s="917" t="s">
        <v>2873</v>
      </c>
      <c r="N15" s="917" t="s">
        <v>2874</v>
      </c>
      <c r="O15" s="917" t="s">
        <v>2875</v>
      </c>
      <c r="P15" s="2773" t="s">
        <v>2876</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60" t="s">
        <v>2877</v>
      </c>
      <c r="B16" s="2740" t="s">
        <v>2878</v>
      </c>
      <c r="C16" s="1800" t="e">
        <f>ROUND(SUM(G17:J17)/C17,0)</f>
        <v>#DIV/0!</v>
      </c>
      <c r="D16" s="2774" t="s">
        <v>2879</v>
      </c>
      <c r="E16" s="2775"/>
      <c r="F16" s="2776"/>
      <c r="G16" s="2777"/>
      <c r="H16" s="2777"/>
      <c r="I16" s="2777"/>
      <c r="J16" s="2778"/>
      <c r="K16" s="1370"/>
      <c r="L16" s="2779" t="s">
        <v>2880</v>
      </c>
      <c r="M16" s="919">
        <v>0.25</v>
      </c>
      <c r="N16" s="919">
        <v>0.2</v>
      </c>
      <c r="O16" s="919">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1"/>
      <c r="B17" s="2780" t="s">
        <v>2881</v>
      </c>
      <c r="C17" s="921">
        <f>SUMPRODUCT((修正!A2:A5=E2)*(修正!B1:M1=G2)*(修正!B2:M5))</f>
        <v>0</v>
      </c>
      <c r="D17" s="2781" t="s">
        <v>2882</v>
      </c>
      <c r="E17" s="920" t="str">
        <f>IF(OR(G2="八级",G2="九级",G2="十级",G2="十一级",G2="十二级"),"五通一平","七通一平")</f>
        <v>七通一平</v>
      </c>
      <c r="F17" s="921" t="s">
        <v>2883</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2" t="s">
        <v>2884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2885</v>
      </c>
      <c r="C18" s="923">
        <f>SUMIF(修正!C18:C39,E3,修正!E18:E39)</f>
        <v>0</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7.75" thickBot="1">
      <c r="A19" s="2784" t="s">
        <v>809</v>
      </c>
      <c r="B19" s="2785" t="s">
        <v>2886</v>
      </c>
      <c r="C19" s="924" t="e">
        <f>ROUND(IF(H19="按公示增长率计算",SUMPRODUCT((地价!A3:A23=YEAR(G19)&amp;"-"&amp;ROUNDUP(MONTH(G19)/3,0))*(地价!X2:AB2=E2)*(地价!X3:AB23)),IF(H19="地价指数",M20/M19,(1+I19)^O19)),4)</f>
        <v>#DIV/0!</v>
      </c>
      <c r="D19" s="2792" t="s">
        <v>2887</v>
      </c>
      <c r="E19" s="925">
        <v>41640</v>
      </c>
      <c r="F19" s="2792" t="s">
        <v>2888</v>
      </c>
      <c r="G19" s="926">
        <f>'数据-取费表'!B2</f>
        <v>43335</v>
      </c>
      <c r="H19" s="2793" t="s">
        <v>2889</v>
      </c>
      <c r="I19" s="927" t="str">
        <f>IF(H19="季度增幅（自定义）",SUMIF(N21:N24,E2,O21:O24),"")</f>
        <v/>
      </c>
      <c r="J19" s="2790"/>
      <c r="K19" s="1377"/>
      <c r="L19" s="2794" t="s">
        <v>2890</v>
      </c>
      <c r="M19" s="1734">
        <f>ROUND(SUMIF(地价!B2:F2,E2,地价!B23:F23),0)</f>
        <v>0</v>
      </c>
      <c r="N19" s="2795" t="s">
        <v>2891</v>
      </c>
      <c r="O19" s="928">
        <f>ROUNDDOWN(DATEDIF(E19,G19,"M")/3,0)</f>
        <v>18</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2892</v>
      </c>
      <c r="C20" s="929" t="e">
        <f>ROUND(POWER(1+G20,J20-I20)*(POWER(1+G20,I20)-1)/(POWER(1+G20,J20)-1),4)</f>
        <v>#DIV/0!</v>
      </c>
      <c r="D20" s="2801" t="s">
        <v>2893</v>
      </c>
      <c r="E20" s="1768">
        <f ca="1">存贷款利率!D4/100</f>
        <v>4.3499999999999997E-2</v>
      </c>
      <c r="F20" s="2801" t="s">
        <v>2884</v>
      </c>
      <c r="G20" s="934">
        <f>SUMIF(M15:P15,E2,M17:P17)</f>
        <v>0</v>
      </c>
      <c r="H20" s="2801" t="s">
        <v>2894</v>
      </c>
      <c r="I20" s="935" t="e">
        <f>SUMIF('数据-取费表'!C6:C15,E2,'数据-取费表'!F6:F15)/COUNTIF('数据-取费表'!C6:C15,E2)</f>
        <v>#DIV/0!</v>
      </c>
      <c r="J20" s="936">
        <f>IF(E2="住宅",70,IF(E2="商业",40,50))</f>
        <v>50</v>
      </c>
      <c r="K20" s="1377"/>
      <c r="L20" s="2802" t="s">
        <v>2895</v>
      </c>
      <c r="M20" s="1735">
        <f>ROUND(SUMPRODUCT((地价!A4:A23=YEAR(G19)&amp;"-"&amp;ROUNDUP(MONTH(G19)/3,0))*(地价!B2:F2=E2)*(地价!B4:F23)),0)</f>
        <v>0</v>
      </c>
      <c r="N20" s="2803" t="s">
        <v>2896</v>
      </c>
      <c r="O20" s="2804" t="s">
        <v>2897</v>
      </c>
      <c r="P20" s="2805" t="s">
        <v>2898</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2899</v>
      </c>
      <c r="C21" s="937" t="e">
        <f>IF(B21="容积率修正",IF(G3&lt;=10,D22,J22),C23)</f>
        <v>#DIV/0!</v>
      </c>
      <c r="D21" s="2808"/>
      <c r="E21" s="2808"/>
      <c r="F21" s="2808"/>
      <c r="G21" s="2808"/>
      <c r="H21" s="2808"/>
      <c r="I21" s="2808"/>
      <c r="J21" s="2809"/>
      <c r="K21" s="1377"/>
      <c r="N21" s="2810" t="s">
        <v>2900</v>
      </c>
      <c r="O21" s="1561"/>
      <c r="P21" s="1562">
        <f>SUMPRODUCT((地价!A3:A23=YEAR(G19)&amp;"-"&amp;ROUNDUP(MONTH(G19)/3,0))*(地价!AD2:AH2=N21)*(地价!AD3:AH23))</f>
        <v>1.54E-2</v>
      </c>
      <c r="R21" s="1376"/>
      <c r="S21" s="1376"/>
      <c r="T21" s="1371"/>
      <c r="U21" s="1371"/>
      <c r="V21" s="1371"/>
      <c r="W21" s="1370"/>
      <c r="X21" s="1370"/>
      <c r="Y21" s="1370"/>
      <c r="Z21" s="1377"/>
      <c r="AA21" s="1378"/>
      <c r="AB21" s="1378"/>
      <c r="AC21" s="1378"/>
      <c r="AD21" s="1378"/>
      <c r="AE21" s="1378"/>
      <c r="AF21" s="1378"/>
    </row>
    <row r="22" spans="1:37" s="2733" customFormat="1" ht="14.25">
      <c r="A22" s="2659" t="s">
        <v>2901</v>
      </c>
      <c r="B22" s="2811" t="s">
        <v>2902</v>
      </c>
      <c r="C22" s="1809" t="s">
        <v>2903</v>
      </c>
      <c r="D22" s="1809" t="e">
        <f>IF(E22=G22,F22,IF(G3&lt;=10,ROUND(F22+(H22-F22)*(G3-E22)/(G22-E22),4),"——"))</f>
        <v>#DIV/0!</v>
      </c>
      <c r="E22" s="913"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8" t="e">
        <f>IF(G3&gt;10,D113,"——")</f>
        <v>#DIV/0!</v>
      </c>
      <c r="K22" s="1377"/>
      <c r="N22" s="2810" t="s">
        <v>2904</v>
      </c>
      <c r="O22" s="1561"/>
      <c r="P22" s="1562">
        <f>SUMPRODUCT((地价!A3:A23=YEAR(G19)&amp;"-"&amp;ROUNDUP(MONTH(G19)/3,0))*(地价!AD2:AH2=N22)*(地价!AD3:AH23))</f>
        <v>1.54E-2</v>
      </c>
      <c r="R22" s="1376"/>
      <c r="S22" s="1376"/>
      <c r="T22" s="1371"/>
      <c r="U22" s="1371"/>
      <c r="V22" s="1371"/>
      <c r="W22" s="1370"/>
      <c r="X22" s="1370"/>
      <c r="Y22" s="1370"/>
      <c r="Z22" s="1377"/>
      <c r="AA22" s="1378"/>
      <c r="AB22" s="1378"/>
      <c r="AC22" s="1378"/>
      <c r="AD22" s="1378"/>
      <c r="AE22" s="1378"/>
      <c r="AF22" s="1378"/>
    </row>
    <row r="23" spans="1:37" ht="27.75" thickBot="1">
      <c r="A23" s="2659" t="s">
        <v>2905</v>
      </c>
      <c r="B23" s="2812" t="s">
        <v>2906</v>
      </c>
      <c r="C23" s="1013" t="e">
        <f>ROUND(IF(G3&gt;1,IF(I3&lt;7,SUMPRODUCT((B93:B98=I3)*(C92:N92=G2)*(C93:N98)),SUMIF(C92:N92,G2,C100:N100)),IF(I3&lt;7,SUMPRODUCT((B102:B107=I3)*(C92:N92=G2)*(C102:N107)),SUMIF(C92:N92,G2,C109:N109))),4)</f>
        <v>#DIV/0!</v>
      </c>
      <c r="D23" s="2768"/>
      <c r="E23" s="2768"/>
      <c r="F23" s="2813"/>
      <c r="G23" s="2814"/>
      <c r="H23" s="2815"/>
      <c r="I23" s="2816"/>
      <c r="J23" s="2817"/>
      <c r="K23" s="1370"/>
      <c r="N23" s="2810" t="s">
        <v>2907</v>
      </c>
      <c r="O23" s="1561"/>
      <c r="P23" s="1562">
        <f>SUMPRODUCT((地价!A3:A23=YEAR(G19)&amp;"-"&amp;ROUNDUP(MONTH(G19)/3,0))*(地价!AD2:AH2=N23)*(地价!AD3:AH23))</f>
        <v>2.4500000000000001E-2</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2908</v>
      </c>
      <c r="C24" s="924">
        <f>SUMIF(A45:A88,E2,B45:B88)</f>
        <v>0</v>
      </c>
      <c r="D24" s="2788"/>
      <c r="E24" s="2818"/>
      <c r="F24" s="2818"/>
      <c r="G24" s="2818"/>
      <c r="H24" s="2818"/>
      <c r="I24" s="2818"/>
      <c r="J24" s="2819"/>
      <c r="K24" s="1377"/>
      <c r="N24" s="2820" t="s">
        <v>2909</v>
      </c>
      <c r="O24" s="1563"/>
      <c r="P24" s="1564">
        <f>SUMPRODUCT((地价!A3:A23=YEAR(G19)&amp;"-"&amp;ROUNDUP(MONTH(G19)/3,0))*(地价!AD2:AH2=N24)*(地价!AD3:AH23))</f>
        <v>1.41E-2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2910</v>
      </c>
      <c r="C25" s="930"/>
      <c r="D25" s="2743"/>
      <c r="E25" s="2743"/>
      <c r="F25" s="2822"/>
      <c r="G25" s="2743"/>
      <c r="H25" s="2743"/>
      <c r="I25" s="2743"/>
      <c r="J25" s="2744"/>
      <c r="K25" s="1370"/>
      <c r="N25" s="2823" t="s">
        <v>2911</v>
      </c>
      <c r="O25" s="1565"/>
      <c r="P25" s="1564">
        <f>SUMPRODUCT((地价!A3:A23=YEAR(G19)&amp;"-"&amp;ROUNDUP(MONTH(G19)/3,0))*(地价!AD2:AH2=N25)*(地价!AD3:AH23))</f>
        <v>2.23E-2</v>
      </c>
      <c r="R25" s="1376"/>
      <c r="S25" s="1376"/>
      <c r="T25" s="1371"/>
      <c r="U25" s="1371"/>
      <c r="V25" s="1371"/>
      <c r="W25" s="1370"/>
      <c r="X25" s="1370"/>
      <c r="Y25" s="1370"/>
      <c r="Z25" s="1377"/>
      <c r="AA25" s="1378"/>
      <c r="AB25" s="1378"/>
      <c r="AC25" s="1378"/>
      <c r="AD25" s="1378"/>
    </row>
    <row r="26" spans="1:37" ht="15">
      <c r="A26" s="2824"/>
      <c r="B26" s="2811" t="s">
        <v>2912</v>
      </c>
      <c r="C26" s="206" t="e">
        <f>E29+SUM(E33:E39)</f>
        <v>#DIV/0!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2913</v>
      </c>
      <c r="C27" s="931" t="e">
        <f>E30+SUM(I33:I39)</f>
        <v>#DIV/0!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2914</v>
      </c>
      <c r="C28" s="2835" t="s">
        <v>2915</v>
      </c>
      <c r="D28" s="2835" t="s">
        <v>2916</v>
      </c>
      <c r="E28" s="2836" t="s">
        <v>2917</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2918</v>
      </c>
      <c r="C29" s="206" t="e">
        <f>ROUND(C5*C18*C19*C20*C21*C24,0)</f>
        <v>#DIV/0!</v>
      </c>
      <c r="D29" s="2840"/>
      <c r="E29" s="942" t="e">
        <f>ROUND(C29*D29/10000,0)</f>
        <v>#DIV/0!</v>
      </c>
      <c r="F29" s="2841" t="s">
        <v>2919</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2920</v>
      </c>
      <c r="C30" s="229" t="e">
        <f>ROUND(IF(E2="工业",C29*M39,C29*M38),0)</f>
        <v>#DIV/0!</v>
      </c>
      <c r="D30" s="2846"/>
      <c r="E30" s="942" t="e">
        <f>ROUND(C30*D30/10000,0)</f>
        <v>#DIV/0!</v>
      </c>
      <c r="F30" s="2847" t="s">
        <v>2921</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2922</v>
      </c>
      <c r="C31" s="2852" t="s">
        <v>2923</v>
      </c>
      <c r="D31" s="2756"/>
      <c r="E31" s="2852"/>
      <c r="F31" s="2852"/>
      <c r="G31" s="2754" t="s">
        <v>2924</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2915</v>
      </c>
      <c r="D32" s="498" t="s">
        <v>2916</v>
      </c>
      <c r="E32" s="498" t="s">
        <v>2917</v>
      </c>
      <c r="F32" s="388" t="s">
        <v>2925</v>
      </c>
      <c r="G32" s="2855" t="s">
        <v>2915</v>
      </c>
      <c r="H32" s="2855" t="s">
        <v>2916</v>
      </c>
      <c r="I32" s="2855"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268" t="s">
        <v>2926</v>
      </c>
      <c r="B33" s="2856" t="s">
        <v>2927</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9"/>
      <c r="B34" s="2760" t="s">
        <v>2928</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9"/>
      <c r="B35" s="2760" t="s">
        <v>2929</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70"/>
      <c r="L35" s="1370"/>
      <c r="M35" s="1370"/>
      <c r="N35" s="1370"/>
      <c r="O35" s="1370"/>
      <c r="P35" s="1370"/>
      <c r="Q35" s="1370"/>
      <c r="R35" s="1370"/>
      <c r="S35" s="1370"/>
      <c r="T35" s="1370"/>
      <c r="U35" s="1370"/>
      <c r="V35" s="1370"/>
      <c r="W35" s="1370"/>
      <c r="X35" s="1370"/>
      <c r="Y35" s="1370"/>
      <c r="Z35" s="1371"/>
    </row>
    <row r="36" spans="1:37" ht="13.5" thickBot="1">
      <c r="A36" s="3270"/>
      <c r="B36" s="2760" t="s">
        <v>2930</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2931</v>
      </c>
      <c r="C37" s="200" t="e">
        <f>ROUND(C5*C19*C20*C24*F37,0)</f>
        <v>#DIV/0!</v>
      </c>
      <c r="D37" s="2840"/>
      <c r="E37" s="200" t="e">
        <f t="shared" si="7"/>
        <v>#DIV/0!</v>
      </c>
      <c r="F37" s="206">
        <f>SUMIF(修正!A45:A56,G2,修正!F45:F56)</f>
        <v>0</v>
      </c>
      <c r="G37" s="200" t="e">
        <f>ROUND(IF(E2="工业",C37*$M$39,C37*$M$38),0)</f>
        <v>#DIV/0!</v>
      </c>
      <c r="H37" s="200">
        <f t="shared" si="8"/>
        <v>0</v>
      </c>
      <c r="I37" s="200" t="e">
        <f t="shared" si="9"/>
        <v>#DIV/0!</v>
      </c>
      <c r="J37" s="2857"/>
      <c r="K37" s="1370"/>
      <c r="L37" s="2859" t="s">
        <v>2932</v>
      </c>
      <c r="M37" s="2860"/>
      <c r="N37" s="1370"/>
      <c r="O37" s="1370"/>
      <c r="P37" s="1370"/>
      <c r="Q37" s="1370"/>
      <c r="R37" s="1370"/>
      <c r="S37" s="1370"/>
      <c r="T37" s="1370"/>
      <c r="U37" s="1370"/>
      <c r="V37" s="1370"/>
      <c r="W37" s="1370"/>
      <c r="X37" s="1370"/>
      <c r="Y37" s="1370"/>
      <c r="Z37" s="1371"/>
    </row>
    <row r="38" spans="1:37">
      <c r="A38" s="2858"/>
      <c r="B38" s="2760" t="s">
        <v>2933</v>
      </c>
      <c r="C38" s="200" t="e">
        <f>ROUND(C5*C19*C20*C24*F38,0)</f>
        <v>#DIV/0!</v>
      </c>
      <c r="D38" s="2840"/>
      <c r="E38" s="200" t="e">
        <f t="shared" si="7"/>
        <v>#DIV/0!</v>
      </c>
      <c r="F38" s="206">
        <f>SUMIF(修正!A45:A56,G2,修正!G45:G56)</f>
        <v>0</v>
      </c>
      <c r="G38" s="200" t="e">
        <f>ROUND(IF(E2="工业",C38*$M$39,C38*$M$38),0)</f>
        <v>#DIV/0!</v>
      </c>
      <c r="H38" s="200">
        <f t="shared" si="8"/>
        <v>0</v>
      </c>
      <c r="I38" s="200" t="e">
        <f t="shared" si="9"/>
        <v>#DIV/0!</v>
      </c>
      <c r="J38" s="2857"/>
      <c r="K38" s="1370"/>
      <c r="L38" s="1886" t="s">
        <v>2934</v>
      </c>
      <c r="M38" s="2861">
        <v>0.25</v>
      </c>
      <c r="N38" s="1370"/>
      <c r="O38" s="1370"/>
      <c r="P38" s="1370"/>
      <c r="Q38" s="1370"/>
      <c r="R38" s="1370"/>
      <c r="S38" s="1370"/>
      <c r="T38" s="1370"/>
      <c r="U38" s="1370"/>
      <c r="V38" s="1370"/>
      <c r="W38" s="1370"/>
      <c r="X38" s="1370"/>
      <c r="Y38" s="1370"/>
      <c r="Z38" s="1371"/>
    </row>
    <row r="39" spans="1:37" ht="13.5" thickBot="1">
      <c r="A39" s="2844"/>
      <c r="B39" s="2862" t="s">
        <v>2935</v>
      </c>
      <c r="C39" s="229" t="e">
        <f>ROUND(C5*C19*C20*C24*F39,0)</f>
        <v>#DIV/0!</v>
      </c>
      <c r="D39" s="2846"/>
      <c r="E39" s="229" t="e">
        <f t="shared" si="7"/>
        <v>#DIV/0!</v>
      </c>
      <c r="F39" s="932">
        <f>SUMIF(修正!A45:A56,G2,修正!H45:H56)</f>
        <v>0</v>
      </c>
      <c r="G39" s="229" t="e">
        <f>ROUND(IF(E2="工业",C39*$M$39,C39*$M$38),0)</f>
        <v>#DIV/0!</v>
      </c>
      <c r="H39" s="229">
        <f t="shared" si="8"/>
        <v>0</v>
      </c>
      <c r="I39" s="229" t="e">
        <f t="shared" si="9"/>
        <v>#DIV/0!</v>
      </c>
      <c r="J39" s="2863"/>
      <c r="K39" s="1370"/>
      <c r="L39" s="2864" t="s">
        <v>2876</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2936</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2937</v>
      </c>
      <c r="B46" s="2870">
        <f>1+E48</f>
        <v>1</v>
      </c>
      <c r="C46" s="2871"/>
      <c r="D46" s="811"/>
      <c r="E46" s="812"/>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2938</v>
      </c>
      <c r="B47" s="1808" t="s">
        <v>2939</v>
      </c>
      <c r="C47" s="1808" t="s">
        <v>2940</v>
      </c>
      <c r="D47" s="1808" t="s">
        <v>2941</v>
      </c>
      <c r="E47" s="816" t="s">
        <v>2942</v>
      </c>
      <c r="F47" s="2874" t="s">
        <v>2943</v>
      </c>
      <c r="G47" s="1808" t="s">
        <v>754</v>
      </c>
      <c r="H47" s="2875" t="s">
        <v>2944</v>
      </c>
      <c r="I47" s="1808" t="s">
        <v>2945</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51">
      <c r="A48" s="2873" t="s">
        <v>2946</v>
      </c>
      <c r="B48" s="2876" t="str">
        <f>估价对象房地状况!C4</f>
        <v>估价对象位于通州区马驹桥镇物流产业园周围，周边商业氛围较差，人流量一般，商业繁华度一般</v>
      </c>
      <c r="C48" s="2765"/>
      <c r="D48" s="1286">
        <f t="shared" ref="D48:D56" si="10">SUMIF($J$47:$N$47,C48,J48:N48)</f>
        <v>0</v>
      </c>
      <c r="E48" s="818">
        <f>ROUND(SUM(D48:D56),4)</f>
        <v>0</v>
      </c>
      <c r="F48" s="2497"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2947</v>
      </c>
      <c r="B49" s="2877" t="str">
        <f>估价对象房地状况!C18</f>
        <v>估价对象周边道路状况、公共交通通达情况、停车便捷程度，综合评价交通便捷度较好</v>
      </c>
      <c r="C49" s="2765"/>
      <c r="D49" s="1286">
        <f t="shared" si="10"/>
        <v>0</v>
      </c>
      <c r="E49" s="819"/>
      <c r="F49" s="2497"/>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2948</v>
      </c>
      <c r="B50" s="2877">
        <f>估价对象房地状况!C19</f>
        <v>0</v>
      </c>
      <c r="C50" s="2765"/>
      <c r="D50" s="1286">
        <f t="shared" si="10"/>
        <v>0</v>
      </c>
      <c r="E50" s="819"/>
      <c r="F50" s="2497"/>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2949</v>
      </c>
      <c r="B51" s="2878" t="s">
        <v>2950</v>
      </c>
      <c r="C51" s="2765"/>
      <c r="D51" s="1286">
        <f t="shared" si="10"/>
        <v>0</v>
      </c>
      <c r="E51" s="819"/>
      <c r="F51" s="2497"/>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2951</v>
      </c>
      <c r="B52" s="2877" t="str">
        <f>估价对象房地状况!C24</f>
        <v>城市快速路——南六环路</v>
      </c>
      <c r="C52" s="2765"/>
      <c r="D52" s="1286">
        <f t="shared" si="10"/>
        <v>0</v>
      </c>
      <c r="E52" s="819"/>
      <c r="F52" s="2497"/>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2952</v>
      </c>
      <c r="B53" s="2879" t="s">
        <v>2953</v>
      </c>
      <c r="C53" s="2765"/>
      <c r="D53" s="1286">
        <f t="shared" si="10"/>
        <v>0</v>
      </c>
      <c r="E53" s="819"/>
      <c r="F53" s="2497"/>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2954</v>
      </c>
      <c r="B54" s="1725" t="str">
        <f>估价对象房地状况!C21</f>
        <v>估价对象所在区域公共配套设施齐备情况较好</v>
      </c>
      <c r="C54" s="2765"/>
      <c r="D54" s="1286">
        <f t="shared" si="10"/>
        <v>0</v>
      </c>
      <c r="E54" s="819"/>
      <c r="F54" s="2497"/>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2955</v>
      </c>
      <c r="B55" s="2877" t="str">
        <f>估价对象房地状况!C22</f>
        <v>估价对象所在区域基础设施水平七通</v>
      </c>
      <c r="C55" s="2765"/>
      <c r="D55" s="1286">
        <f t="shared" si="10"/>
        <v>0</v>
      </c>
      <c r="E55" s="819"/>
      <c r="F55" s="2497"/>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1" t="s">
        <v>2956</v>
      </c>
      <c r="B56" s="2882" t="str">
        <f>估价对象房地状况!C20</f>
        <v>区域自然环境：凉水河；人文环境：无高等院校等；综合评价环境状况一般</v>
      </c>
      <c r="C56" s="2765"/>
      <c r="D56" s="1286">
        <f t="shared" si="10"/>
        <v>0</v>
      </c>
      <c r="E56" s="822"/>
      <c r="F56" s="2497"/>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2957</v>
      </c>
      <c r="B57" s="2870">
        <f>1+E59</f>
        <v>1</v>
      </c>
      <c r="C57" s="811"/>
      <c r="D57" s="811"/>
      <c r="E57" s="812"/>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2938</v>
      </c>
      <c r="B58" s="1808"/>
      <c r="C58" s="1808" t="s">
        <v>2940</v>
      </c>
      <c r="D58" s="1808" t="s">
        <v>2941</v>
      </c>
      <c r="E58" s="816" t="s">
        <v>2942</v>
      </c>
      <c r="F58" s="2874" t="s">
        <v>2958</v>
      </c>
      <c r="G58" s="1808" t="s">
        <v>754</v>
      </c>
      <c r="H58" s="2875" t="s">
        <v>2944</v>
      </c>
      <c r="I58" s="1808" t="s">
        <v>2945</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38.25">
      <c r="A59" s="2873" t="s">
        <v>2959</v>
      </c>
      <c r="B59" s="2876" t="str">
        <f>估价对象房地状况!C17</f>
        <v>估价对象位于通州区马驹桥镇物流产业园周围，周边办公集聚程度一般</v>
      </c>
      <c r="C59" s="2765"/>
      <c r="D59" s="1286">
        <f t="shared" ref="D59:D67" si="15">SUMIF($J$58:$N$58,C59,J59:N59)</f>
        <v>0</v>
      </c>
      <c r="E59" s="818">
        <f>ROUND(SUM(D59:D67),4)</f>
        <v>0</v>
      </c>
      <c r="F59" s="2497"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3" t="s">
        <v>2947</v>
      </c>
      <c r="B60" s="2877" t="str">
        <f>估价对象房地状况!C18</f>
        <v>估价对象周边道路状况、公共交通通达情况、停车便捷程度，综合评价交通便捷度较好</v>
      </c>
      <c r="C60" s="2765"/>
      <c r="D60" s="1286">
        <f t="shared" si="15"/>
        <v>0</v>
      </c>
      <c r="E60" s="819"/>
      <c r="F60" s="2497"/>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2948</v>
      </c>
      <c r="B61" s="2877">
        <f>估价对象房地状况!C19</f>
        <v>0</v>
      </c>
      <c r="C61" s="2765"/>
      <c r="D61" s="1286">
        <f t="shared" si="15"/>
        <v>0</v>
      </c>
      <c r="E61" s="819"/>
      <c r="F61" s="2497"/>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2949</v>
      </c>
      <c r="B62" s="2878" t="s">
        <v>2950</v>
      </c>
      <c r="C62" s="2765"/>
      <c r="D62" s="1286">
        <f t="shared" si="15"/>
        <v>0</v>
      </c>
      <c r="E62" s="819"/>
      <c r="F62" s="2497"/>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2951</v>
      </c>
      <c r="B63" s="2877" t="str">
        <f>估价对象房地状况!C24</f>
        <v>城市快速路——南六环路</v>
      </c>
      <c r="C63" s="2765"/>
      <c r="D63" s="1286">
        <f t="shared" si="15"/>
        <v>0</v>
      </c>
      <c r="E63" s="819"/>
      <c r="F63" s="2497"/>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2952</v>
      </c>
      <c r="B64" s="2879" t="s">
        <v>2953</v>
      </c>
      <c r="C64" s="2765"/>
      <c r="D64" s="1286">
        <f t="shared" si="15"/>
        <v>0</v>
      </c>
      <c r="E64" s="819"/>
      <c r="F64" s="2497"/>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3" t="s">
        <v>2954</v>
      </c>
      <c r="B65" s="1725" t="str">
        <f>估价对象房地状况!C21</f>
        <v>估价对象所在区域公共配套设施齐备情况较好</v>
      </c>
      <c r="C65" s="2765"/>
      <c r="D65" s="1286">
        <f t="shared" si="15"/>
        <v>0</v>
      </c>
      <c r="E65" s="819"/>
      <c r="F65" s="2497"/>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3" t="s">
        <v>2955</v>
      </c>
      <c r="B66" s="1725" t="str">
        <f>估价对象房地状况!C22</f>
        <v>估价对象所在区域基础设施水平七通</v>
      </c>
      <c r="C66" s="2765"/>
      <c r="D66" s="1286">
        <f t="shared" si="15"/>
        <v>0</v>
      </c>
      <c r="E66" s="819"/>
      <c r="F66" s="2497"/>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81" t="s">
        <v>2956</v>
      </c>
      <c r="B67" s="2883" t="str">
        <f>估价对象房地状况!C20</f>
        <v>区域自然环境：凉水河；人文环境：无高等院校等；综合评价环境状况一般</v>
      </c>
      <c r="C67" s="2765"/>
      <c r="D67" s="1286">
        <f t="shared" si="15"/>
        <v>0</v>
      </c>
      <c r="E67" s="822"/>
      <c r="F67" s="2497"/>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2960</v>
      </c>
      <c r="B68" s="2870">
        <f>1+E70</f>
        <v>1</v>
      </c>
      <c r="C68" s="811"/>
      <c r="D68" s="811"/>
      <c r="E68" s="812"/>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2938</v>
      </c>
      <c r="B69" s="1808"/>
      <c r="C69" s="1808" t="s">
        <v>2940</v>
      </c>
      <c r="D69" s="1808" t="s">
        <v>2941</v>
      </c>
      <c r="E69" s="816" t="s">
        <v>2942</v>
      </c>
      <c r="F69" s="2874" t="s">
        <v>2958</v>
      </c>
      <c r="G69" s="1808" t="s">
        <v>754</v>
      </c>
      <c r="H69" s="2875" t="s">
        <v>2944</v>
      </c>
      <c r="I69" s="1808" t="s">
        <v>2945</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51">
      <c r="A70" s="2873" t="s">
        <v>2961</v>
      </c>
      <c r="B70" s="2876" t="str">
        <f>估价对象房地状况!C15</f>
        <v>估价对象周围有星悦国际小区、首开国风美仑等住宅小区，居住社区成熟度一般</v>
      </c>
      <c r="C70" s="2765"/>
      <c r="D70" s="1286">
        <f t="shared" ref="D70:D78" si="20">SUMIF($J$69:$N$69,C70,J70:N70)</f>
        <v>0</v>
      </c>
      <c r="E70" s="818">
        <f>ROUND(SUM(D70:D78),4)</f>
        <v>0</v>
      </c>
      <c r="F70" s="2497"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3" t="s">
        <v>2947</v>
      </c>
      <c r="B71" s="2877" t="str">
        <f>估价对象房地状况!C18</f>
        <v>估价对象周边道路状况、公共交通通达情况、停车便捷程度，综合评价交通便捷度较好</v>
      </c>
      <c r="C71" s="2765"/>
      <c r="D71" s="1286">
        <f t="shared" si="20"/>
        <v>0</v>
      </c>
      <c r="E71" s="823"/>
      <c r="F71" s="2497"/>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2948</v>
      </c>
      <c r="B72" s="2877">
        <f>估价对象房地状况!C19</f>
        <v>0</v>
      </c>
      <c r="C72" s="2765"/>
      <c r="D72" s="1286">
        <f t="shared" si="20"/>
        <v>0</v>
      </c>
      <c r="E72" s="823"/>
      <c r="F72" s="2497"/>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2962</v>
      </c>
      <c r="B73" s="2877" t="str">
        <f>估价对象房地状况!C24</f>
        <v>城市快速路——南六环路</v>
      </c>
      <c r="C73" s="2765"/>
      <c r="D73" s="1286">
        <f t="shared" si="20"/>
        <v>0</v>
      </c>
      <c r="E73" s="823"/>
      <c r="F73" s="2497"/>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3" t="s">
        <v>2954</v>
      </c>
      <c r="B74" s="1725" t="str">
        <f>估价对象房地状况!C21</f>
        <v>估价对象所在区域公共配套设施齐备情况较好</v>
      </c>
      <c r="C74" s="2765"/>
      <c r="D74" s="1286">
        <f t="shared" si="20"/>
        <v>0</v>
      </c>
      <c r="E74" s="823"/>
      <c r="F74" s="2497"/>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3" t="s">
        <v>2955</v>
      </c>
      <c r="B75" s="1725" t="str">
        <f>估价对象房地状况!C22</f>
        <v>估价对象所在区域基础设施水平七通</v>
      </c>
      <c r="C75" s="2765"/>
      <c r="D75" s="1286">
        <f t="shared" si="20"/>
        <v>0</v>
      </c>
      <c r="E75" s="823"/>
      <c r="F75" s="2497"/>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4" customFormat="1" ht="24">
      <c r="A76" s="2873" t="s">
        <v>2952</v>
      </c>
      <c r="B76" s="2879" t="s">
        <v>2953</v>
      </c>
      <c r="C76" s="2765"/>
      <c r="D76" s="1286">
        <f t="shared" si="20"/>
        <v>0</v>
      </c>
      <c r="E76" s="823"/>
      <c r="F76" s="2497"/>
      <c r="G76" s="1284"/>
      <c r="H76" s="1288" t="str">
        <f t="shared" si="21"/>
        <v>——</v>
      </c>
      <c r="I76" s="817">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51">
      <c r="A77" s="2873" t="s">
        <v>2956</v>
      </c>
      <c r="B77" s="2876" t="str">
        <f>估价对象房地状况!C20</f>
        <v>区域自然环境：凉水河；人文环境：无高等院校等；综合评价环境状况一般</v>
      </c>
      <c r="C77" s="2765"/>
      <c r="D77" s="1286">
        <f t="shared" si="20"/>
        <v>0</v>
      </c>
      <c r="E77" s="823"/>
      <c r="F77" s="2497"/>
      <c r="G77" s="1284"/>
      <c r="H77" s="1288" t="str">
        <f t="shared" si="21"/>
        <v>——</v>
      </c>
      <c r="I77" s="817">
        <v>0.15</v>
      </c>
      <c r="J77" s="1285">
        <f t="shared" si="22"/>
        <v>0</v>
      </c>
      <c r="K77" s="1285">
        <f t="shared" si="23"/>
        <v>0</v>
      </c>
      <c r="L77" s="1285">
        <v>0</v>
      </c>
      <c r="M77" s="1285">
        <f t="shared" si="24"/>
        <v>0</v>
      </c>
      <c r="N77" s="1285">
        <f t="shared" si="24"/>
        <v>0</v>
      </c>
      <c r="Z77" s="2715"/>
      <c r="AA77" s="2791"/>
      <c r="AG77" s="1372"/>
      <c r="AK77" s="2791"/>
    </row>
    <row r="78" spans="1:37" ht="24.75" thickBot="1">
      <c r="A78" s="2881" t="s">
        <v>2963</v>
      </c>
      <c r="B78" s="2885"/>
      <c r="C78" s="2765"/>
      <c r="D78" s="1286">
        <f t="shared" si="20"/>
        <v>0</v>
      </c>
      <c r="E78" s="824"/>
      <c r="F78" s="2497"/>
      <c r="G78" s="1284"/>
      <c r="H78" s="1288" t="str">
        <f t="shared" si="21"/>
        <v>——</v>
      </c>
      <c r="I78" s="821">
        <v>0.04</v>
      </c>
      <c r="J78" s="1285">
        <f t="shared" si="22"/>
        <v>0</v>
      </c>
      <c r="K78" s="1285">
        <f t="shared" si="23"/>
        <v>0</v>
      </c>
      <c r="L78" s="1285">
        <v>0</v>
      </c>
      <c r="M78" s="1285">
        <f t="shared" si="24"/>
        <v>0</v>
      </c>
      <c r="N78" s="1285">
        <f t="shared" si="24"/>
        <v>0</v>
      </c>
      <c r="Z78" s="2715"/>
      <c r="AA78" s="2791"/>
      <c r="AG78" s="1372"/>
      <c r="AK78" s="2791"/>
    </row>
    <row r="79" spans="1:37" ht="15">
      <c r="A79" s="2869" t="s">
        <v>2964</v>
      </c>
      <c r="B79" s="2870">
        <f>1+E81</f>
        <v>1</v>
      </c>
      <c r="C79" s="811"/>
      <c r="D79" s="811"/>
      <c r="E79" s="812"/>
      <c r="F79" s="2872"/>
      <c r="G79" s="6"/>
      <c r="H79" s="6"/>
      <c r="I79" s="6"/>
      <c r="J79" s="7"/>
      <c r="K79" s="7"/>
      <c r="L79" s="7"/>
      <c r="M79" s="7"/>
      <c r="N79" s="7"/>
      <c r="Z79" s="2715"/>
      <c r="AA79" s="2791"/>
      <c r="AG79" s="1372"/>
      <c r="AK79" s="2791"/>
    </row>
    <row r="80" spans="1:37" ht="24.75">
      <c r="A80" s="2873" t="s">
        <v>2938</v>
      </c>
      <c r="B80" s="1808"/>
      <c r="C80" s="1808" t="s">
        <v>2940</v>
      </c>
      <c r="D80" s="1808" t="s">
        <v>2941</v>
      </c>
      <c r="E80" s="816" t="s">
        <v>2942</v>
      </c>
      <c r="F80" s="2874" t="s">
        <v>2958</v>
      </c>
      <c r="G80" s="1808" t="s">
        <v>754</v>
      </c>
      <c r="H80" s="2875" t="s">
        <v>2944</v>
      </c>
      <c r="I80" s="1808" t="s">
        <v>2945</v>
      </c>
      <c r="J80" s="603" t="s">
        <v>2592</v>
      </c>
      <c r="K80" s="603" t="s">
        <v>2593</v>
      </c>
      <c r="L80" s="603" t="s">
        <v>2594</v>
      </c>
      <c r="M80" s="603" t="s">
        <v>2595</v>
      </c>
      <c r="N80" s="603" t="s">
        <v>2596</v>
      </c>
      <c r="Z80" s="2715"/>
      <c r="AA80" s="2791"/>
      <c r="AG80" s="1372"/>
      <c r="AK80" s="2791"/>
    </row>
    <row r="81" spans="1:37" ht="38.25">
      <c r="A81" s="2873" t="s">
        <v>2965</v>
      </c>
      <c r="B81" s="2877" t="str">
        <f>估价对象房地状况!G15</f>
        <v>估价对象位于XX开发区，园区建设成熟度XX，产业集聚程度XX</v>
      </c>
      <c r="C81" s="2765"/>
      <c r="D81" s="1286">
        <f t="shared" ref="D81:D88" si="25">SUMIF($J$80:$N$80,C81,J81:N81)</f>
        <v>0</v>
      </c>
      <c r="E81" s="818">
        <f>ROUND(SUM(D81:D88),4)</f>
        <v>0</v>
      </c>
      <c r="F81" s="2497"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5"/>
      <c r="AA81" s="2791"/>
      <c r="AG81" s="1372"/>
      <c r="AK81" s="2791"/>
    </row>
    <row r="82" spans="1:37" ht="51">
      <c r="A82" s="2873" t="s">
        <v>2947</v>
      </c>
      <c r="B82" s="2877" t="str">
        <f>估价对象房地状况!G16</f>
        <v>估价对象周边道路状况、公共交通通达情况、停车便捷程度，综合评价交通便捷度较好</v>
      </c>
      <c r="C82" s="2765"/>
      <c r="D82" s="1286">
        <f t="shared" si="25"/>
        <v>0</v>
      </c>
      <c r="E82" s="823"/>
      <c r="F82" s="2497"/>
      <c r="G82" s="1284"/>
      <c r="H82" s="1288" t="str">
        <f t="shared" si="26"/>
        <v>——</v>
      </c>
      <c r="I82" s="817">
        <v>0.33</v>
      </c>
      <c r="J82" s="1285">
        <f t="shared" si="27"/>
        <v>0</v>
      </c>
      <c r="K82" s="1285">
        <f t="shared" si="28"/>
        <v>0</v>
      </c>
      <c r="L82" s="1285">
        <v>0</v>
      </c>
      <c r="M82" s="1285">
        <f t="shared" si="29"/>
        <v>0</v>
      </c>
      <c r="N82" s="1285">
        <f t="shared" si="29"/>
        <v>0</v>
      </c>
      <c r="Z82" s="2715"/>
      <c r="AA82" s="2791"/>
      <c r="AG82" s="1372"/>
      <c r="AK82" s="2791"/>
    </row>
    <row r="83" spans="1:37" ht="24">
      <c r="A83" s="2873" t="s">
        <v>2948</v>
      </c>
      <c r="B83" s="2877">
        <f>估价对象房地状况!G17</f>
        <v>0</v>
      </c>
      <c r="C83" s="2765"/>
      <c r="D83" s="1286">
        <f t="shared" si="25"/>
        <v>0</v>
      </c>
      <c r="E83" s="823"/>
      <c r="F83" s="2497"/>
      <c r="G83" s="1284"/>
      <c r="H83" s="1288" t="str">
        <f t="shared" si="26"/>
        <v>——</v>
      </c>
      <c r="I83" s="817">
        <v>0.05</v>
      </c>
      <c r="J83" s="1285">
        <f t="shared" si="27"/>
        <v>0</v>
      </c>
      <c r="K83" s="1285">
        <f t="shared" si="28"/>
        <v>0</v>
      </c>
      <c r="L83" s="1285">
        <v>0</v>
      </c>
      <c r="M83" s="1285">
        <f t="shared" si="29"/>
        <v>0</v>
      </c>
      <c r="N83" s="1285">
        <f t="shared" si="29"/>
        <v>0</v>
      </c>
      <c r="Z83" s="2715"/>
      <c r="AA83" s="2791"/>
      <c r="AG83" s="1372"/>
      <c r="AK83" s="2791"/>
    </row>
    <row r="84" spans="1:37" ht="14.25">
      <c r="A84" s="2873" t="s">
        <v>2962</v>
      </c>
      <c r="B84" s="2877">
        <f>估价对象房地状况!G22</f>
        <v>0</v>
      </c>
      <c r="C84" s="2765"/>
      <c r="D84" s="1286">
        <f t="shared" si="25"/>
        <v>0</v>
      </c>
      <c r="E84" s="823"/>
      <c r="F84" s="2497"/>
      <c r="G84" s="1284"/>
      <c r="H84" s="1288" t="str">
        <f t="shared" si="26"/>
        <v>——</v>
      </c>
      <c r="I84" s="817">
        <v>0.04</v>
      </c>
      <c r="J84" s="1285">
        <f t="shared" si="27"/>
        <v>0</v>
      </c>
      <c r="K84" s="1285">
        <f t="shared" si="28"/>
        <v>0</v>
      </c>
      <c r="L84" s="1285">
        <v>0</v>
      </c>
      <c r="M84" s="1285">
        <f t="shared" si="29"/>
        <v>0</v>
      </c>
      <c r="N84" s="1285">
        <f t="shared" si="29"/>
        <v>0</v>
      </c>
      <c r="Z84" s="2715"/>
      <c r="AA84" s="2791"/>
      <c r="AG84" s="1372"/>
      <c r="AK84" s="2791"/>
    </row>
    <row r="85" spans="1:37" ht="25.5">
      <c r="A85" s="2873" t="s">
        <v>2954</v>
      </c>
      <c r="B85" s="1725" t="str">
        <f>估价对象房地状况!G19</f>
        <v>估价对象所在区域公共配套设施齐备情况</v>
      </c>
      <c r="C85" s="2765"/>
      <c r="D85" s="1286">
        <f t="shared" si="25"/>
        <v>0</v>
      </c>
      <c r="E85" s="823"/>
      <c r="F85" s="2497"/>
      <c r="G85" s="1284"/>
      <c r="H85" s="1288" t="str">
        <f t="shared" si="26"/>
        <v>——</v>
      </c>
      <c r="I85" s="817">
        <v>0.06</v>
      </c>
      <c r="J85" s="1285">
        <f t="shared" si="27"/>
        <v>0</v>
      </c>
      <c r="K85" s="1285">
        <f t="shared" si="28"/>
        <v>0</v>
      </c>
      <c r="L85" s="1285">
        <v>0</v>
      </c>
      <c r="M85" s="1285">
        <f t="shared" si="29"/>
        <v>0</v>
      </c>
      <c r="N85" s="1285">
        <f t="shared" si="29"/>
        <v>0</v>
      </c>
      <c r="Z85" s="2715"/>
      <c r="AA85" s="2791"/>
      <c r="AG85" s="1372"/>
      <c r="AK85" s="2791"/>
    </row>
    <row r="86" spans="1:37" ht="25.5">
      <c r="A86" s="2873" t="s">
        <v>2955</v>
      </c>
      <c r="B86" s="1725" t="str">
        <f>估价对象房地状况!G20</f>
        <v>估价对象所在区域基础设施水平</v>
      </c>
      <c r="C86" s="2765"/>
      <c r="D86" s="1286">
        <f t="shared" si="25"/>
        <v>0</v>
      </c>
      <c r="E86" s="823"/>
      <c r="F86" s="2497"/>
      <c r="G86" s="1284"/>
      <c r="H86" s="1288" t="str">
        <f t="shared" si="26"/>
        <v>——</v>
      </c>
      <c r="I86" s="817">
        <v>0.15</v>
      </c>
      <c r="J86" s="1285">
        <f t="shared" si="27"/>
        <v>0</v>
      </c>
      <c r="K86" s="1285">
        <f t="shared" si="28"/>
        <v>0</v>
      </c>
      <c r="L86" s="1285">
        <v>0</v>
      </c>
      <c r="M86" s="1285">
        <f t="shared" si="29"/>
        <v>0</v>
      </c>
      <c r="N86" s="1285">
        <f t="shared" si="29"/>
        <v>0</v>
      </c>
      <c r="Z86" s="2715"/>
      <c r="AA86" s="2791"/>
      <c r="AG86" s="1372"/>
      <c r="AK86" s="2791"/>
    </row>
    <row r="87" spans="1:37" ht="24">
      <c r="A87" s="2873" t="s">
        <v>2952</v>
      </c>
      <c r="B87" s="2879" t="s">
        <v>2966</v>
      </c>
      <c r="C87" s="2765"/>
      <c r="D87" s="1286">
        <f t="shared" si="25"/>
        <v>0</v>
      </c>
      <c r="E87" s="823"/>
      <c r="F87" s="2497"/>
      <c r="G87" s="1284"/>
      <c r="H87" s="1288" t="str">
        <f t="shared" si="26"/>
        <v>——</v>
      </c>
      <c r="I87" s="817">
        <v>0.05</v>
      </c>
      <c r="J87" s="1285">
        <f t="shared" si="27"/>
        <v>0</v>
      </c>
      <c r="K87" s="1285">
        <f t="shared" si="28"/>
        <v>0</v>
      </c>
      <c r="L87" s="1285">
        <v>0</v>
      </c>
      <c r="M87" s="1285">
        <f t="shared" si="29"/>
        <v>0</v>
      </c>
      <c r="N87" s="1285">
        <f t="shared" si="29"/>
        <v>0</v>
      </c>
      <c r="Z87" s="2715"/>
      <c r="AA87" s="2791"/>
      <c r="AG87" s="1372"/>
      <c r="AK87" s="2791"/>
    </row>
    <row r="88" spans="1:37" ht="39" thickBot="1">
      <c r="A88" s="2881" t="s">
        <v>2967</v>
      </c>
      <c r="B88" s="2886" t="str">
        <f>估价对象房地状况!G18</f>
        <v>该园区内是否有污染型企业，绿化情况，卫生条件，整体环境状况判断</v>
      </c>
      <c r="C88" s="2765"/>
      <c r="D88" s="1286">
        <f t="shared" si="25"/>
        <v>0</v>
      </c>
      <c r="E88" s="824"/>
      <c r="F88" s="2497"/>
      <c r="G88" s="1284"/>
      <c r="H88" s="1288" t="str">
        <f t="shared" si="26"/>
        <v>——</v>
      </c>
      <c r="I88" s="821">
        <v>0.06</v>
      </c>
      <c r="J88" s="1285">
        <f t="shared" si="27"/>
        <v>0</v>
      </c>
      <c r="K88" s="1285">
        <f t="shared" si="28"/>
        <v>0</v>
      </c>
      <c r="L88" s="1285">
        <v>0</v>
      </c>
      <c r="M88" s="1285">
        <f t="shared" si="29"/>
        <v>0</v>
      </c>
      <c r="N88" s="1285">
        <f t="shared" si="29"/>
        <v>0</v>
      </c>
      <c r="Z88" s="2715"/>
      <c r="AA88" s="2791"/>
      <c r="AG88" s="1372"/>
      <c r="AK88" s="2791"/>
    </row>
    <row r="90" spans="1:37">
      <c r="A90" s="3262" t="s">
        <v>2968</v>
      </c>
      <c r="B90" s="3262"/>
      <c r="C90" s="3262"/>
      <c r="D90" s="3262"/>
      <c r="E90" s="3262"/>
      <c r="F90" s="3262"/>
      <c r="G90" s="3262"/>
      <c r="H90" s="3262"/>
      <c r="I90" s="3262"/>
      <c r="J90" s="3262"/>
      <c r="K90" s="2887"/>
      <c r="L90" s="2887"/>
      <c r="M90" s="2887"/>
      <c r="N90" s="2887"/>
    </row>
    <row r="91" spans="1:37">
      <c r="A91" s="3264" t="s">
        <v>2969</v>
      </c>
      <c r="B91" s="3264" t="s">
        <v>2970</v>
      </c>
      <c r="C91" s="2841" t="s">
        <v>2971</v>
      </c>
      <c r="D91" s="2842"/>
      <c r="E91" s="2842"/>
      <c r="F91" s="2842"/>
      <c r="G91" s="2842"/>
      <c r="H91" s="2842"/>
      <c r="I91" s="2842"/>
      <c r="J91" s="2888"/>
      <c r="K91" s="2889"/>
      <c r="L91" s="2889"/>
      <c r="M91" s="2889"/>
      <c r="N91" s="2889"/>
    </row>
    <row r="92" spans="1:37">
      <c r="A92" s="3264"/>
      <c r="B92" s="3264"/>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265" t="s">
        <v>2972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66"/>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66"/>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66"/>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66"/>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66"/>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66"/>
      <c r="B99" s="2890" t="s">
        <v>2851</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67"/>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65" t="s">
        <v>2973</v>
      </c>
      <c r="B101" s="2894" t="s">
        <v>2974</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266"/>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266"/>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266"/>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266"/>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266"/>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266"/>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266"/>
      <c r="B108" s="3092" t="s">
        <v>2975</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67"/>
      <c r="B109" s="3093"/>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263" t="s">
        <v>2976</v>
      </c>
      <c r="B110" s="3263"/>
      <c r="C110" s="3263"/>
      <c r="D110" s="3263"/>
      <c r="E110" s="3263"/>
      <c r="F110" s="3263"/>
      <c r="G110" s="3263"/>
      <c r="H110" s="3263"/>
      <c r="I110" s="3263"/>
      <c r="J110" s="3263"/>
      <c r="K110" s="2896"/>
      <c r="L110" s="2896"/>
      <c r="M110" s="2896"/>
      <c r="N110" s="2896"/>
    </row>
    <row r="112" spans="1:14" ht="13.5" thickBot="1"/>
    <row r="113" spans="1:13" ht="25.5" thickBot="1">
      <c r="A113" s="900" t="s">
        <v>2977</v>
      </c>
      <c r="B113" s="1287" t="e">
        <f>G3</f>
        <v>#DIV/0!</v>
      </c>
      <c r="C113" s="901" t="s">
        <v>2978</v>
      </c>
      <c r="D113" s="902" t="e">
        <f>SUMPRODUCT((A115:A118=F113)*(B114:M114=H113)*B115:M118)</f>
        <v>#DIV/0!</v>
      </c>
      <c r="E113" s="2719" t="s">
        <v>2808</v>
      </c>
      <c r="F113" s="2898">
        <f>E2</f>
        <v>0</v>
      </c>
      <c r="G113" s="2719" t="s">
        <v>2809</v>
      </c>
      <c r="H113" s="2898">
        <f>G2</f>
        <v>0</v>
      </c>
      <c r="I113" s="2719"/>
      <c r="J113" s="2899"/>
      <c r="K113" s="2899"/>
      <c r="L113" s="2899"/>
      <c r="M113" s="2899"/>
    </row>
    <row r="114" spans="1:13">
      <c r="A114" s="905"/>
      <c r="B114" s="2900" t="s">
        <v>2979</v>
      </c>
      <c r="C114" s="2900" t="s">
        <v>2980</v>
      </c>
      <c r="D114" s="2900" t="s">
        <v>2981</v>
      </c>
      <c r="E114" s="2901" t="s">
        <v>2982</v>
      </c>
      <c r="F114" s="2901" t="s">
        <v>2983</v>
      </c>
      <c r="G114" s="2901" t="s">
        <v>2984</v>
      </c>
      <c r="H114" s="2902" t="s">
        <v>2985</v>
      </c>
      <c r="I114" s="2902" t="s">
        <v>2986</v>
      </c>
      <c r="J114" s="2903" t="s">
        <v>2987</v>
      </c>
      <c r="K114" s="2903" t="s">
        <v>2988</v>
      </c>
      <c r="L114" s="2903" t="s">
        <v>2989</v>
      </c>
      <c r="M114" s="2904" t="s">
        <v>2990</v>
      </c>
    </row>
    <row r="115" spans="1:13">
      <c r="A115" s="906" t="s">
        <v>2873</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2874</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2875</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1" t="s">
        <v>2876</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80" t="s">
        <v>183</v>
      </c>
      <c r="B18" s="879" t="s">
        <v>560</v>
      </c>
      <c r="C18" s="880" t="s">
        <v>561</v>
      </c>
      <c r="D18" s="881"/>
      <c r="E18" s="879">
        <v>1</v>
      </c>
      <c r="F18" s="882" t="s">
        <v>562</v>
      </c>
      <c r="G18" s="883"/>
      <c r="H18" s="875"/>
      <c r="I18" s="875"/>
    </row>
    <row r="19" spans="1:9" s="884" customFormat="1" ht="19.5" customHeight="1">
      <c r="A19" s="3280"/>
      <c r="B19" s="3280" t="s">
        <v>563</v>
      </c>
      <c r="C19" s="880" t="s">
        <v>564</v>
      </c>
      <c r="D19" s="881"/>
      <c r="E19" s="879">
        <v>0.9</v>
      </c>
      <c r="F19" s="882" t="s">
        <v>565</v>
      </c>
      <c r="G19" s="883"/>
      <c r="H19" s="875"/>
      <c r="I19" s="875"/>
    </row>
    <row r="20" spans="1:9" s="884" customFormat="1" ht="19.5" customHeight="1">
      <c r="A20" s="3280"/>
      <c r="B20" s="3280"/>
      <c r="C20" s="880" t="s">
        <v>566</v>
      </c>
      <c r="D20" s="881"/>
      <c r="E20" s="879">
        <v>1.1000000000000001</v>
      </c>
      <c r="F20" s="882" t="s">
        <v>567</v>
      </c>
      <c r="G20" s="883"/>
      <c r="H20" s="875"/>
      <c r="I20" s="875"/>
    </row>
    <row r="21" spans="1:9" s="884" customFormat="1" ht="19.5" customHeight="1">
      <c r="A21" s="3280"/>
      <c r="B21" s="3280"/>
      <c r="C21" s="880" t="s">
        <v>568</v>
      </c>
      <c r="D21" s="881"/>
      <c r="E21" s="879">
        <v>0.8</v>
      </c>
      <c r="F21" s="882" t="s">
        <v>569</v>
      </c>
      <c r="G21" s="883"/>
      <c r="H21" s="875"/>
      <c r="I21" s="875"/>
    </row>
    <row r="22" spans="1:9" s="884" customFormat="1" ht="19.5" customHeight="1">
      <c r="A22" s="3280"/>
      <c r="B22" s="3280"/>
      <c r="C22" s="880" t="s">
        <v>570</v>
      </c>
      <c r="D22" s="881"/>
      <c r="E22" s="879">
        <v>0.5</v>
      </c>
      <c r="F22" s="882"/>
      <c r="G22" s="883"/>
      <c r="H22" s="875"/>
      <c r="I22" s="875"/>
    </row>
    <row r="23" spans="1:9" s="884" customFormat="1" ht="19.5" customHeight="1">
      <c r="A23" s="3280" t="s">
        <v>184</v>
      </c>
      <c r="B23" s="879" t="s">
        <v>560</v>
      </c>
      <c r="C23" s="880" t="s">
        <v>571</v>
      </c>
      <c r="D23" s="881"/>
      <c r="E23" s="879">
        <v>1</v>
      </c>
      <c r="F23" s="882" t="s">
        <v>572</v>
      </c>
      <c r="G23" s="883"/>
      <c r="H23" s="875"/>
      <c r="I23" s="875"/>
    </row>
    <row r="24" spans="1:9" s="884" customFormat="1" ht="19.5" customHeight="1">
      <c r="A24" s="3280"/>
      <c r="B24" s="3280" t="s">
        <v>563</v>
      </c>
      <c r="C24" s="880" t="s">
        <v>573</v>
      </c>
      <c r="D24" s="881"/>
      <c r="E24" s="879">
        <v>0.5</v>
      </c>
      <c r="F24" s="882"/>
      <c r="G24" s="883"/>
      <c r="H24" s="875"/>
      <c r="I24" s="875"/>
    </row>
    <row r="25" spans="1:9" s="884" customFormat="1" ht="19.5" customHeight="1">
      <c r="A25" s="3280"/>
      <c r="B25" s="3280"/>
      <c r="C25" s="880" t="s">
        <v>574</v>
      </c>
      <c r="D25" s="881"/>
      <c r="E25" s="879">
        <v>1.1000000000000001</v>
      </c>
      <c r="F25" s="882"/>
      <c r="G25" s="883"/>
      <c r="H25" s="875"/>
      <c r="I25" s="875"/>
    </row>
    <row r="26" spans="1:9" s="884" customFormat="1" ht="19.5" customHeight="1">
      <c r="A26" s="3280"/>
      <c r="B26" s="3280"/>
      <c r="C26" s="880" t="s">
        <v>575</v>
      </c>
      <c r="D26" s="881"/>
      <c r="E26" s="879">
        <v>1.1000000000000001</v>
      </c>
      <c r="F26" s="882"/>
      <c r="G26" s="883"/>
      <c r="H26" s="875"/>
      <c r="I26" s="875"/>
    </row>
    <row r="27" spans="1:9" s="884" customFormat="1" ht="19.5" customHeight="1">
      <c r="A27" s="3280"/>
      <c r="B27" s="3280"/>
      <c r="C27" s="880" t="s">
        <v>576</v>
      </c>
      <c r="D27" s="881"/>
      <c r="E27" s="879">
        <v>0.9</v>
      </c>
      <c r="F27" s="882" t="s">
        <v>577</v>
      </c>
      <c r="G27" s="883"/>
      <c r="H27" s="875"/>
      <c r="I27" s="875"/>
    </row>
    <row r="28" spans="1:9" s="884" customFormat="1" ht="19.5" customHeight="1">
      <c r="A28" s="3280"/>
      <c r="B28" s="3280"/>
      <c r="C28" s="880" t="s">
        <v>578</v>
      </c>
      <c r="D28" s="881"/>
      <c r="E28" s="879">
        <v>0.9</v>
      </c>
      <c r="F28" s="882" t="s">
        <v>579</v>
      </c>
      <c r="G28" s="883"/>
      <c r="H28" s="875"/>
      <c r="I28" s="875"/>
    </row>
    <row r="29" spans="1:9" s="884" customFormat="1" ht="19.5" customHeight="1">
      <c r="A29" s="3280"/>
      <c r="B29" s="3280"/>
      <c r="C29" s="880" t="s">
        <v>580</v>
      </c>
      <c r="D29" s="881"/>
      <c r="E29" s="879">
        <v>0.9</v>
      </c>
      <c r="F29" s="882" t="s">
        <v>581</v>
      </c>
      <c r="G29" s="883"/>
      <c r="H29" s="875"/>
      <c r="I29" s="875"/>
    </row>
    <row r="30" spans="1:9" s="884" customFormat="1" ht="19.5" customHeight="1">
      <c r="A30" s="3280"/>
      <c r="B30" s="3280"/>
      <c r="C30" s="880" t="s">
        <v>582</v>
      </c>
      <c r="D30" s="881"/>
      <c r="E30" s="879">
        <v>0.9</v>
      </c>
      <c r="F30" s="882" t="s">
        <v>583</v>
      </c>
      <c r="G30" s="883"/>
      <c r="H30" s="875"/>
      <c r="I30" s="875"/>
    </row>
    <row r="31" spans="1:9" s="884" customFormat="1" ht="19.5" customHeight="1">
      <c r="A31" s="3280"/>
      <c r="B31" s="3280"/>
      <c r="C31" s="880" t="s">
        <v>584</v>
      </c>
      <c r="D31" s="881"/>
      <c r="E31" s="879">
        <v>0.8</v>
      </c>
      <c r="F31" s="882" t="s">
        <v>585</v>
      </c>
      <c r="G31" s="883"/>
      <c r="H31" s="875"/>
      <c r="I31" s="875"/>
    </row>
    <row r="32" spans="1:9" s="884" customFormat="1" ht="19.5" customHeight="1">
      <c r="A32" s="3280"/>
      <c r="B32" s="3280"/>
      <c r="C32" s="880" t="s">
        <v>586</v>
      </c>
      <c r="D32" s="881"/>
      <c r="E32" s="879">
        <v>0.8</v>
      </c>
      <c r="F32" s="882" t="s">
        <v>587</v>
      </c>
      <c r="G32" s="883"/>
      <c r="H32" s="875"/>
      <c r="I32" s="875"/>
    </row>
    <row r="33" spans="1:9" s="884" customFormat="1" ht="19.5" customHeight="1">
      <c r="A33" s="3280" t="s">
        <v>185</v>
      </c>
      <c r="B33" s="879" t="s">
        <v>560</v>
      </c>
      <c r="C33" s="880" t="s">
        <v>588</v>
      </c>
      <c r="D33" s="881"/>
      <c r="E33" s="879">
        <v>1</v>
      </c>
      <c r="F33" s="882" t="s">
        <v>589</v>
      </c>
      <c r="G33" s="883"/>
      <c r="H33" s="875"/>
      <c r="I33" s="875"/>
    </row>
    <row r="34" spans="1:9" s="884" customFormat="1" ht="19.5" customHeight="1">
      <c r="A34" s="3280"/>
      <c r="B34" s="879" t="s">
        <v>563</v>
      </c>
      <c r="C34" s="880" t="s">
        <v>590</v>
      </c>
      <c r="D34" s="881"/>
      <c r="E34" s="879">
        <v>1.5</v>
      </c>
      <c r="F34" s="882" t="s">
        <v>591</v>
      </c>
      <c r="G34" s="883"/>
      <c r="H34" s="875"/>
      <c r="I34" s="875"/>
    </row>
    <row r="35" spans="1:9" s="884" customFormat="1" ht="19.5" customHeight="1">
      <c r="A35" s="3280" t="s">
        <v>186</v>
      </c>
      <c r="B35" s="879" t="s">
        <v>560</v>
      </c>
      <c r="C35" s="880" t="s">
        <v>592</v>
      </c>
      <c r="D35" s="881"/>
      <c r="E35" s="879">
        <v>1</v>
      </c>
      <c r="F35" s="882" t="s">
        <v>593</v>
      </c>
      <c r="G35" s="883"/>
      <c r="H35" s="875"/>
      <c r="I35" s="875"/>
    </row>
    <row r="36" spans="1:9" s="884" customFormat="1" ht="19.5" customHeight="1">
      <c r="A36" s="3280"/>
      <c r="B36" s="3280" t="s">
        <v>563</v>
      </c>
      <c r="C36" s="880" t="s">
        <v>594</v>
      </c>
      <c r="D36" s="881"/>
      <c r="E36" s="879">
        <v>1</v>
      </c>
      <c r="F36" s="882" t="s">
        <v>595</v>
      </c>
      <c r="G36" s="883"/>
      <c r="H36" s="875"/>
      <c r="I36" s="875"/>
    </row>
    <row r="37" spans="1:9" s="884" customFormat="1" ht="19.5" customHeight="1">
      <c r="A37" s="3280"/>
      <c r="B37" s="3280"/>
      <c r="C37" s="880" t="s">
        <v>596</v>
      </c>
      <c r="D37" s="881"/>
      <c r="E37" s="879">
        <v>1.5</v>
      </c>
      <c r="F37" s="882" t="s">
        <v>597</v>
      </c>
      <c r="G37" s="883"/>
      <c r="H37" s="875"/>
      <c r="I37" s="875"/>
    </row>
    <row r="38" spans="1:9" s="884" customFormat="1" ht="19.5" customHeight="1">
      <c r="A38" s="3280"/>
      <c r="B38" s="3280"/>
      <c r="C38" s="880" t="s">
        <v>598</v>
      </c>
      <c r="D38" s="881"/>
      <c r="E38" s="879">
        <v>1</v>
      </c>
      <c r="F38" s="882" t="s">
        <v>599</v>
      </c>
      <c r="G38" s="883"/>
      <c r="H38" s="875"/>
      <c r="I38" s="875"/>
    </row>
    <row r="39" spans="1:9" s="884" customFormat="1" ht="19.5" customHeight="1">
      <c r="A39" s="3280"/>
      <c r="B39" s="328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80" t="s">
        <v>614</v>
      </c>
      <c r="C61" s="815" t="s">
        <v>615</v>
      </c>
      <c r="D61" s="815" t="s">
        <v>616</v>
      </c>
      <c r="E61" s="892">
        <v>0.5</v>
      </c>
      <c r="F61" s="879">
        <v>80</v>
      </c>
    </row>
    <row r="62" spans="1:8" s="875" customFormat="1" ht="24">
      <c r="A62" s="879">
        <v>2</v>
      </c>
      <c r="B62" s="3280"/>
      <c r="C62" s="815" t="s">
        <v>617</v>
      </c>
      <c r="D62" s="815" t="s">
        <v>618</v>
      </c>
      <c r="E62" s="892">
        <v>0.5</v>
      </c>
      <c r="F62" s="879">
        <v>80</v>
      </c>
    </row>
    <row r="63" spans="1:8" s="875" customFormat="1" ht="36">
      <c r="A63" s="879">
        <v>3</v>
      </c>
      <c r="B63" s="3280"/>
      <c r="C63" s="815" t="s">
        <v>619</v>
      </c>
      <c r="D63" s="815" t="s">
        <v>620</v>
      </c>
      <c r="E63" s="892">
        <v>0.5</v>
      </c>
      <c r="F63" s="879">
        <v>80</v>
      </c>
    </row>
    <row r="64" spans="1:8" s="875" customFormat="1" ht="36">
      <c r="A64" s="879">
        <v>4</v>
      </c>
      <c r="B64" s="3280"/>
      <c r="C64" s="815" t="s">
        <v>621</v>
      </c>
      <c r="D64" s="815" t="s">
        <v>622</v>
      </c>
      <c r="E64" s="892">
        <v>0.4</v>
      </c>
      <c r="F64" s="879">
        <v>60</v>
      </c>
    </row>
    <row r="65" spans="1:6" s="875" customFormat="1" ht="36">
      <c r="A65" s="879">
        <v>5</v>
      </c>
      <c r="B65" s="3280"/>
      <c r="C65" s="815" t="s">
        <v>623</v>
      </c>
      <c r="D65" s="815" t="s">
        <v>624</v>
      </c>
      <c r="E65" s="892">
        <v>0.2</v>
      </c>
      <c r="F65" s="879">
        <v>30</v>
      </c>
    </row>
    <row r="66" spans="1:6" s="875" customFormat="1" ht="36">
      <c r="A66" s="879">
        <v>6</v>
      </c>
      <c r="B66" s="3280"/>
      <c r="C66" s="815" t="s">
        <v>625</v>
      </c>
      <c r="D66" s="815" t="s">
        <v>626</v>
      </c>
      <c r="E66" s="892">
        <v>0.3</v>
      </c>
      <c r="F66" s="879">
        <v>50</v>
      </c>
    </row>
    <row r="67" spans="1:6" s="875" customFormat="1" ht="36">
      <c r="A67" s="879">
        <v>7</v>
      </c>
      <c r="B67" s="3280"/>
      <c r="C67" s="815" t="s">
        <v>627</v>
      </c>
      <c r="D67" s="815" t="s">
        <v>628</v>
      </c>
      <c r="E67" s="892">
        <v>0.2</v>
      </c>
      <c r="F67" s="879">
        <v>30</v>
      </c>
    </row>
    <row r="68" spans="1:6" s="875" customFormat="1" ht="36">
      <c r="A68" s="879">
        <v>8</v>
      </c>
      <c r="B68" s="3280"/>
      <c r="C68" s="815" t="s">
        <v>629</v>
      </c>
      <c r="D68" s="815" t="s">
        <v>630</v>
      </c>
      <c r="E68" s="892">
        <v>0.2</v>
      </c>
      <c r="F68" s="879">
        <v>30</v>
      </c>
    </row>
    <row r="69" spans="1:6" s="875" customFormat="1" ht="36">
      <c r="A69" s="879">
        <v>9</v>
      </c>
      <c r="B69" s="3280"/>
      <c r="C69" s="815" t="s">
        <v>631</v>
      </c>
      <c r="D69" s="815" t="s">
        <v>632</v>
      </c>
      <c r="E69" s="892">
        <v>0.2</v>
      </c>
      <c r="F69" s="879">
        <v>30</v>
      </c>
    </row>
    <row r="70" spans="1:6" s="875" customFormat="1" ht="48">
      <c r="A70" s="879">
        <v>10</v>
      </c>
      <c r="B70" s="3280"/>
      <c r="C70" s="815" t="s">
        <v>633</v>
      </c>
      <c r="D70" s="815" t="s">
        <v>634</v>
      </c>
      <c r="E70" s="892">
        <v>0.2</v>
      </c>
      <c r="F70" s="879">
        <v>30</v>
      </c>
    </row>
    <row r="71" spans="1:6" s="875" customFormat="1" ht="48">
      <c r="A71" s="879">
        <v>11</v>
      </c>
      <c r="B71" s="3280"/>
      <c r="C71" s="815" t="s">
        <v>635</v>
      </c>
      <c r="D71" s="815" t="s">
        <v>636</v>
      </c>
      <c r="E71" s="892">
        <v>0.2</v>
      </c>
      <c r="F71" s="879">
        <v>30</v>
      </c>
    </row>
    <row r="72" spans="1:6" s="875" customFormat="1" ht="36">
      <c r="A72" s="879">
        <v>12</v>
      </c>
      <c r="B72" s="3280"/>
      <c r="C72" s="815" t="s">
        <v>637</v>
      </c>
      <c r="D72" s="815" t="s">
        <v>638</v>
      </c>
      <c r="E72" s="892">
        <v>0.5</v>
      </c>
      <c r="F72" s="879">
        <v>80</v>
      </c>
    </row>
    <row r="73" spans="1:6" s="875" customFormat="1" ht="24">
      <c r="A73" s="879">
        <v>13</v>
      </c>
      <c r="B73" s="3280"/>
      <c r="C73" s="815" t="s">
        <v>639</v>
      </c>
      <c r="D73" s="815" t="s">
        <v>640</v>
      </c>
      <c r="E73" s="892">
        <v>0.4</v>
      </c>
      <c r="F73" s="879">
        <v>60</v>
      </c>
    </row>
    <row r="74" spans="1:6" s="875" customFormat="1" ht="24">
      <c r="A74" s="879">
        <v>14</v>
      </c>
      <c r="B74" s="3280"/>
      <c r="C74" s="815" t="s">
        <v>641</v>
      </c>
      <c r="D74" s="815" t="s">
        <v>642</v>
      </c>
      <c r="E74" s="892">
        <v>0.2</v>
      </c>
      <c r="F74" s="879">
        <v>30</v>
      </c>
    </row>
    <row r="75" spans="1:6" s="875" customFormat="1" ht="24">
      <c r="A75" s="879">
        <v>15</v>
      </c>
      <c r="B75" s="3280"/>
      <c r="C75" s="815" t="s">
        <v>643</v>
      </c>
      <c r="D75" s="815" t="s">
        <v>644</v>
      </c>
      <c r="E75" s="892">
        <v>0.2</v>
      </c>
      <c r="F75" s="879">
        <v>30</v>
      </c>
    </row>
    <row r="76" spans="1:6" s="875" customFormat="1" ht="24">
      <c r="A76" s="879">
        <v>16</v>
      </c>
      <c r="B76" s="3280" t="s">
        <v>645</v>
      </c>
      <c r="C76" s="815" t="s">
        <v>646</v>
      </c>
      <c r="D76" s="815" t="s">
        <v>647</v>
      </c>
      <c r="E76" s="892">
        <v>0.5</v>
      </c>
      <c r="F76" s="879">
        <v>80</v>
      </c>
    </row>
    <row r="77" spans="1:6" s="875" customFormat="1" ht="24">
      <c r="A77" s="879">
        <v>17</v>
      </c>
      <c r="B77" s="3280"/>
      <c r="C77" s="815" t="s">
        <v>648</v>
      </c>
      <c r="D77" s="815" t="s">
        <v>649</v>
      </c>
      <c r="E77" s="892">
        <v>0.5</v>
      </c>
      <c r="F77" s="879">
        <v>80</v>
      </c>
    </row>
    <row r="78" spans="1:6" s="875" customFormat="1" ht="24">
      <c r="A78" s="879">
        <v>18</v>
      </c>
      <c r="B78" s="3280"/>
      <c r="C78" s="815" t="s">
        <v>650</v>
      </c>
      <c r="D78" s="815" t="s">
        <v>651</v>
      </c>
      <c r="E78" s="892">
        <v>0.2</v>
      </c>
      <c r="F78" s="879">
        <v>30</v>
      </c>
    </row>
    <row r="79" spans="1:6" s="875" customFormat="1" ht="24">
      <c r="A79" s="879">
        <v>19</v>
      </c>
      <c r="B79" s="3280"/>
      <c r="C79" s="815" t="s">
        <v>652</v>
      </c>
      <c r="D79" s="815" t="s">
        <v>653</v>
      </c>
      <c r="E79" s="892">
        <v>0.5</v>
      </c>
      <c r="F79" s="879">
        <v>80</v>
      </c>
    </row>
    <row r="80" spans="1:6" s="875" customFormat="1" ht="36">
      <c r="A80" s="879">
        <v>20</v>
      </c>
      <c r="B80" s="3280"/>
      <c r="C80" s="815" t="s">
        <v>654</v>
      </c>
      <c r="D80" s="815" t="s">
        <v>655</v>
      </c>
      <c r="E80" s="892">
        <v>0.2</v>
      </c>
      <c r="F80" s="879">
        <v>30</v>
      </c>
    </row>
    <row r="81" spans="1:6" s="875" customFormat="1" ht="36">
      <c r="A81" s="879">
        <v>21</v>
      </c>
      <c r="B81" s="3280"/>
      <c r="C81" s="815" t="s">
        <v>656</v>
      </c>
      <c r="D81" s="815" t="s">
        <v>657</v>
      </c>
      <c r="E81" s="892">
        <v>0.2</v>
      </c>
      <c r="F81" s="879">
        <v>30</v>
      </c>
    </row>
    <row r="82" spans="1:6" s="875" customFormat="1" ht="48">
      <c r="A82" s="879">
        <v>22</v>
      </c>
      <c r="B82" s="3280"/>
      <c r="C82" s="815" t="s">
        <v>658</v>
      </c>
      <c r="D82" s="815" t="s">
        <v>659</v>
      </c>
      <c r="E82" s="892">
        <v>0.2</v>
      </c>
      <c r="F82" s="879">
        <v>30</v>
      </c>
    </row>
    <row r="83" spans="1:6" s="875" customFormat="1" ht="48">
      <c r="A83" s="879">
        <v>23</v>
      </c>
      <c r="B83" s="3280"/>
      <c r="C83" s="815" t="s">
        <v>660</v>
      </c>
      <c r="D83" s="815" t="s">
        <v>661</v>
      </c>
      <c r="E83" s="892">
        <v>0.2</v>
      </c>
      <c r="F83" s="879">
        <v>30</v>
      </c>
    </row>
    <row r="84" spans="1:6" s="875" customFormat="1" ht="36">
      <c r="A84" s="879">
        <v>24</v>
      </c>
      <c r="B84" s="3280"/>
      <c r="C84" s="815" t="s">
        <v>662</v>
      </c>
      <c r="D84" s="815" t="s">
        <v>663</v>
      </c>
      <c r="E84" s="892">
        <v>0.2</v>
      </c>
      <c r="F84" s="879">
        <v>30</v>
      </c>
    </row>
    <row r="85" spans="1:6" s="875" customFormat="1" ht="36">
      <c r="A85" s="879">
        <v>25</v>
      </c>
      <c r="B85" s="3280"/>
      <c r="C85" s="815" t="s">
        <v>664</v>
      </c>
      <c r="D85" s="815" t="s">
        <v>665</v>
      </c>
      <c r="E85" s="892">
        <v>0.5</v>
      </c>
      <c r="F85" s="879">
        <v>80</v>
      </c>
    </row>
    <row r="86" spans="1:6" s="875" customFormat="1" ht="36">
      <c r="A86" s="879">
        <v>26</v>
      </c>
      <c r="B86" s="3280"/>
      <c r="C86" s="815" t="s">
        <v>666</v>
      </c>
      <c r="D86" s="815" t="s">
        <v>667</v>
      </c>
      <c r="E86" s="892">
        <v>0.2</v>
      </c>
      <c r="F86" s="879">
        <v>30</v>
      </c>
    </row>
    <row r="87" spans="1:6" s="875" customFormat="1" ht="36">
      <c r="A87" s="879">
        <v>27</v>
      </c>
      <c r="B87" s="3280"/>
      <c r="C87" s="815" t="s">
        <v>668</v>
      </c>
      <c r="D87" s="815" t="s">
        <v>669</v>
      </c>
      <c r="E87" s="892">
        <v>0.2</v>
      </c>
      <c r="F87" s="879">
        <v>30</v>
      </c>
    </row>
    <row r="88" spans="1:6" s="875" customFormat="1" ht="36">
      <c r="A88" s="879">
        <v>28</v>
      </c>
      <c r="B88" s="3280"/>
      <c r="C88" s="815" t="s">
        <v>670</v>
      </c>
      <c r="D88" s="815" t="s">
        <v>671</v>
      </c>
      <c r="E88" s="892">
        <v>0.2</v>
      </c>
      <c r="F88" s="879">
        <v>30</v>
      </c>
    </row>
    <row r="89" spans="1:6" s="875" customFormat="1" ht="24">
      <c r="A89" s="879">
        <v>29</v>
      </c>
      <c r="B89" s="3280"/>
      <c r="C89" s="815" t="s">
        <v>672</v>
      </c>
      <c r="D89" s="815" t="s">
        <v>673</v>
      </c>
      <c r="E89" s="892">
        <v>0.2</v>
      </c>
      <c r="F89" s="879">
        <v>30</v>
      </c>
    </row>
    <row r="90" spans="1:6" s="875" customFormat="1" ht="24">
      <c r="A90" s="879">
        <v>30</v>
      </c>
      <c r="B90" s="3280"/>
      <c r="C90" s="815" t="s">
        <v>674</v>
      </c>
      <c r="D90" s="815" t="s">
        <v>675</v>
      </c>
      <c r="E90" s="892">
        <v>0.2</v>
      </c>
      <c r="F90" s="879">
        <v>30</v>
      </c>
    </row>
    <row r="91" spans="1:6" s="875" customFormat="1" ht="36">
      <c r="A91" s="879">
        <v>31</v>
      </c>
      <c r="B91" s="3280"/>
      <c r="C91" s="815" t="s">
        <v>676</v>
      </c>
      <c r="D91" s="815" t="s">
        <v>677</v>
      </c>
      <c r="E91" s="892">
        <v>0.2</v>
      </c>
      <c r="F91" s="879">
        <v>30</v>
      </c>
    </row>
    <row r="92" spans="1:6" s="875" customFormat="1" ht="24">
      <c r="A92" s="879">
        <v>32</v>
      </c>
      <c r="B92" s="3280" t="s">
        <v>678</v>
      </c>
      <c r="C92" s="879" t="s">
        <v>679</v>
      </c>
      <c r="D92" s="815" t="s">
        <v>680</v>
      </c>
      <c r="E92" s="892">
        <v>0.2</v>
      </c>
      <c r="F92" s="879">
        <v>30</v>
      </c>
    </row>
    <row r="93" spans="1:6" s="875" customFormat="1" ht="36">
      <c r="A93" s="879">
        <v>33</v>
      </c>
      <c r="B93" s="3280"/>
      <c r="C93" s="879" t="s">
        <v>681</v>
      </c>
      <c r="D93" s="815" t="s">
        <v>682</v>
      </c>
      <c r="E93" s="892">
        <v>0.2</v>
      </c>
      <c r="F93" s="879">
        <v>30</v>
      </c>
    </row>
    <row r="94" spans="1:6" s="875" customFormat="1" ht="48">
      <c r="A94" s="879">
        <v>34</v>
      </c>
      <c r="B94" s="3280"/>
      <c r="C94" s="879" t="s">
        <v>683</v>
      </c>
      <c r="D94" s="815" t="s">
        <v>684</v>
      </c>
      <c r="E94" s="892">
        <v>0.2</v>
      </c>
      <c r="F94" s="879">
        <v>30</v>
      </c>
    </row>
    <row r="95" spans="1:6" s="875" customFormat="1" ht="36">
      <c r="A95" s="879">
        <v>35</v>
      </c>
      <c r="B95" s="3280"/>
      <c r="C95" s="879" t="s">
        <v>685</v>
      </c>
      <c r="D95" s="815" t="s">
        <v>686</v>
      </c>
      <c r="E95" s="892">
        <v>0.2</v>
      </c>
      <c r="F95" s="879">
        <v>30</v>
      </c>
    </row>
    <row r="96" spans="1:6" s="875" customFormat="1" ht="48">
      <c r="A96" s="879">
        <v>36</v>
      </c>
      <c r="B96" s="3280"/>
      <c r="C96" s="815" t="s">
        <v>687</v>
      </c>
      <c r="D96" s="815" t="s">
        <v>688</v>
      </c>
      <c r="E96" s="892">
        <v>0.2</v>
      </c>
      <c r="F96" s="879">
        <v>30</v>
      </c>
    </row>
    <row r="97" spans="1:6" s="875" customFormat="1" ht="36">
      <c r="A97" s="879">
        <v>37</v>
      </c>
      <c r="B97" s="3280"/>
      <c r="C97" s="879" t="s">
        <v>689</v>
      </c>
      <c r="D97" s="815" t="s">
        <v>690</v>
      </c>
      <c r="E97" s="892">
        <v>0.2</v>
      </c>
      <c r="F97" s="879">
        <v>30</v>
      </c>
    </row>
    <row r="98" spans="1:6" s="875" customFormat="1" ht="36">
      <c r="A98" s="879">
        <v>38</v>
      </c>
      <c r="B98" s="3280"/>
      <c r="C98" s="879" t="s">
        <v>691</v>
      </c>
      <c r="D98" s="815" t="s">
        <v>692</v>
      </c>
      <c r="E98" s="892">
        <v>0.2</v>
      </c>
      <c r="F98" s="879">
        <v>30</v>
      </c>
    </row>
    <row r="99" spans="1:6" s="875" customFormat="1" ht="36">
      <c r="A99" s="879">
        <v>39</v>
      </c>
      <c r="B99" s="3280" t="s">
        <v>693</v>
      </c>
      <c r="C99" s="879" t="s">
        <v>694</v>
      </c>
      <c r="D99" s="815" t="s">
        <v>695</v>
      </c>
      <c r="E99" s="892">
        <v>0.3</v>
      </c>
      <c r="F99" s="879">
        <v>50</v>
      </c>
    </row>
    <row r="100" spans="1:6" s="875" customFormat="1" ht="24">
      <c r="A100" s="879">
        <v>40</v>
      </c>
      <c r="B100" s="3280"/>
      <c r="C100" s="879" t="s">
        <v>696</v>
      </c>
      <c r="D100" s="815" t="s">
        <v>697</v>
      </c>
      <c r="E100" s="892">
        <v>0.2</v>
      </c>
      <c r="F100" s="879">
        <v>30</v>
      </c>
    </row>
    <row r="101" spans="1:6" s="875" customFormat="1" ht="36">
      <c r="A101" s="879">
        <v>41</v>
      </c>
      <c r="B101" s="3280"/>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0" t="s">
        <v>708</v>
      </c>
      <c r="C105" s="879" t="s">
        <v>709</v>
      </c>
      <c r="D105" s="815" t="s">
        <v>710</v>
      </c>
      <c r="E105" s="892">
        <v>0.2</v>
      </c>
      <c r="F105" s="879">
        <v>30</v>
      </c>
    </row>
    <row r="106" spans="1:6" s="875" customFormat="1" ht="36">
      <c r="A106" s="879">
        <v>46</v>
      </c>
      <c r="B106" s="3280"/>
      <c r="C106" s="879" t="s">
        <v>711</v>
      </c>
      <c r="D106" s="815" t="s">
        <v>712</v>
      </c>
      <c r="E106" s="892">
        <v>0.2</v>
      </c>
      <c r="F106" s="879">
        <v>30</v>
      </c>
    </row>
    <row r="107" spans="1:6" s="875" customFormat="1" ht="36">
      <c r="A107" s="879">
        <v>47</v>
      </c>
      <c r="B107" s="3280" t="s">
        <v>713</v>
      </c>
      <c r="C107" s="879" t="s">
        <v>714</v>
      </c>
      <c r="D107" s="815" t="s">
        <v>715</v>
      </c>
      <c r="E107" s="892">
        <v>0.3</v>
      </c>
      <c r="F107" s="879">
        <v>50</v>
      </c>
    </row>
    <row r="108" spans="1:6" s="875" customFormat="1" ht="36">
      <c r="A108" s="879">
        <v>48</v>
      </c>
      <c r="B108" s="328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0" t="s">
        <v>724</v>
      </c>
      <c r="C111" s="879" t="s">
        <v>725</v>
      </c>
      <c r="D111" s="815" t="s">
        <v>726</v>
      </c>
      <c r="E111" s="892">
        <v>0.2</v>
      </c>
      <c r="F111" s="879">
        <v>30</v>
      </c>
    </row>
    <row r="112" spans="1:6" s="875" customFormat="1" ht="24">
      <c r="A112" s="879">
        <v>52</v>
      </c>
      <c r="B112" s="3280"/>
      <c r="C112" s="879" t="s">
        <v>727</v>
      </c>
      <c r="D112" s="815" t="s">
        <v>728</v>
      </c>
      <c r="E112" s="892">
        <v>0.2</v>
      </c>
      <c r="F112" s="879">
        <v>30</v>
      </c>
    </row>
    <row r="113" spans="1:6" s="875" customFormat="1" ht="24">
      <c r="A113" s="879">
        <v>53</v>
      </c>
      <c r="B113" s="3280"/>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0" t="s">
        <v>737</v>
      </c>
      <c r="C116" s="879" t="s">
        <v>738</v>
      </c>
      <c r="D116" s="815" t="s">
        <v>739</v>
      </c>
      <c r="E116" s="892">
        <v>0.2</v>
      </c>
      <c r="F116" s="879">
        <v>30</v>
      </c>
    </row>
    <row r="117" spans="1:6" ht="36">
      <c r="A117" s="879">
        <v>57</v>
      </c>
      <c r="B117" s="3280"/>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L7" sqref="L7"/>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2999</v>
      </c>
    </row>
    <row r="2" spans="1:5" ht="15.75">
      <c r="A2" s="2905" t="s">
        <v>2991</v>
      </c>
      <c r="B2" s="2906" t="e">
        <f ca="1">SUMIF(B6:B13,"&lt;&gt;#ref!",B6:B13)</f>
        <v>#DIV/0!</v>
      </c>
      <c r="C2" s="2905" t="s">
        <v>2992</v>
      </c>
      <c r="D2" s="2905" t="s">
        <v>2993</v>
      </c>
      <c r="E2" s="2906">
        <f ca="1">SUMIF(E6:E13,"&lt;&gt;#ref!",E6:E13)</f>
        <v>0</v>
      </c>
    </row>
    <row r="3" spans="1:5" ht="15.75">
      <c r="A3" s="2905" t="s">
        <v>2994</v>
      </c>
      <c r="B3" s="2906" t="e">
        <f ca="1">ROUND(B2*10000/E2,0)</f>
        <v>#DIV/0!</v>
      </c>
      <c r="C3" s="2905" t="s">
        <v>3000</v>
      </c>
      <c r="D3" s="2907"/>
      <c r="E3" s="2907"/>
    </row>
    <row r="4" spans="1:5" ht="15.75">
      <c r="A4" s="2908"/>
      <c r="B4" s="2907"/>
      <c r="C4" s="2907"/>
      <c r="D4" s="2907"/>
      <c r="E4" s="2907"/>
    </row>
    <row r="5" spans="1:5" ht="28.5">
      <c r="A5" s="2909" t="s">
        <v>2995</v>
      </c>
      <c r="B5" s="2905" t="s">
        <v>2996</v>
      </c>
      <c r="C5" s="2906"/>
      <c r="D5" s="2907"/>
      <c r="E5" s="2905" t="s">
        <v>2997</v>
      </c>
    </row>
    <row r="6" spans="1:5" ht="15.75">
      <c r="A6" s="2910" t="s">
        <v>2998</v>
      </c>
      <c r="B6" s="2906" t="e">
        <f ca="1">SUMIF(INDIRECT("'"&amp;A6&amp;"'"&amp;"!A:A"),"总价",INDIRECT("'"&amp;A6&amp;"'"&amp;"!B:B"))</f>
        <v>#DIV/0!</v>
      </c>
      <c r="C6" s="2905" t="s">
        <v>2992</v>
      </c>
      <c r="D6" s="2907"/>
      <c r="E6" s="2571">
        <f ca="1">SUMIF(INDIRECT("'"&amp;A6&amp;"'"&amp;"!C:C"),"建筑面积",INDIRECT("'"&amp;A6&amp;"'"&amp;"!D:D"))</f>
        <v>0</v>
      </c>
    </row>
    <row r="7" spans="1:5" ht="15.75">
      <c r="A7" s="2910"/>
      <c r="B7" s="2906" t="e">
        <f ca="1">SUMIF(INDIRECT("'"&amp;A7&amp;"'"&amp;"!A:A"),"总价",INDIRECT("'"&amp;A7&amp;"'"&amp;"!B:B"))</f>
        <v>#REF!</v>
      </c>
      <c r="C7" s="2905" t="s">
        <v>2992</v>
      </c>
      <c r="D7" s="2907"/>
      <c r="E7" s="2571" t="e">
        <f t="shared" ref="E7:E13" ca="1" si="0">SUMIF(INDIRECT("'"&amp;A7&amp;"'"&amp;"!C:C"),"建筑面积",INDIRECT("'"&amp;A7&amp;"'"&amp;"!D:D"))</f>
        <v>#REF!</v>
      </c>
    </row>
    <row r="8" spans="1:5" ht="15.75">
      <c r="A8" s="2910"/>
      <c r="B8" s="2906" t="e">
        <f t="shared" ref="B8:B13" ca="1" si="1">SUMIF(INDIRECT("'"&amp;A8&amp;"'"&amp;"!A:A"),"总价",INDIRECT("'"&amp;A8&amp;"'"&amp;"!B:B"))</f>
        <v>#REF!</v>
      </c>
      <c r="C8" s="2905" t="s">
        <v>2992</v>
      </c>
      <c r="D8" s="2907"/>
      <c r="E8" s="2571" t="e">
        <f t="shared" ca="1" si="0"/>
        <v>#REF!</v>
      </c>
    </row>
    <row r="9" spans="1:5" ht="15.75">
      <c r="A9" s="2910"/>
      <c r="B9" s="2906" t="e">
        <f t="shared" ca="1" si="1"/>
        <v>#REF!</v>
      </c>
      <c r="C9" s="2905" t="s">
        <v>2992</v>
      </c>
      <c r="D9" s="2907"/>
      <c r="E9" s="2571" t="e">
        <f t="shared" ca="1" si="0"/>
        <v>#REF!</v>
      </c>
    </row>
    <row r="10" spans="1:5" ht="15.75">
      <c r="A10" s="2910"/>
      <c r="B10" s="2906" t="e">
        <f t="shared" ca="1" si="1"/>
        <v>#REF!</v>
      </c>
      <c r="C10" s="2905" t="s">
        <v>2992</v>
      </c>
      <c r="D10" s="2907"/>
      <c r="E10" s="2571" t="e">
        <f t="shared" ca="1" si="0"/>
        <v>#REF!</v>
      </c>
    </row>
    <row r="11" spans="1:5" ht="15.75">
      <c r="A11" s="2910"/>
      <c r="B11" s="2906" t="e">
        <f t="shared" ca="1" si="1"/>
        <v>#REF!</v>
      </c>
      <c r="C11" s="2905" t="s">
        <v>2992</v>
      </c>
      <c r="D11" s="2907"/>
      <c r="E11" s="2571" t="e">
        <f t="shared" ca="1" si="0"/>
        <v>#REF!</v>
      </c>
    </row>
    <row r="12" spans="1:5" ht="15.75">
      <c r="A12" s="2910"/>
      <c r="B12" s="2906" t="e">
        <f t="shared" ca="1" si="1"/>
        <v>#REF!</v>
      </c>
      <c r="C12" s="2905" t="s">
        <v>2992</v>
      </c>
      <c r="D12" s="2907"/>
      <c r="E12" s="2571" t="e">
        <f t="shared" ca="1" si="0"/>
        <v>#REF!</v>
      </c>
    </row>
    <row r="13" spans="1:5" ht="15.75">
      <c r="A13" s="2910"/>
      <c r="B13" s="2906" t="e">
        <f t="shared" ca="1" si="1"/>
        <v>#REF!</v>
      </c>
      <c r="C13" s="2905" t="s">
        <v>2992</v>
      </c>
      <c r="D13" s="2907"/>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60"/>
      <c r="B4" s="2976" t="s">
        <v>1630</v>
      </c>
      <c r="C4" s="2976"/>
      <c r="D4" s="2976"/>
      <c r="E4" s="1960"/>
    </row>
    <row r="5" spans="1:5" ht="16.5" thickTop="1">
      <c r="A5" s="1958"/>
      <c r="B5" s="2974" t="s">
        <v>1622</v>
      </c>
      <c r="C5" s="1961" t="s">
        <v>1623</v>
      </c>
      <c r="D5" s="1040">
        <f ca="1">结果表!H101</f>
        <v>70784</v>
      </c>
      <c r="E5" s="1958"/>
    </row>
    <row r="6" spans="1:5" ht="15.75">
      <c r="A6" s="1958"/>
      <c r="B6" s="2974"/>
      <c r="C6" s="1961" t="s">
        <v>1624</v>
      </c>
      <c r="D6" s="1040" t="str">
        <f ca="1">NUMBERSTRING(INT(D5*10000),2)&amp;"元整"</f>
        <v>柒亿零柒佰捌拾肆万元整</v>
      </c>
      <c r="E6" s="1958"/>
    </row>
    <row r="7" spans="1:5" ht="15.75">
      <c r="A7" s="1958"/>
      <c r="B7" s="2979"/>
      <c r="C7" s="1962" t="s">
        <v>1625</v>
      </c>
      <c r="D7" s="1041">
        <f ca="1">结果表!H102</f>
        <v>27869</v>
      </c>
      <c r="E7" s="1958"/>
    </row>
    <row r="8" spans="1:5" ht="15.75">
      <c r="A8" s="1958"/>
      <c r="B8" s="2980" t="str">
        <f>结果表!E103</f>
        <v>2.估价师知悉的法定优先受偿款</v>
      </c>
      <c r="C8" s="1963" t="s">
        <v>1626</v>
      </c>
      <c r="D8" s="1041">
        <f>结果表!H103</f>
        <v>0</v>
      </c>
      <c r="E8" s="1958"/>
    </row>
    <row r="9" spans="1:5" ht="15.75">
      <c r="A9" s="1958"/>
      <c r="B9" s="2982"/>
      <c r="C9" s="1961" t="s">
        <v>1624</v>
      </c>
      <c r="D9" s="1040" t="str">
        <f>NUMBERSTRING(INT(D8*10000),2)&amp;"元整"</f>
        <v>零元整</v>
      </c>
      <c r="E9" s="1958"/>
    </row>
    <row r="10" spans="1:5" ht="15">
      <c r="A10" s="1958"/>
      <c r="B10" s="1964" t="s">
        <v>1629</v>
      </c>
      <c r="C10" s="1965" t="s">
        <v>1627</v>
      </c>
      <c r="D10" s="1042">
        <f>结果表!H104</f>
        <v>0</v>
      </c>
      <c r="E10" s="1958"/>
    </row>
    <row r="11" spans="1:5" ht="15">
      <c r="A11" s="1958"/>
      <c r="B11" s="1964" t="s">
        <v>1631</v>
      </c>
      <c r="C11" s="1965" t="s">
        <v>1632</v>
      </c>
      <c r="D11" s="1042">
        <f>结果表!H105</f>
        <v>0</v>
      </c>
      <c r="E11" s="1958"/>
    </row>
    <row r="12" spans="1:5" ht="15">
      <c r="A12" s="1958"/>
      <c r="B12" s="1964" t="s">
        <v>1633</v>
      </c>
      <c r="C12" s="1965" t="s">
        <v>1632</v>
      </c>
      <c r="D12" s="1042">
        <f>结果表!H106</f>
        <v>0</v>
      </c>
      <c r="E12" s="1958"/>
    </row>
    <row r="13" spans="1:5" ht="15.75">
      <c r="A13" s="1958"/>
      <c r="B13" s="2973" t="str">
        <f>结果表!E107</f>
        <v>3.房地产抵押价值</v>
      </c>
      <c r="C13" s="1966" t="s">
        <v>1623</v>
      </c>
      <c r="D13" s="1043">
        <f ca="1">结果表!H107</f>
        <v>70784</v>
      </c>
      <c r="E13" s="1958"/>
    </row>
    <row r="14" spans="1:5" ht="15.75">
      <c r="A14" s="1958"/>
      <c r="B14" s="2974"/>
      <c r="C14" s="1961" t="s">
        <v>1624</v>
      </c>
      <c r="D14" s="1040" t="str">
        <f ca="1">NUMBERSTRING(INT(D13*10000),2)&amp;"元整"</f>
        <v>柒亿零柒佰捌拾肆万元整</v>
      </c>
      <c r="E14" s="1958"/>
    </row>
    <row r="15" spans="1:5" ht="15">
      <c r="A15" s="1958"/>
      <c r="B15" s="2979"/>
      <c r="C15" s="1962" t="s">
        <v>1634</v>
      </c>
      <c r="D15" s="1052">
        <f ca="1">结果表!H108</f>
        <v>27869</v>
      </c>
      <c r="E15" s="1958"/>
    </row>
    <row r="16" spans="1:5" ht="15">
      <c r="A16" s="1958"/>
      <c r="B16" s="2980" t="str">
        <f>结果表!E109</f>
        <v>——</v>
      </c>
      <c r="C16" s="1966" t="s">
        <v>1635</v>
      </c>
      <c r="D16" s="1967" t="str">
        <f>结果表!H109</f>
        <v>——</v>
      </c>
      <c r="E16" s="1958"/>
    </row>
    <row r="17" spans="1:5" ht="15.75">
      <c r="A17" s="1958"/>
      <c r="B17" s="2981"/>
      <c r="C17" s="1961" t="s">
        <v>1636</v>
      </c>
      <c r="D17" s="1040" t="e">
        <f>NUMBERSTRING(INT(D16*10000),2)&amp;"元整"</f>
        <v>#VALUE!</v>
      </c>
      <c r="E17" s="1958"/>
    </row>
    <row r="18" spans="1:5" ht="15">
      <c r="A18" s="1958"/>
      <c r="B18" s="2982"/>
      <c r="C18" s="1962" t="s">
        <v>1625</v>
      </c>
      <c r="D18" s="1052" t="str">
        <f>结果表!H110</f>
        <v>——</v>
      </c>
      <c r="E18" s="1958"/>
    </row>
    <row r="19" spans="1:5" ht="15.75">
      <c r="A19" s="1958"/>
      <c r="B19" s="2973" t="str">
        <f>结果表!E111</f>
        <v>——</v>
      </c>
      <c r="C19" s="1966" t="s">
        <v>1623</v>
      </c>
      <c r="D19" s="1041" t="str">
        <f>结果表!H111</f>
        <v>——</v>
      </c>
      <c r="E19" s="1958"/>
    </row>
    <row r="20" spans="1:5" ht="15.75">
      <c r="A20" s="1958"/>
      <c r="B20" s="2974"/>
      <c r="C20" s="1961" t="s">
        <v>1636</v>
      </c>
      <c r="D20" s="1040" t="e">
        <f>NUMBERSTRING(INT(D19*10000),2)&amp;"元整"</f>
        <v>#VALUE!</v>
      </c>
      <c r="E20" s="1958"/>
    </row>
    <row r="21" spans="1:5" ht="15.75" thickBot="1">
      <c r="A21" s="1958"/>
      <c r="B21" s="2975"/>
      <c r="C21" s="1968" t="s">
        <v>1634</v>
      </c>
      <c r="D21" s="1053" t="str">
        <f>结果表!H112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6" t="s">
        <v>1150</v>
      </c>
      <c r="C1" s="3286"/>
      <c r="D1" s="3286"/>
      <c r="E1" s="3286"/>
      <c r="F1" s="3286"/>
      <c r="G1" s="3282" t="s">
        <v>1151</v>
      </c>
      <c r="H1" s="3282"/>
      <c r="I1" s="3282"/>
      <c r="J1" s="3282"/>
      <c r="K1" s="3282"/>
      <c r="L1" s="3282"/>
      <c r="N1" s="3282" t="s">
        <v>1152</v>
      </c>
      <c r="O1" s="3282"/>
      <c r="P1" s="3282"/>
      <c r="Q1" s="3282"/>
      <c r="R1" s="1446"/>
      <c r="S1" s="3282" t="s">
        <v>1153</v>
      </c>
      <c r="T1" s="3282"/>
      <c r="U1" s="3282"/>
      <c r="V1" s="3282"/>
      <c r="X1" s="3281" t="s">
        <v>1154</v>
      </c>
      <c r="Y1" s="3282"/>
      <c r="Z1" s="3282"/>
      <c r="AA1" s="3282"/>
      <c r="AB1" s="3282"/>
      <c r="AD1" s="3281" t="s">
        <v>1155</v>
      </c>
      <c r="AE1" s="3282"/>
      <c r="AF1" s="3282"/>
      <c r="AG1" s="3282"/>
      <c r="AH1" s="3282"/>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4" customFormat="1" ht="14.25">
      <c r="A3" s="2933" t="s">
        <v>3026</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3033</v>
      </c>
      <c r="B5" s="1790">
        <f t="shared" ref="B5" si="2">B6*(1+N5)</f>
        <v>453.11529869999993</v>
      </c>
      <c r="C5" s="1790">
        <f t="shared" ref="C5" si="3">C6*(1+O5)</f>
        <v>336.47787264000004</v>
      </c>
      <c r="D5" s="1790">
        <f t="shared" ref="D5" si="4">C5</f>
        <v>336.47787264000004</v>
      </c>
      <c r="E5" s="1790">
        <f t="shared" ref="E5" si="5">E6*(1+P5)</f>
        <v>647.35186823999993</v>
      </c>
      <c r="F5" s="1790">
        <f t="shared" ref="F5" si="6">F6*(1+Q5)</f>
        <v>295.73229452000004</v>
      </c>
      <c r="G5" s="2936">
        <v>2018</v>
      </c>
      <c r="H5" s="1730">
        <v>3</v>
      </c>
      <c r="I5" s="2919">
        <v>0</v>
      </c>
      <c r="J5" s="2919">
        <v>0</v>
      </c>
      <c r="K5" s="2919">
        <v>0</v>
      </c>
      <c r="L5" s="2919">
        <v>0</v>
      </c>
      <c r="N5" s="1467">
        <f>I5/100</f>
        <v>0</v>
      </c>
      <c r="O5" s="1467">
        <f t="shared" ref="O5" si="7">J5/100</f>
        <v>0</v>
      </c>
      <c r="P5" s="1467">
        <f t="shared" ref="P5" si="8">K5/100</f>
        <v>0</v>
      </c>
      <c r="Q5" s="1467">
        <f t="shared" ref="Q5" si="9">L5/100</f>
        <v>0</v>
      </c>
      <c r="R5" s="1732"/>
      <c r="S5" s="1733"/>
      <c r="T5" s="1732"/>
      <c r="U5" s="1732"/>
      <c r="V5" s="1732"/>
      <c r="W5" s="2923" t="s">
        <v>3027</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3034</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34"/>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89"/>
      <c r="X6" s="1787">
        <f>ROUND(SUMPRODUCT(PRODUCT(1+N6:N$22)),4)</f>
        <v>1.4733000000000001</v>
      </c>
      <c r="Y6" s="1787">
        <f>ROUND(SUMPRODUCT(PRODUCT(1+O6:O$22)),4)</f>
        <v>1.3052999999999999</v>
      </c>
      <c r="Z6" s="1787">
        <f t="shared" ref="Z6" si="21">Y6</f>
        <v>1.3052999999999999</v>
      </c>
      <c r="AA6" s="1787">
        <f>ROUND(SUMPRODUCT(PRODUCT(1+P6:P$22)),4)</f>
        <v>1.5306999999999999</v>
      </c>
      <c r="AB6" s="1787">
        <f>ROUND(SUMPRODUCT(PRODUCT(1+Q6:Q$22)),4)</f>
        <v>1.2863</v>
      </c>
      <c r="AC6" s="1789"/>
      <c r="AD6" s="1788">
        <f>ROUND(AVERAGE(I6:I$23)/100,4)</f>
        <v>2.35E-2</v>
      </c>
      <c r="AE6" s="1788">
        <f>ROUND(AVERAGE(J6:J$23)/100,4)</f>
        <v>1.6199999999999999E-2</v>
      </c>
      <c r="AF6" s="1788">
        <f t="shared" ref="AF6" si="22">AE6</f>
        <v>1.6199999999999999E-2</v>
      </c>
      <c r="AG6" s="1788">
        <f>ROUND(AVERAGE(K6:K$23)/100,4)</f>
        <v>2.5899999999999999E-2</v>
      </c>
      <c r="AH6" s="1788">
        <f>ROUND(AVERAGE(L6:L$23)/100,4)</f>
        <v>1.49E-2</v>
      </c>
    </row>
    <row r="7" spans="1:34" s="1466" customFormat="1" ht="13.5" thickBot="1">
      <c r="A7" s="1461" t="s">
        <v>3025</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34"/>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89"/>
      <c r="X7" s="1787">
        <f>ROUND(SUMPRODUCT(PRODUCT(1+N7:N$22)),4)</f>
        <v>1.4517</v>
      </c>
      <c r="Y7" s="1787">
        <f>ROUND(SUMPRODUCT(PRODUCT(1+O7:O$22)),4)</f>
        <v>1.2928999999999999</v>
      </c>
      <c r="Z7" s="1787">
        <f t="shared" ref="Z7" si="35">Y7</f>
        <v>1.2928999999999999</v>
      </c>
      <c r="AA7" s="1787">
        <f>ROUND(SUMPRODUCT(PRODUCT(1+P7:P$22)),4)</f>
        <v>1.5068999999999999</v>
      </c>
      <c r="AB7" s="1787">
        <f>ROUND(SUMPRODUCT(PRODUCT(1+Q7:Q$22)),4)</f>
        <v>1.2557</v>
      </c>
      <c r="AC7" s="1789"/>
      <c r="AD7" s="1788">
        <f>ROUND(AVERAGE(I7:I$23)/100,4)</f>
        <v>2.4E-2</v>
      </c>
      <c r="AE7" s="1788">
        <f>ROUND(AVERAGE(J7:J$23)/100,4)</f>
        <v>1.66E-2</v>
      </c>
      <c r="AF7" s="1788">
        <f t="shared" ref="AF7" si="36">AE7</f>
        <v>1.66E-2</v>
      </c>
      <c r="AG7" s="1788">
        <f>ROUND(AVERAGE(K7:K$23)/100,4)</f>
        <v>2.6499999999999999E-2</v>
      </c>
      <c r="AH7" s="1788">
        <f>ROUND(AVERAGE(L7:L$23)/100,4)</f>
        <v>1.43E-2</v>
      </c>
    </row>
    <row r="8" spans="1:34">
      <c r="A8" s="1461" t="s">
        <v>3022</v>
      </c>
      <c r="B8" s="1469">
        <v>439</v>
      </c>
      <c r="C8" s="1469">
        <v>327</v>
      </c>
      <c r="D8" s="1469">
        <f>C8</f>
        <v>327</v>
      </c>
      <c r="E8" s="1469">
        <v>627</v>
      </c>
      <c r="F8" s="1470">
        <v>283</v>
      </c>
      <c r="G8" s="2921">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3023</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17"/>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89"/>
      <c r="X9" s="1787">
        <f>ROUND(SUMPRODUCT(PRODUCT(1+N9:N$22)),4)</f>
        <v>1.4034</v>
      </c>
      <c r="Y9" s="1787">
        <f>ROUND(SUMPRODUCT(PRODUCT(1+O9:O$22)),4)</f>
        <v>1.2463</v>
      </c>
      <c r="Z9" s="1787">
        <f t="shared" si="0"/>
        <v>1.2463</v>
      </c>
      <c r="AA9" s="1787">
        <f>ROUND(SUMPRODUCT(PRODUCT(1+P9:P$22)),4)</f>
        <v>1.4577</v>
      </c>
      <c r="AB9" s="1787">
        <f>ROUND(SUMPRODUCT(PRODUCT(1+Q9:Q$22)),4)</f>
        <v>1.2136</v>
      </c>
      <c r="AC9" s="1789"/>
      <c r="AD9" s="1788">
        <f>ROUND(AVERAGE(I9:I$23)/100,4)</f>
        <v>2.4899999999999999E-2</v>
      </c>
      <c r="AE9" s="1788">
        <f>ROUND(AVERAGE(J9:J$23)/100,4)</f>
        <v>1.6400000000000001E-2</v>
      </c>
      <c r="AF9" s="1788">
        <f t="shared" si="1"/>
        <v>1.6400000000000001E-2</v>
      </c>
      <c r="AG9" s="1788">
        <f>ROUND(AVERAGE(K9:K$23)/100,4)</f>
        <v>2.7799999999999998E-2</v>
      </c>
      <c r="AH9" s="1788">
        <f>ROUND(AVERAGE(L9:L$23)/100,4)</f>
        <v>1.3899999999999999E-2</v>
      </c>
    </row>
    <row r="10" spans="1:34" s="1731"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16"/>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7">
        <f>ROUND(SUMPRODUCT(PRODUCT(1+N10:N$22)),4)</f>
        <v>1.3628</v>
      </c>
      <c r="Y10" s="1787">
        <f>ROUND(SUMPRODUCT(PRODUCT(1+O10:O$22)),4)</f>
        <v>1.2205999999999999</v>
      </c>
      <c r="Z10" s="1787">
        <f t="shared" si="0"/>
        <v>1.2205999999999999</v>
      </c>
      <c r="AA10" s="1787">
        <f>ROUND(SUMPRODUCT(PRODUCT(1+P10:P$22)),4)</f>
        <v>1.4118999999999999</v>
      </c>
      <c r="AB10" s="1787">
        <f>ROUND(SUMPRODUCT(PRODUCT(1+Q10:Q$22)),4)</f>
        <v>1.1930000000000001</v>
      </c>
      <c r="AC10" s="1453"/>
      <c r="AD10" s="1788">
        <f>ROUND(AVERAGE(I10:I$23)/100,4)</f>
        <v>2.46E-2</v>
      </c>
      <c r="AE10" s="1788">
        <f>ROUND(AVERAGE(J10:J$23)/100,4)</f>
        <v>1.6E-2</v>
      </c>
      <c r="AF10" s="1788">
        <f t="shared" si="1"/>
        <v>1.6E-2</v>
      </c>
      <c r="AG10" s="1788">
        <f>ROUND(AVERAGE(K10:K$23)/100,4)</f>
        <v>2.75E-2</v>
      </c>
      <c r="AH10" s="1788">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17"/>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89"/>
      <c r="X11" s="1787">
        <f>ROUND(SUMPRODUCT(PRODUCT(1+N11:N$22)),4)</f>
        <v>1.3180000000000001</v>
      </c>
      <c r="Y11" s="1787">
        <f>ROUND(SUMPRODUCT(PRODUCT(1+O11:O$22)),4)</f>
        <v>1.1966000000000001</v>
      </c>
      <c r="Z11" s="1787">
        <f t="shared" si="0"/>
        <v>1.1966000000000001</v>
      </c>
      <c r="AA11" s="1787">
        <f>ROUND(SUMPRODUCT(PRODUCT(1+P11:P$22)),4)</f>
        <v>1.36</v>
      </c>
      <c r="AB11" s="1787">
        <f>ROUND(SUMPRODUCT(PRODUCT(1+Q11:Q$22)),4)</f>
        <v>1.1733</v>
      </c>
      <c r="AC11" s="1789"/>
      <c r="AD11" s="1788">
        <f>ROUND(AVERAGE(I11:I$23)/100,4)</f>
        <v>2.3900000000000001E-2</v>
      </c>
      <c r="AE11" s="1788">
        <f>ROUND(AVERAGE(J11:J$23)/100,4)</f>
        <v>1.5699999999999999E-2</v>
      </c>
      <c r="AF11" s="1788">
        <f t="shared" si="1"/>
        <v>1.5699999999999999E-2</v>
      </c>
      <c r="AG11" s="1788">
        <f>ROUND(AVERAGE(K11:K$23)/100,4)</f>
        <v>2.6599999999999999E-2</v>
      </c>
      <c r="AH11" s="1788">
        <f>ROUND(AVERAGE(L11:L$23)/100,4)</f>
        <v>1.34E-2</v>
      </c>
    </row>
    <row r="12" spans="1:34">
      <c r="A12" s="1461" t="s">
        <v>154</v>
      </c>
      <c r="B12" s="1469">
        <v>392</v>
      </c>
      <c r="C12" s="1469">
        <v>302</v>
      </c>
      <c r="D12" s="1469">
        <f>C12</f>
        <v>302</v>
      </c>
      <c r="E12" s="1469">
        <v>553</v>
      </c>
      <c r="F12" s="1470">
        <v>266</v>
      </c>
      <c r="G12" s="3287">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284"/>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284"/>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285"/>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283">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284"/>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284"/>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285"/>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283">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284"/>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284"/>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285"/>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1" t="s">
        <v>1163</v>
      </c>
      <c r="B24" s="1469">
        <v>299</v>
      </c>
      <c r="C24" s="1469">
        <v>252</v>
      </c>
      <c r="D24" s="1469">
        <f t="shared" si="54"/>
        <v>252</v>
      </c>
      <c r="E24" s="1469">
        <v>409</v>
      </c>
      <c r="F24" s="1470">
        <v>227</v>
      </c>
      <c r="G24" s="3288">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289"/>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289"/>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290"/>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283">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284"/>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284"/>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285"/>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283">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284">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284">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285">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283">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284">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284">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285">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283">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284">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284">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285">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283">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284">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284">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285">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283">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284">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284">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285">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283">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284">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284">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285">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283">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284">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284">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285">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283">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284">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284">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285">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283">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284">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284">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285">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283">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284">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284">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285">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F17" sqref="F17"/>
    </sheetView>
  </sheetViews>
  <sheetFormatPr defaultRowHeight="12.75"/>
  <cols>
    <col min="1" max="1" width="11.5" style="139" customWidth="1"/>
    <col min="2" max="2" width="9.25" style="27" customWidth="1"/>
    <col min="3" max="3" width="7.625" style="27" customWidth="1"/>
    <col min="4" max="4" width="9" style="27"/>
    <col min="5" max="5" width="7.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4" t="s">
        <v>3001</v>
      </c>
      <c r="C1" s="3291" t="s">
        <v>3002</v>
      </c>
      <c r="D1" s="3292"/>
      <c r="E1" s="3292"/>
      <c r="F1" s="3292"/>
      <c r="G1" s="3292"/>
      <c r="H1" s="3292"/>
      <c r="I1" s="3292"/>
      <c r="J1" s="3292"/>
      <c r="K1" s="3292"/>
      <c r="L1" s="3292"/>
      <c r="M1" s="3292"/>
      <c r="N1" s="3292"/>
      <c r="O1" s="3292"/>
      <c r="P1" s="3292"/>
      <c r="Q1" s="3292"/>
      <c r="R1" s="3292"/>
      <c r="S1" s="3293"/>
      <c r="T1" s="1204" t="s">
        <v>2872</v>
      </c>
    </row>
    <row r="2" spans="1:45" s="706" customFormat="1" ht="25.5">
      <c r="A2" s="1205"/>
      <c r="B2" s="702" t="s">
        <v>1870</v>
      </c>
      <c r="C2" s="703" t="str">
        <f t="shared" ref="C2:R2" si="0">C3&amp;"(含)"&amp;"-"&amp;D3</f>
        <v>0(含)-50</v>
      </c>
      <c r="D2" s="704" t="str">
        <f t="shared" si="0"/>
        <v>50(含)-100</v>
      </c>
      <c r="E2" s="704" t="str">
        <f t="shared" si="0"/>
        <v>100(含)-150</v>
      </c>
      <c r="F2" s="704" t="str">
        <f t="shared" si="0"/>
        <v>150(含)-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7"/>
      <c r="B3" s="707"/>
      <c r="C3" s="595">
        <v>0</v>
      </c>
      <c r="D3" s="595">
        <v>50</v>
      </c>
      <c r="E3" s="595">
        <v>100</v>
      </c>
      <c r="F3" s="595">
        <v>150</v>
      </c>
      <c r="G3" s="1704"/>
      <c r="H3" s="1704"/>
      <c r="I3" s="1704"/>
      <c r="J3" s="1704"/>
      <c r="K3" s="1704"/>
      <c r="L3" s="1705"/>
      <c r="M3" s="1706"/>
      <c r="N3" s="1706"/>
      <c r="O3" s="1704"/>
      <c r="P3" s="1704"/>
      <c r="Q3" s="1704"/>
      <c r="R3" s="1704"/>
      <c r="S3" s="170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8"/>
      <c r="B4" s="1209"/>
      <c r="C4" s="560">
        <v>100</v>
      </c>
      <c r="D4" s="536">
        <v>101</v>
      </c>
      <c r="E4" s="536">
        <v>100</v>
      </c>
      <c r="F4" s="536">
        <v>99</v>
      </c>
      <c r="G4" s="1708"/>
      <c r="H4" s="1708"/>
      <c r="I4" s="1708"/>
      <c r="J4" s="1708"/>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7.75" thickTop="1">
      <c r="A5" s="1215"/>
      <c r="B5" s="2970" t="s">
        <v>3462</v>
      </c>
      <c r="C5" s="554" t="s">
        <v>3384</v>
      </c>
      <c r="D5" s="554" t="s">
        <v>3385</v>
      </c>
      <c r="E5" s="2956" t="s">
        <v>3475</v>
      </c>
      <c r="F5" s="583" t="s">
        <v>3387</v>
      </c>
      <c r="G5" s="1711"/>
      <c r="H5" s="1711"/>
      <c r="I5" s="1711"/>
      <c r="J5" s="1711"/>
      <c r="K5" s="1711"/>
      <c r="L5" s="1712"/>
      <c r="M5" s="1713"/>
      <c r="N5" s="1713"/>
      <c r="O5" s="1711"/>
      <c r="P5" s="1711"/>
      <c r="Q5" s="1711"/>
      <c r="R5" s="1711"/>
      <c r="S5" s="1714"/>
      <c r="T5" s="1219">
        <f>'比较法-商业'!K42</f>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5"/>
      <c r="B6" s="1116"/>
      <c r="C6" s="1122">
        <v>100</v>
      </c>
      <c r="D6" s="1119">
        <f>C6-$T5</f>
        <v>98</v>
      </c>
      <c r="E6" s="1119">
        <f t="shared" ref="E6:S6" si="1">D6-$T5</f>
        <v>96</v>
      </c>
      <c r="F6" s="1715">
        <f t="shared" si="1"/>
        <v>94</v>
      </c>
      <c r="G6" s="1715">
        <f t="shared" si="1"/>
        <v>92</v>
      </c>
      <c r="H6" s="1715">
        <f t="shared" si="1"/>
        <v>90</v>
      </c>
      <c r="I6" s="1715">
        <f t="shared" si="1"/>
        <v>88</v>
      </c>
      <c r="J6" s="1715">
        <f t="shared" si="1"/>
        <v>86</v>
      </c>
      <c r="K6" s="1715">
        <f t="shared" si="1"/>
        <v>84</v>
      </c>
      <c r="L6" s="1715">
        <f t="shared" si="1"/>
        <v>82</v>
      </c>
      <c r="M6" s="1715">
        <f t="shared" si="1"/>
        <v>80</v>
      </c>
      <c r="N6" s="1715">
        <f t="shared" si="1"/>
        <v>78</v>
      </c>
      <c r="O6" s="1715">
        <f t="shared" si="1"/>
        <v>76</v>
      </c>
      <c r="P6" s="1715">
        <f t="shared" si="1"/>
        <v>74</v>
      </c>
      <c r="Q6" s="1715">
        <f t="shared" si="1"/>
        <v>72</v>
      </c>
      <c r="R6" s="1715">
        <f t="shared" si="1"/>
        <v>70</v>
      </c>
      <c r="S6" s="1715">
        <f t="shared" si="1"/>
        <v>68</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ht="14.25" thickTop="1">
      <c r="A7" s="1215"/>
      <c r="B7" s="2971" t="s">
        <v>3466</v>
      </c>
      <c r="C7" s="2956" t="s">
        <v>3423</v>
      </c>
      <c r="D7" s="2956" t="s">
        <v>3425</v>
      </c>
      <c r="E7" s="2956" t="s">
        <v>3420</v>
      </c>
      <c r="F7" s="2956" t="s">
        <v>3426</v>
      </c>
      <c r="G7" s="2956" t="s">
        <v>3427</v>
      </c>
      <c r="H7" s="1716"/>
      <c r="I7" s="1716"/>
      <c r="J7" s="1716"/>
      <c r="K7" s="1716"/>
      <c r="L7" s="1716"/>
      <c r="M7" s="1717"/>
      <c r="N7" s="1718"/>
      <c r="O7" s="1719"/>
      <c r="P7" s="1720"/>
      <c r="Q7" s="1721"/>
      <c r="R7" s="1722"/>
      <c r="S7" s="1723"/>
      <c r="T7" s="710">
        <f>'比较法-商业'!K27</f>
        <v>5</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2" customHeight="1" thickBot="1">
      <c r="A8" s="1215"/>
      <c r="B8" s="1116"/>
      <c r="C8" s="1122">
        <v>100</v>
      </c>
      <c r="D8" s="1119">
        <f>C8-$T7</f>
        <v>95</v>
      </c>
      <c r="E8" s="1119">
        <f t="shared" ref="E8:S8" si="2">D8-$T7</f>
        <v>90</v>
      </c>
      <c r="F8" s="1715">
        <f t="shared" si="2"/>
        <v>85</v>
      </c>
      <c r="G8" s="1715">
        <f t="shared" si="2"/>
        <v>80</v>
      </c>
      <c r="H8" s="1715">
        <f t="shared" si="2"/>
        <v>75</v>
      </c>
      <c r="I8" s="1715">
        <f t="shared" si="2"/>
        <v>70</v>
      </c>
      <c r="J8" s="1715">
        <f t="shared" si="2"/>
        <v>65</v>
      </c>
      <c r="K8" s="1715">
        <f t="shared" si="2"/>
        <v>60</v>
      </c>
      <c r="L8" s="1715">
        <f t="shared" si="2"/>
        <v>55</v>
      </c>
      <c r="M8" s="1715">
        <f t="shared" si="2"/>
        <v>50</v>
      </c>
      <c r="N8" s="1715">
        <f t="shared" si="2"/>
        <v>45</v>
      </c>
      <c r="O8" s="1715">
        <f t="shared" si="2"/>
        <v>40</v>
      </c>
      <c r="P8" s="1715">
        <f t="shared" si="2"/>
        <v>35</v>
      </c>
      <c r="Q8" s="1715">
        <f t="shared" si="2"/>
        <v>30</v>
      </c>
      <c r="R8" s="1715">
        <f t="shared" si="2"/>
        <v>25</v>
      </c>
      <c r="S8" s="1715">
        <f t="shared" si="2"/>
        <v>20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14.25" customHeight="1" thickTop="1">
      <c r="A9" s="1215"/>
      <c r="B9" s="2971" t="s">
        <v>3467</v>
      </c>
      <c r="C9" s="2956" t="s">
        <v>3418</v>
      </c>
      <c r="D9" s="2956" t="s">
        <v>3417</v>
      </c>
      <c r="E9" s="2956" t="s">
        <v>3420</v>
      </c>
      <c r="F9" s="2963" t="s">
        <v>3421</v>
      </c>
      <c r="G9" s="2956" t="s">
        <v>3422</v>
      </c>
      <c r="H9" s="1716"/>
      <c r="I9" s="1716"/>
      <c r="J9" s="1716"/>
      <c r="K9" s="1716"/>
      <c r="L9" s="1724"/>
      <c r="M9" s="1717"/>
      <c r="N9" s="1718"/>
      <c r="O9" s="1719"/>
      <c r="P9" s="1720"/>
      <c r="Q9" s="1721"/>
      <c r="R9" s="1722"/>
      <c r="S9" s="1723"/>
      <c r="T9" s="710">
        <v>2</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8.75" customHeight="1" thickBot="1">
      <c r="A10" s="1215"/>
      <c r="B10" s="1209"/>
      <c r="C10" s="1220">
        <v>100</v>
      </c>
      <c r="D10" s="1221">
        <f>C10-$T9</f>
        <v>98</v>
      </c>
      <c r="E10" s="1221">
        <f t="shared" ref="E10:S10" si="3">D10-$T9</f>
        <v>96</v>
      </c>
      <c r="F10" s="1725">
        <f t="shared" si="3"/>
        <v>94</v>
      </c>
      <c r="G10" s="1725">
        <f t="shared" si="3"/>
        <v>92</v>
      </c>
      <c r="H10" s="1725">
        <f t="shared" si="3"/>
        <v>90</v>
      </c>
      <c r="I10" s="1725">
        <f t="shared" si="3"/>
        <v>88</v>
      </c>
      <c r="J10" s="1725">
        <f t="shared" si="3"/>
        <v>86</v>
      </c>
      <c r="K10" s="1725">
        <f t="shared" si="3"/>
        <v>84</v>
      </c>
      <c r="L10" s="1725">
        <f t="shared" si="3"/>
        <v>82</v>
      </c>
      <c r="M10" s="1725">
        <f t="shared" si="3"/>
        <v>80</v>
      </c>
      <c r="N10" s="1725">
        <f t="shared" si="3"/>
        <v>78</v>
      </c>
      <c r="O10" s="1725">
        <f t="shared" si="3"/>
        <v>76</v>
      </c>
      <c r="P10" s="1725">
        <f t="shared" si="3"/>
        <v>74</v>
      </c>
      <c r="Q10" s="1725">
        <f t="shared" si="3"/>
        <v>72</v>
      </c>
      <c r="R10" s="1725">
        <f t="shared" si="3"/>
        <v>70</v>
      </c>
      <c r="S10" s="1725">
        <f t="shared" si="3"/>
        <v>68</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27.75" thickTop="1">
      <c r="A11" s="1215"/>
      <c r="B11" s="2970" t="s">
        <v>3468</v>
      </c>
      <c r="C11" s="2956" t="s">
        <v>3412</v>
      </c>
      <c r="D11" s="2956" t="s">
        <v>3413</v>
      </c>
      <c r="E11" s="2956" t="s">
        <v>3415</v>
      </c>
      <c r="F11" s="2956" t="s">
        <v>3416</v>
      </c>
      <c r="G11" s="1217"/>
      <c r="H11" s="1217"/>
      <c r="I11" s="1217"/>
      <c r="J11" s="1217"/>
      <c r="K11" s="1217"/>
      <c r="L11" s="1217"/>
      <c r="M11" s="1218"/>
      <c r="N11" s="1222"/>
      <c r="O11" s="1223"/>
      <c r="P11" s="1224"/>
      <c r="Q11" s="1225"/>
      <c r="R11" s="1226"/>
      <c r="S11" s="1227"/>
      <c r="T11" s="1219">
        <f>'比较法-商业'!K25</f>
        <v>2</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0.5" customHeight="1" thickBot="1">
      <c r="A12" s="1215"/>
      <c r="B12" s="1116"/>
      <c r="C12" s="1122">
        <v>100</v>
      </c>
      <c r="D12" s="1119">
        <f>C12-$T11</f>
        <v>98</v>
      </c>
      <c r="E12" s="1119">
        <f t="shared" ref="E12:S12" si="4">D12-$T11</f>
        <v>96</v>
      </c>
      <c r="F12" s="1119">
        <f t="shared" si="4"/>
        <v>94</v>
      </c>
      <c r="G12" s="1119">
        <f t="shared" si="4"/>
        <v>92</v>
      </c>
      <c r="H12" s="1119">
        <f t="shared" si="4"/>
        <v>90</v>
      </c>
      <c r="I12" s="1119">
        <f t="shared" si="4"/>
        <v>88</v>
      </c>
      <c r="J12" s="1119">
        <f t="shared" si="4"/>
        <v>86</v>
      </c>
      <c r="K12" s="1119">
        <f t="shared" si="4"/>
        <v>84</v>
      </c>
      <c r="L12" s="1119">
        <f t="shared" si="4"/>
        <v>82</v>
      </c>
      <c r="M12" s="1119">
        <f t="shared" si="4"/>
        <v>80</v>
      </c>
      <c r="N12" s="1119">
        <f t="shared" si="4"/>
        <v>78</v>
      </c>
      <c r="O12" s="1119">
        <f t="shared" si="4"/>
        <v>76</v>
      </c>
      <c r="P12" s="1119">
        <f t="shared" si="4"/>
        <v>74</v>
      </c>
      <c r="Q12" s="1119">
        <f t="shared" si="4"/>
        <v>72</v>
      </c>
      <c r="R12" s="1119">
        <f>Q12-$T11</f>
        <v>70</v>
      </c>
      <c r="S12" s="1119">
        <f t="shared" si="4"/>
        <v>68</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t="2.25" hidden="1" customHeight="1" thickBot="1">
      <c r="A13" s="1215"/>
      <c r="B13" s="1769"/>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hidden="1"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ht="13.5" hidden="1" thickBot="1">
      <c r="A15" s="1215"/>
      <c r="B15" s="1769"/>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hidden="1"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11" t="s">
        <v>3005</v>
      </c>
      <c r="B17" s="2912" t="s">
        <v>3006</v>
      </c>
      <c r="C17" s="1231" t="s">
        <v>3469</v>
      </c>
      <c r="D17" s="1232" t="s">
        <v>3470</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6" customFormat="1" ht="13.5" thickBot="1">
      <c r="A18" s="1241"/>
      <c r="B18" s="1242"/>
      <c r="C18" s="1243">
        <v>100</v>
      </c>
      <c r="D18" s="1244">
        <v>70</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8"/>
      <c r="B19" s="168"/>
      <c r="C19" s="168"/>
      <c r="D19" s="2913" t="s">
        <v>3007</v>
      </c>
      <c r="E19" s="1791"/>
      <c r="F19" s="1791"/>
      <c r="G19" s="1791"/>
      <c r="H19" s="1280"/>
      <c r="I19" s="168"/>
      <c r="J19" s="168"/>
      <c r="K19" s="168"/>
      <c r="L19" s="168"/>
      <c r="M19" s="168"/>
      <c r="N19" s="168"/>
      <c r="O19" s="168"/>
      <c r="P19" s="168"/>
      <c r="Q19" s="168"/>
      <c r="R19" s="785"/>
      <c r="S19" s="138"/>
    </row>
    <row r="20" spans="1:45" ht="16.5" thickBot="1">
      <c r="A20" s="712" t="s">
        <v>3008</v>
      </c>
      <c r="B20" s="338">
        <f>IF(D20="——",S22,S22-F20)</f>
        <v>13640</v>
      </c>
      <c r="C20" s="168"/>
      <c r="D20" s="2914" t="s">
        <v>70</v>
      </c>
      <c r="E20" s="1792"/>
      <c r="F20" s="1204" t="e">
        <f ca="1">SUMIF(INDIRECT("'"&amp;H20&amp;"'"&amp;"!A:A"),"承租人权益价值",INDIRECT("'"&amp;H20&amp;"'"&amp;"!c:c"))</f>
        <v>#REF!</v>
      </c>
      <c r="G20" s="1204" t="s">
        <v>3009</v>
      </c>
      <c r="H20" s="2915"/>
      <c r="I20" s="168"/>
      <c r="J20" s="168"/>
      <c r="K20" s="168"/>
      <c r="L20" s="168"/>
      <c r="M20" s="168"/>
      <c r="N20" s="168"/>
      <c r="O20" s="168"/>
      <c r="P20" s="168"/>
      <c r="Q20" s="168"/>
      <c r="R20" s="785"/>
      <c r="S20" s="138"/>
    </row>
    <row r="21" spans="1:45" ht="15.75">
      <c r="A21" s="712" t="s">
        <v>3010</v>
      </c>
      <c r="B21" s="338">
        <f>R22</f>
        <v>34385</v>
      </c>
      <c r="C21" s="168"/>
      <c r="D21" s="168"/>
      <c r="E21" s="168"/>
      <c r="F21" s="168"/>
      <c r="G21" s="168"/>
      <c r="H21" s="168"/>
      <c r="I21" s="168"/>
      <c r="J21" s="168"/>
      <c r="K21" s="168"/>
      <c r="L21" s="168"/>
      <c r="M21" s="168"/>
      <c r="N21" s="168"/>
      <c r="O21" s="168"/>
      <c r="P21" s="168"/>
      <c r="Q21" s="168"/>
      <c r="R21" s="785"/>
      <c r="S21" s="138"/>
    </row>
    <row r="22" spans="1:45">
      <c r="A22" s="361" t="s">
        <v>3011</v>
      </c>
      <c r="B22" s="24">
        <f>SUM(B24:B10000)</f>
        <v>3966.8800000000006</v>
      </c>
      <c r="C22" s="3073" t="s">
        <v>33</v>
      </c>
      <c r="D22" s="3074"/>
      <c r="E22" s="3074"/>
      <c r="F22" s="3074"/>
      <c r="G22" s="3074"/>
      <c r="H22" s="3074"/>
      <c r="I22" s="3074"/>
      <c r="J22" s="3074"/>
      <c r="K22" s="3074"/>
      <c r="L22" s="3074"/>
      <c r="M22" s="3074"/>
      <c r="N22" s="3074"/>
      <c r="O22" s="3074"/>
      <c r="P22" s="3074"/>
      <c r="Q22" s="3294"/>
      <c r="R22" s="713">
        <f>ROUND(S22*10000/B22,0)</f>
        <v>34385</v>
      </c>
      <c r="S22" s="24">
        <f>SUM(S24:S10000)</f>
        <v>13640</v>
      </c>
    </row>
    <row r="23" spans="1:45" s="12" customFormat="1" ht="25.5">
      <c r="A23" s="11" t="s">
        <v>3012</v>
      </c>
      <c r="B23" s="11" t="s">
        <v>3013</v>
      </c>
      <c r="C23" s="11" t="s">
        <v>3014</v>
      </c>
      <c r="D23" s="11" t="str">
        <f>B5</f>
        <v>内部装修情况</v>
      </c>
      <c r="E23" s="11" t="s">
        <v>3014</v>
      </c>
      <c r="F23" s="11" t="str">
        <f>B7</f>
        <v>人流量</v>
      </c>
      <c r="G23" s="11" t="s">
        <v>3014</v>
      </c>
      <c r="H23" s="11" t="str">
        <f>B9</f>
        <v>可视性</v>
      </c>
      <c r="I23" s="11" t="s">
        <v>3014</v>
      </c>
      <c r="J23" s="11" t="str">
        <f>B11</f>
        <v>临街状况</v>
      </c>
      <c r="K23" s="11" t="s">
        <v>3014</v>
      </c>
      <c r="L23" s="11">
        <f>B13</f>
        <v>0</v>
      </c>
      <c r="M23" s="11" t="s">
        <v>3014</v>
      </c>
      <c r="N23" s="11">
        <f>B15</f>
        <v>0</v>
      </c>
      <c r="O23" s="11" t="s">
        <v>3014</v>
      </c>
      <c r="P23" s="11" t="str">
        <f>B17</f>
        <v>楼层</v>
      </c>
      <c r="Q23" s="11" t="s">
        <v>3014</v>
      </c>
      <c r="R23" s="714" t="s">
        <v>3015</v>
      </c>
      <c r="S23" s="11" t="s">
        <v>3016</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tr">
        <f>'数据-基础表'!C258</f>
        <v>1-2-102</v>
      </c>
      <c r="B24" s="715">
        <f>'数据-基础表'!K258</f>
        <v>81.7</v>
      </c>
      <c r="C24" s="716">
        <v>1</v>
      </c>
      <c r="D24" s="717" t="s">
        <v>3440</v>
      </c>
      <c r="E24" s="716">
        <v>1</v>
      </c>
      <c r="F24" s="717" t="s">
        <v>3365</v>
      </c>
      <c r="G24" s="716">
        <v>1</v>
      </c>
      <c r="H24" s="717" t="s">
        <v>3366</v>
      </c>
      <c r="I24" s="716">
        <v>1</v>
      </c>
      <c r="J24" s="717" t="s">
        <v>3365</v>
      </c>
      <c r="K24" s="716">
        <v>1</v>
      </c>
      <c r="L24" s="717"/>
      <c r="M24" s="716">
        <v>1</v>
      </c>
      <c r="N24" s="717"/>
      <c r="O24" s="716">
        <v>1</v>
      </c>
      <c r="P24" s="717" t="s">
        <v>3457</v>
      </c>
      <c r="Q24" s="716">
        <v>1</v>
      </c>
      <c r="R24" s="718">
        <f>'比较法-商业'!C49</f>
        <v>35195</v>
      </c>
      <c r="S24" s="716">
        <f t="shared" ref="S24:S87" si="5">ROUND(R24*B24/10000,0)</f>
        <v>288</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t="str">
        <f>'数据-基础表'!C259</f>
        <v>1-2-103</v>
      </c>
      <c r="B25" s="715">
        <f>'数据-基础表'!K259</f>
        <v>81.7</v>
      </c>
      <c r="C25" s="24">
        <f>IF(B25="",1,(LOOKUP(B25,$3:$3,$4:$4)-LOOKUP($B$24,$3:$3,$4:$4)+100)/100)</f>
        <v>1</v>
      </c>
      <c r="D25" s="717" t="s">
        <v>3440</v>
      </c>
      <c r="E25" s="24">
        <f>(SUMIF($5:$5,D25,$6:$6)-SUMIF($5:$5,$D$24,$6:$6)+100)/100</f>
        <v>1</v>
      </c>
      <c r="F25" s="717" t="s">
        <v>3365</v>
      </c>
      <c r="G25" s="24">
        <f>(SUMIF($7:$7,F25,$8:$8)-SUMIF($7:$7,$F$24,$8:$8)+100)/100</f>
        <v>1</v>
      </c>
      <c r="H25" s="717" t="s">
        <v>3366</v>
      </c>
      <c r="I25" s="24">
        <f>(SUMIF($9:$9,H25,$10:$10)-SUMIF($9:$9,$H$24,$10:$10)+100)/100</f>
        <v>1</v>
      </c>
      <c r="J25" s="717" t="s">
        <v>3365</v>
      </c>
      <c r="K25" s="24">
        <f>(SUMIF($11:$11,J25,$12:$12)-SUMIF($11:$11,$J$24,$12:$12)+100)/100</f>
        <v>1</v>
      </c>
      <c r="L25" s="717"/>
      <c r="M25" s="24">
        <f>(SUMIF($13:$13,L25,$14:$14)-SUMIF($13:$13,$L$24,$14:$14)+100)/100</f>
        <v>1</v>
      </c>
      <c r="N25" s="717"/>
      <c r="O25" s="24">
        <f>(SUMIF($15:$15,N25,$16:$16)-SUMIF($15:$15,$N$24,$16:$16)+100)/100</f>
        <v>1</v>
      </c>
      <c r="P25" s="717" t="s">
        <v>3457</v>
      </c>
      <c r="Q25" s="24">
        <f>(SUMIF($17:$17,P25,$18:$18)-SUMIF($17:$17,$P$24,$18:$18)+100)/100</f>
        <v>1</v>
      </c>
      <c r="R25" s="713">
        <f>IF(B25="",0,ROUND($R$24*C25*E25*G25*I25*K25*M25*O25*Q25,0))</f>
        <v>35195</v>
      </c>
      <c r="S25" s="361">
        <f t="shared" si="5"/>
        <v>288</v>
      </c>
    </row>
    <row r="26" spans="1:45">
      <c r="A26" s="715" t="str">
        <f>'数据-基础表'!C260</f>
        <v>1-2-104</v>
      </c>
      <c r="B26" s="715">
        <f>'数据-基础表'!K260</f>
        <v>167.1</v>
      </c>
      <c r="C26" s="24">
        <f t="shared" ref="C26:C89" si="6">IF(B26="",1,(LOOKUP(B26,$3:$3,$4:$4)-LOOKUP($B$24,$3:$3,$4:$4)+100)/100)</f>
        <v>0.98</v>
      </c>
      <c r="D26" s="717" t="s">
        <v>3440</v>
      </c>
      <c r="E26" s="24">
        <f t="shared" ref="E26:E89" si="7">(SUMIF($5:$5,D26,$6:$6)-SUMIF($5:$5,$D$24,$6:$6)+100)/100</f>
        <v>1</v>
      </c>
      <c r="F26" s="717" t="s">
        <v>3365</v>
      </c>
      <c r="G26" s="24">
        <f t="shared" ref="G26:G89" si="8">(SUMIF($7:$7,F26,$8:$8)-SUMIF($7:$7,$F$24,$8:$8)+100)/100</f>
        <v>1</v>
      </c>
      <c r="H26" s="717" t="s">
        <v>3366</v>
      </c>
      <c r="I26" s="24">
        <f t="shared" ref="I26:I89" si="9">(SUMIF($9:$9,H26,$10:$10)-SUMIF($9:$9,$H$24,$10:$10)+100)/100</f>
        <v>1</v>
      </c>
      <c r="J26" s="717" t="s">
        <v>3365</v>
      </c>
      <c r="K26" s="24">
        <f t="shared" ref="K26:K89" si="10">(SUMIF($11:$11,J26,$12:$12)-SUMIF($11:$11,$J$24,$12:$12)+100)/100</f>
        <v>1</v>
      </c>
      <c r="L26" s="717"/>
      <c r="M26" s="24">
        <f t="shared" ref="M26:M89" si="11">(SUMIF($13:$13,L26,$14:$14)-SUMIF($13:$13,$L$24,$14:$14)+100)/100</f>
        <v>1</v>
      </c>
      <c r="N26" s="717"/>
      <c r="O26" s="24">
        <f t="shared" ref="O26:O89" si="12">(SUMIF($15:$15,N26,$16:$16)-SUMIF($15:$15,$N$24,$16:$16)+100)/100</f>
        <v>1</v>
      </c>
      <c r="P26" s="717" t="s">
        <v>3457</v>
      </c>
      <c r="Q26" s="24">
        <f t="shared" ref="Q26:Q89" si="13">(SUMIF($17:$17,P26,$18:$18)-SUMIF($17:$17,$P$24,$18:$18)+100)/100</f>
        <v>1</v>
      </c>
      <c r="R26" s="713">
        <f t="shared" ref="R26:R89" si="14">IF(B26="",0,ROUND($R$24*C26*E26*G26*I26*K26*M26*O26*Q26,0))</f>
        <v>34491</v>
      </c>
      <c r="S26" s="361">
        <f t="shared" si="5"/>
        <v>576</v>
      </c>
    </row>
    <row r="27" spans="1:45">
      <c r="A27" s="715" t="str">
        <f>'数据-基础表'!C261</f>
        <v>1-2-105</v>
      </c>
      <c r="B27" s="715">
        <f>'数据-基础表'!K261</f>
        <v>81.7</v>
      </c>
      <c r="C27" s="24">
        <f t="shared" si="6"/>
        <v>1</v>
      </c>
      <c r="D27" s="717" t="s">
        <v>3440</v>
      </c>
      <c r="E27" s="24">
        <f t="shared" si="7"/>
        <v>1</v>
      </c>
      <c r="F27" s="717" t="s">
        <v>3365</v>
      </c>
      <c r="G27" s="24">
        <f t="shared" si="8"/>
        <v>1</v>
      </c>
      <c r="H27" s="717" t="s">
        <v>3366</v>
      </c>
      <c r="I27" s="24">
        <f t="shared" si="9"/>
        <v>1</v>
      </c>
      <c r="J27" s="717" t="s">
        <v>3365</v>
      </c>
      <c r="K27" s="24">
        <f t="shared" si="10"/>
        <v>1</v>
      </c>
      <c r="L27" s="717"/>
      <c r="M27" s="24">
        <f t="shared" si="11"/>
        <v>1</v>
      </c>
      <c r="N27" s="717"/>
      <c r="O27" s="24">
        <f t="shared" si="12"/>
        <v>1</v>
      </c>
      <c r="P27" s="717" t="s">
        <v>3457</v>
      </c>
      <c r="Q27" s="24">
        <f t="shared" si="13"/>
        <v>1</v>
      </c>
      <c r="R27" s="713">
        <f t="shared" si="14"/>
        <v>35195</v>
      </c>
      <c r="S27" s="361">
        <f t="shared" si="5"/>
        <v>288</v>
      </c>
    </row>
    <row r="28" spans="1:45">
      <c r="A28" s="715" t="str">
        <f>'数据-基础表'!C262</f>
        <v>1-2-106</v>
      </c>
      <c r="B28" s="715">
        <f>'数据-基础表'!K262</f>
        <v>81.7</v>
      </c>
      <c r="C28" s="24">
        <f t="shared" si="6"/>
        <v>1</v>
      </c>
      <c r="D28" s="717" t="s">
        <v>3440</v>
      </c>
      <c r="E28" s="24">
        <f t="shared" si="7"/>
        <v>1</v>
      </c>
      <c r="F28" s="717" t="s">
        <v>3365</v>
      </c>
      <c r="G28" s="24">
        <f t="shared" si="8"/>
        <v>1</v>
      </c>
      <c r="H28" s="717" t="s">
        <v>3366</v>
      </c>
      <c r="I28" s="24">
        <f t="shared" si="9"/>
        <v>1</v>
      </c>
      <c r="J28" s="717" t="s">
        <v>3365</v>
      </c>
      <c r="K28" s="24">
        <f t="shared" si="10"/>
        <v>1</v>
      </c>
      <c r="L28" s="717"/>
      <c r="M28" s="24">
        <f t="shared" si="11"/>
        <v>1</v>
      </c>
      <c r="N28" s="717"/>
      <c r="O28" s="24">
        <f t="shared" si="12"/>
        <v>1</v>
      </c>
      <c r="P28" s="717" t="s">
        <v>3457</v>
      </c>
      <c r="Q28" s="24">
        <f t="shared" si="13"/>
        <v>1</v>
      </c>
      <c r="R28" s="713">
        <f t="shared" si="14"/>
        <v>35195</v>
      </c>
      <c r="S28" s="361">
        <f t="shared" si="5"/>
        <v>288</v>
      </c>
    </row>
    <row r="29" spans="1:45">
      <c r="A29" s="715" t="str">
        <f>'数据-基础表'!C263</f>
        <v>1-2-107</v>
      </c>
      <c r="B29" s="715">
        <f>'数据-基础表'!K263</f>
        <v>82.62</v>
      </c>
      <c r="C29" s="24">
        <f t="shared" si="6"/>
        <v>1</v>
      </c>
      <c r="D29" s="717" t="s">
        <v>3440</v>
      </c>
      <c r="E29" s="24">
        <f t="shared" si="7"/>
        <v>1</v>
      </c>
      <c r="F29" s="717" t="s">
        <v>3365</v>
      </c>
      <c r="G29" s="24">
        <f t="shared" si="8"/>
        <v>1</v>
      </c>
      <c r="H29" s="717" t="s">
        <v>3366</v>
      </c>
      <c r="I29" s="24">
        <f t="shared" si="9"/>
        <v>1</v>
      </c>
      <c r="J29" s="717" t="s">
        <v>3365</v>
      </c>
      <c r="K29" s="24">
        <f t="shared" si="10"/>
        <v>1</v>
      </c>
      <c r="L29" s="717"/>
      <c r="M29" s="24">
        <f t="shared" si="11"/>
        <v>1</v>
      </c>
      <c r="N29" s="717"/>
      <c r="O29" s="24">
        <f t="shared" si="12"/>
        <v>1</v>
      </c>
      <c r="P29" s="717" t="s">
        <v>3457</v>
      </c>
      <c r="Q29" s="24">
        <f t="shared" si="13"/>
        <v>1</v>
      </c>
      <c r="R29" s="713">
        <f t="shared" si="14"/>
        <v>35195</v>
      </c>
      <c r="S29" s="361">
        <f t="shared" si="5"/>
        <v>291</v>
      </c>
    </row>
    <row r="30" spans="1:45">
      <c r="A30" s="715" t="str">
        <f>'数据-基础表'!C264</f>
        <v>1-3-01</v>
      </c>
      <c r="B30" s="715">
        <f>'数据-基础表'!K264</f>
        <v>103.15</v>
      </c>
      <c r="C30" s="24">
        <f t="shared" si="6"/>
        <v>0.99</v>
      </c>
      <c r="D30" s="717" t="s">
        <v>3387</v>
      </c>
      <c r="E30" s="24">
        <f t="shared" si="7"/>
        <v>0.98</v>
      </c>
      <c r="F30" s="717" t="s">
        <v>3365</v>
      </c>
      <c r="G30" s="24">
        <f t="shared" si="8"/>
        <v>1</v>
      </c>
      <c r="H30" s="717" t="s">
        <v>3366</v>
      </c>
      <c r="I30" s="24">
        <f t="shared" si="9"/>
        <v>1</v>
      </c>
      <c r="J30" s="717" t="s">
        <v>3365</v>
      </c>
      <c r="K30" s="24">
        <f t="shared" si="10"/>
        <v>1</v>
      </c>
      <c r="L30" s="717"/>
      <c r="M30" s="24">
        <f t="shared" si="11"/>
        <v>1</v>
      </c>
      <c r="N30" s="717"/>
      <c r="O30" s="24">
        <f t="shared" si="12"/>
        <v>1</v>
      </c>
      <c r="P30" s="717" t="s">
        <v>3457</v>
      </c>
      <c r="Q30" s="24">
        <f t="shared" si="13"/>
        <v>1</v>
      </c>
      <c r="R30" s="713">
        <f t="shared" si="14"/>
        <v>34146</v>
      </c>
      <c r="S30" s="361">
        <f t="shared" si="5"/>
        <v>352</v>
      </c>
    </row>
    <row r="31" spans="1:45">
      <c r="A31" s="715" t="str">
        <f>'数据-基础表'!C265</f>
        <v>1-3-02</v>
      </c>
      <c r="B31" s="715">
        <f>'数据-基础表'!K265</f>
        <v>104.3</v>
      </c>
      <c r="C31" s="24">
        <f t="shared" si="6"/>
        <v>0.99</v>
      </c>
      <c r="D31" s="717" t="s">
        <v>3387</v>
      </c>
      <c r="E31" s="24">
        <f t="shared" si="7"/>
        <v>0.98</v>
      </c>
      <c r="F31" s="717" t="s">
        <v>3365</v>
      </c>
      <c r="G31" s="24">
        <f t="shared" si="8"/>
        <v>1</v>
      </c>
      <c r="H31" s="717" t="s">
        <v>3366</v>
      </c>
      <c r="I31" s="24">
        <f t="shared" si="9"/>
        <v>1</v>
      </c>
      <c r="J31" s="717" t="s">
        <v>3365</v>
      </c>
      <c r="K31" s="24">
        <f t="shared" si="10"/>
        <v>1</v>
      </c>
      <c r="L31" s="717"/>
      <c r="M31" s="24">
        <f t="shared" si="11"/>
        <v>1</v>
      </c>
      <c r="N31" s="717"/>
      <c r="O31" s="24">
        <f t="shared" si="12"/>
        <v>1</v>
      </c>
      <c r="P31" s="717" t="s">
        <v>3457</v>
      </c>
      <c r="Q31" s="24">
        <f t="shared" si="13"/>
        <v>1</v>
      </c>
      <c r="R31" s="713">
        <f t="shared" si="14"/>
        <v>34146</v>
      </c>
      <c r="S31" s="361">
        <f t="shared" si="5"/>
        <v>356</v>
      </c>
    </row>
    <row r="32" spans="1:45">
      <c r="A32" s="715" t="str">
        <f>'数据-基础表'!C266</f>
        <v>1-3-03</v>
      </c>
      <c r="B32" s="715">
        <f>'数据-基础表'!K266</f>
        <v>104.3</v>
      </c>
      <c r="C32" s="24">
        <f t="shared" si="6"/>
        <v>0.99</v>
      </c>
      <c r="D32" s="717" t="s">
        <v>3387</v>
      </c>
      <c r="E32" s="24">
        <f t="shared" si="7"/>
        <v>0.98</v>
      </c>
      <c r="F32" s="717" t="s">
        <v>3365</v>
      </c>
      <c r="G32" s="24">
        <f t="shared" si="8"/>
        <v>1</v>
      </c>
      <c r="H32" s="717" t="s">
        <v>3366</v>
      </c>
      <c r="I32" s="24">
        <f t="shared" si="9"/>
        <v>1</v>
      </c>
      <c r="J32" s="717" t="s">
        <v>3365</v>
      </c>
      <c r="K32" s="24">
        <f t="shared" si="10"/>
        <v>1</v>
      </c>
      <c r="L32" s="717"/>
      <c r="M32" s="24">
        <f t="shared" si="11"/>
        <v>1</v>
      </c>
      <c r="N32" s="717"/>
      <c r="O32" s="24">
        <f t="shared" si="12"/>
        <v>1</v>
      </c>
      <c r="P32" s="717" t="s">
        <v>3457</v>
      </c>
      <c r="Q32" s="24">
        <f t="shared" si="13"/>
        <v>1</v>
      </c>
      <c r="R32" s="713">
        <f t="shared" si="14"/>
        <v>34146</v>
      </c>
      <c r="S32" s="361">
        <f t="shared" si="5"/>
        <v>356</v>
      </c>
    </row>
    <row r="33" spans="1:19">
      <c r="A33" s="715" t="str">
        <f>'数据-基础表'!C267</f>
        <v>1-3-04</v>
      </c>
      <c r="B33" s="715">
        <f>'数据-基础表'!K267</f>
        <v>104.3</v>
      </c>
      <c r="C33" s="24">
        <f t="shared" si="6"/>
        <v>0.99</v>
      </c>
      <c r="D33" s="717" t="s">
        <v>3387</v>
      </c>
      <c r="E33" s="24">
        <f t="shared" si="7"/>
        <v>0.98</v>
      </c>
      <c r="F33" s="717" t="s">
        <v>3365</v>
      </c>
      <c r="G33" s="24">
        <f t="shared" si="8"/>
        <v>1</v>
      </c>
      <c r="H33" s="717" t="s">
        <v>3366</v>
      </c>
      <c r="I33" s="24">
        <f t="shared" si="9"/>
        <v>1</v>
      </c>
      <c r="J33" s="717" t="s">
        <v>3365</v>
      </c>
      <c r="K33" s="24">
        <f t="shared" si="10"/>
        <v>1</v>
      </c>
      <c r="L33" s="717"/>
      <c r="M33" s="24">
        <f t="shared" si="11"/>
        <v>1</v>
      </c>
      <c r="N33" s="717"/>
      <c r="O33" s="24">
        <f t="shared" si="12"/>
        <v>1</v>
      </c>
      <c r="P33" s="717" t="s">
        <v>3457</v>
      </c>
      <c r="Q33" s="24">
        <f t="shared" si="13"/>
        <v>1</v>
      </c>
      <c r="R33" s="713">
        <f t="shared" si="14"/>
        <v>34146</v>
      </c>
      <c r="S33" s="361">
        <f t="shared" si="5"/>
        <v>356</v>
      </c>
    </row>
    <row r="34" spans="1:19">
      <c r="A34" s="715" t="str">
        <f>'数据-基础表'!C268</f>
        <v>1-3-05</v>
      </c>
      <c r="B34" s="715">
        <f>'数据-基础表'!K268</f>
        <v>104.3</v>
      </c>
      <c r="C34" s="24">
        <f t="shared" si="6"/>
        <v>0.99</v>
      </c>
      <c r="D34" s="717" t="s">
        <v>3387</v>
      </c>
      <c r="E34" s="24">
        <f t="shared" si="7"/>
        <v>0.98</v>
      </c>
      <c r="F34" s="717" t="s">
        <v>3365</v>
      </c>
      <c r="G34" s="24">
        <f t="shared" si="8"/>
        <v>1</v>
      </c>
      <c r="H34" s="717" t="s">
        <v>3366</v>
      </c>
      <c r="I34" s="24">
        <f t="shared" si="9"/>
        <v>1</v>
      </c>
      <c r="J34" s="717" t="s">
        <v>3365</v>
      </c>
      <c r="K34" s="24">
        <f t="shared" si="10"/>
        <v>1</v>
      </c>
      <c r="L34" s="717"/>
      <c r="M34" s="24">
        <f t="shared" si="11"/>
        <v>1</v>
      </c>
      <c r="N34" s="717"/>
      <c r="O34" s="24">
        <f t="shared" si="12"/>
        <v>1</v>
      </c>
      <c r="P34" s="717" t="s">
        <v>3457</v>
      </c>
      <c r="Q34" s="24">
        <f t="shared" si="13"/>
        <v>1</v>
      </c>
      <c r="R34" s="713">
        <f t="shared" si="14"/>
        <v>34146</v>
      </c>
      <c r="S34" s="361">
        <f t="shared" si="5"/>
        <v>356</v>
      </c>
    </row>
    <row r="35" spans="1:19">
      <c r="A35" s="715" t="str">
        <f>'数据-基础表'!C269</f>
        <v>1-3-06</v>
      </c>
      <c r="B35" s="715">
        <f>'数据-基础表'!K269</f>
        <v>104.3</v>
      </c>
      <c r="C35" s="24">
        <f t="shared" si="6"/>
        <v>0.99</v>
      </c>
      <c r="D35" s="717" t="s">
        <v>3440</v>
      </c>
      <c r="E35" s="24">
        <f t="shared" si="7"/>
        <v>1</v>
      </c>
      <c r="F35" s="717" t="s">
        <v>3365</v>
      </c>
      <c r="G35" s="24">
        <f t="shared" si="8"/>
        <v>1</v>
      </c>
      <c r="H35" s="717" t="s">
        <v>3366</v>
      </c>
      <c r="I35" s="24">
        <f t="shared" si="9"/>
        <v>1</v>
      </c>
      <c r="J35" s="717" t="s">
        <v>3365</v>
      </c>
      <c r="K35" s="24">
        <f t="shared" si="10"/>
        <v>1</v>
      </c>
      <c r="L35" s="717"/>
      <c r="M35" s="24">
        <f t="shared" si="11"/>
        <v>1</v>
      </c>
      <c r="N35" s="717"/>
      <c r="O35" s="24">
        <f t="shared" si="12"/>
        <v>1</v>
      </c>
      <c r="P35" s="717" t="s">
        <v>3457</v>
      </c>
      <c r="Q35" s="24">
        <f t="shared" si="13"/>
        <v>1</v>
      </c>
      <c r="R35" s="713">
        <f t="shared" si="14"/>
        <v>34843</v>
      </c>
      <c r="S35" s="361">
        <f t="shared" si="5"/>
        <v>363</v>
      </c>
    </row>
    <row r="36" spans="1:19">
      <c r="A36" s="715" t="str">
        <f>'数据-基础表'!C270</f>
        <v>1-3-101</v>
      </c>
      <c r="B36" s="715">
        <f>'数据-基础表'!K270</f>
        <v>82.62</v>
      </c>
      <c r="C36" s="24">
        <f t="shared" si="6"/>
        <v>1</v>
      </c>
      <c r="D36" s="717" t="s">
        <v>3440</v>
      </c>
      <c r="E36" s="24">
        <f t="shared" si="7"/>
        <v>1</v>
      </c>
      <c r="F36" s="717" t="s">
        <v>3365</v>
      </c>
      <c r="G36" s="24">
        <f t="shared" si="8"/>
        <v>1</v>
      </c>
      <c r="H36" s="717" t="s">
        <v>3366</v>
      </c>
      <c r="I36" s="24">
        <f t="shared" si="9"/>
        <v>1</v>
      </c>
      <c r="J36" s="717" t="s">
        <v>3365</v>
      </c>
      <c r="K36" s="24">
        <f t="shared" si="10"/>
        <v>1</v>
      </c>
      <c r="L36" s="717"/>
      <c r="M36" s="24">
        <f t="shared" si="11"/>
        <v>1</v>
      </c>
      <c r="N36" s="717"/>
      <c r="O36" s="24">
        <f t="shared" si="12"/>
        <v>1</v>
      </c>
      <c r="P36" s="717" t="s">
        <v>3457</v>
      </c>
      <c r="Q36" s="24">
        <f t="shared" si="13"/>
        <v>1</v>
      </c>
      <c r="R36" s="713">
        <f t="shared" si="14"/>
        <v>35195</v>
      </c>
      <c r="S36" s="361">
        <f t="shared" si="5"/>
        <v>291</v>
      </c>
    </row>
    <row r="37" spans="1:19">
      <c r="A37" s="715" t="str">
        <f>'数据-基础表'!C271</f>
        <v>1-3-102</v>
      </c>
      <c r="B37" s="715">
        <f>'数据-基础表'!K271</f>
        <v>81.7</v>
      </c>
      <c r="C37" s="24">
        <f t="shared" si="6"/>
        <v>1</v>
      </c>
      <c r="D37" s="717" t="s">
        <v>3440</v>
      </c>
      <c r="E37" s="24">
        <f t="shared" si="7"/>
        <v>1</v>
      </c>
      <c r="F37" s="717" t="s">
        <v>3365</v>
      </c>
      <c r="G37" s="24">
        <f t="shared" si="8"/>
        <v>1</v>
      </c>
      <c r="H37" s="717" t="s">
        <v>3366</v>
      </c>
      <c r="I37" s="24">
        <f t="shared" si="9"/>
        <v>1</v>
      </c>
      <c r="J37" s="717" t="s">
        <v>3365</v>
      </c>
      <c r="K37" s="24">
        <f t="shared" si="10"/>
        <v>1</v>
      </c>
      <c r="L37" s="717"/>
      <c r="M37" s="24">
        <f t="shared" si="11"/>
        <v>1</v>
      </c>
      <c r="N37" s="717"/>
      <c r="O37" s="24">
        <f t="shared" si="12"/>
        <v>1</v>
      </c>
      <c r="P37" s="717" t="s">
        <v>3457</v>
      </c>
      <c r="Q37" s="24">
        <f t="shared" si="13"/>
        <v>1</v>
      </c>
      <c r="R37" s="713">
        <f t="shared" si="14"/>
        <v>35195</v>
      </c>
      <c r="S37" s="361">
        <f t="shared" si="5"/>
        <v>288</v>
      </c>
    </row>
    <row r="38" spans="1:19">
      <c r="A38" s="715" t="str">
        <f>'数据-基础表'!C272</f>
        <v>1-3-103</v>
      </c>
      <c r="B38" s="715">
        <f>'数据-基础表'!K272</f>
        <v>81.7</v>
      </c>
      <c r="C38" s="24">
        <f t="shared" si="6"/>
        <v>1</v>
      </c>
      <c r="D38" s="717" t="s">
        <v>3440</v>
      </c>
      <c r="E38" s="24">
        <f t="shared" si="7"/>
        <v>1</v>
      </c>
      <c r="F38" s="717" t="s">
        <v>3365</v>
      </c>
      <c r="G38" s="24">
        <f t="shared" si="8"/>
        <v>1</v>
      </c>
      <c r="H38" s="717" t="s">
        <v>3366</v>
      </c>
      <c r="I38" s="24">
        <f t="shared" si="9"/>
        <v>1</v>
      </c>
      <c r="J38" s="717" t="s">
        <v>3365</v>
      </c>
      <c r="K38" s="24">
        <f t="shared" si="10"/>
        <v>1</v>
      </c>
      <c r="L38" s="717"/>
      <c r="M38" s="24">
        <f t="shared" si="11"/>
        <v>1</v>
      </c>
      <c r="N38" s="717"/>
      <c r="O38" s="24">
        <f t="shared" si="12"/>
        <v>1</v>
      </c>
      <c r="P38" s="717" t="s">
        <v>3457</v>
      </c>
      <c r="Q38" s="24">
        <f t="shared" si="13"/>
        <v>1</v>
      </c>
      <c r="R38" s="713">
        <f t="shared" si="14"/>
        <v>35195</v>
      </c>
      <c r="S38" s="361">
        <f t="shared" si="5"/>
        <v>288</v>
      </c>
    </row>
    <row r="39" spans="1:19">
      <c r="A39" s="715" t="str">
        <f>'数据-基础表'!C273</f>
        <v>1-3-104</v>
      </c>
      <c r="B39" s="715">
        <f>'数据-基础表'!K273</f>
        <v>167.1</v>
      </c>
      <c r="C39" s="24">
        <f t="shared" si="6"/>
        <v>0.98</v>
      </c>
      <c r="D39" s="717" t="s">
        <v>3440</v>
      </c>
      <c r="E39" s="24">
        <f t="shared" si="7"/>
        <v>1</v>
      </c>
      <c r="F39" s="717" t="s">
        <v>3365</v>
      </c>
      <c r="G39" s="24">
        <f t="shared" si="8"/>
        <v>1</v>
      </c>
      <c r="H39" s="717" t="s">
        <v>3366</v>
      </c>
      <c r="I39" s="24">
        <f t="shared" si="9"/>
        <v>1</v>
      </c>
      <c r="J39" s="717" t="s">
        <v>3365</v>
      </c>
      <c r="K39" s="24">
        <f t="shared" si="10"/>
        <v>1</v>
      </c>
      <c r="L39" s="717"/>
      <c r="M39" s="24">
        <f t="shared" si="11"/>
        <v>1</v>
      </c>
      <c r="N39" s="717"/>
      <c r="O39" s="24">
        <f t="shared" si="12"/>
        <v>1</v>
      </c>
      <c r="P39" s="717" t="s">
        <v>3457</v>
      </c>
      <c r="Q39" s="24">
        <f t="shared" si="13"/>
        <v>1</v>
      </c>
      <c r="R39" s="713">
        <f t="shared" si="14"/>
        <v>34491</v>
      </c>
      <c r="S39" s="361">
        <f t="shared" si="5"/>
        <v>576</v>
      </c>
    </row>
    <row r="40" spans="1:19">
      <c r="A40" s="715" t="str">
        <f>'数据-基础表'!C274</f>
        <v>1-3-105</v>
      </c>
      <c r="B40" s="715">
        <f>'数据-基础表'!K274</f>
        <v>81.7</v>
      </c>
      <c r="C40" s="24">
        <f t="shared" si="6"/>
        <v>1</v>
      </c>
      <c r="D40" s="717" t="s">
        <v>3440</v>
      </c>
      <c r="E40" s="24">
        <f t="shared" si="7"/>
        <v>1</v>
      </c>
      <c r="F40" s="717" t="s">
        <v>3365</v>
      </c>
      <c r="G40" s="24">
        <f t="shared" si="8"/>
        <v>1</v>
      </c>
      <c r="H40" s="717" t="s">
        <v>3366</v>
      </c>
      <c r="I40" s="24">
        <f t="shared" si="9"/>
        <v>1</v>
      </c>
      <c r="J40" s="717" t="s">
        <v>3365</v>
      </c>
      <c r="K40" s="24">
        <f t="shared" si="10"/>
        <v>1</v>
      </c>
      <c r="L40" s="717"/>
      <c r="M40" s="24">
        <f t="shared" si="11"/>
        <v>1</v>
      </c>
      <c r="N40" s="717"/>
      <c r="O40" s="24">
        <f t="shared" si="12"/>
        <v>1</v>
      </c>
      <c r="P40" s="717" t="s">
        <v>3457</v>
      </c>
      <c r="Q40" s="24">
        <f t="shared" si="13"/>
        <v>1</v>
      </c>
      <c r="R40" s="713">
        <f t="shared" si="14"/>
        <v>35195</v>
      </c>
      <c r="S40" s="361">
        <f t="shared" si="5"/>
        <v>288</v>
      </c>
    </row>
    <row r="41" spans="1:19">
      <c r="A41" s="715" t="str">
        <f>'数据-基础表'!C275</f>
        <v>1-3-106</v>
      </c>
      <c r="B41" s="715">
        <f>'数据-基础表'!K275</f>
        <v>81.7</v>
      </c>
      <c r="C41" s="24">
        <f t="shared" si="6"/>
        <v>1</v>
      </c>
      <c r="D41" s="717" t="s">
        <v>3440</v>
      </c>
      <c r="E41" s="24">
        <f t="shared" si="7"/>
        <v>1</v>
      </c>
      <c r="F41" s="717" t="s">
        <v>3365</v>
      </c>
      <c r="G41" s="24">
        <f t="shared" si="8"/>
        <v>1</v>
      </c>
      <c r="H41" s="717" t="s">
        <v>3366</v>
      </c>
      <c r="I41" s="24">
        <f t="shared" si="9"/>
        <v>1</v>
      </c>
      <c r="J41" s="717" t="s">
        <v>3365</v>
      </c>
      <c r="K41" s="24">
        <f t="shared" si="10"/>
        <v>1</v>
      </c>
      <c r="L41" s="717"/>
      <c r="M41" s="24">
        <f t="shared" si="11"/>
        <v>1</v>
      </c>
      <c r="N41" s="717"/>
      <c r="O41" s="24">
        <f t="shared" si="12"/>
        <v>1</v>
      </c>
      <c r="P41" s="717" t="s">
        <v>3457</v>
      </c>
      <c r="Q41" s="24">
        <f t="shared" si="13"/>
        <v>1</v>
      </c>
      <c r="R41" s="713">
        <f t="shared" si="14"/>
        <v>35195</v>
      </c>
      <c r="S41" s="361">
        <f t="shared" si="5"/>
        <v>288</v>
      </c>
    </row>
    <row r="42" spans="1:19">
      <c r="A42" s="715" t="str">
        <f>'数据-基础表'!C276</f>
        <v>1-3-107</v>
      </c>
      <c r="B42" s="715">
        <f>'数据-基础表'!K276</f>
        <v>180.22</v>
      </c>
      <c r="C42" s="24">
        <f t="shared" si="6"/>
        <v>0.98</v>
      </c>
      <c r="D42" s="717" t="s">
        <v>3440</v>
      </c>
      <c r="E42" s="24">
        <f t="shared" si="7"/>
        <v>1</v>
      </c>
      <c r="F42" s="717" t="s">
        <v>3365</v>
      </c>
      <c r="G42" s="24">
        <f t="shared" si="8"/>
        <v>1</v>
      </c>
      <c r="H42" s="717" t="s">
        <v>3366</v>
      </c>
      <c r="I42" s="24">
        <f t="shared" si="9"/>
        <v>1</v>
      </c>
      <c r="J42" s="717" t="s">
        <v>3365</v>
      </c>
      <c r="K42" s="24">
        <f t="shared" si="10"/>
        <v>1</v>
      </c>
      <c r="L42" s="717"/>
      <c r="M42" s="24">
        <f t="shared" si="11"/>
        <v>1</v>
      </c>
      <c r="N42" s="717"/>
      <c r="O42" s="24">
        <f t="shared" si="12"/>
        <v>1</v>
      </c>
      <c r="P42" s="717" t="s">
        <v>3457</v>
      </c>
      <c r="Q42" s="24">
        <f t="shared" si="13"/>
        <v>1</v>
      </c>
      <c r="R42" s="713">
        <f t="shared" si="14"/>
        <v>34491</v>
      </c>
      <c r="S42" s="361">
        <f t="shared" si="5"/>
        <v>622</v>
      </c>
    </row>
    <row r="43" spans="1:19">
      <c r="A43" s="715" t="str">
        <f>'数据-基础表'!C277</f>
        <v>1-3-108</v>
      </c>
      <c r="B43" s="715">
        <f>'数据-基础表'!K277</f>
        <v>77.040000000000006</v>
      </c>
      <c r="C43" s="24">
        <f t="shared" si="6"/>
        <v>1</v>
      </c>
      <c r="D43" s="717" t="s">
        <v>3440</v>
      </c>
      <c r="E43" s="24">
        <f t="shared" si="7"/>
        <v>1</v>
      </c>
      <c r="F43" s="717" t="s">
        <v>3471</v>
      </c>
      <c r="G43" s="24">
        <f t="shared" si="8"/>
        <v>0.95</v>
      </c>
      <c r="H43" s="717" t="s">
        <v>3472</v>
      </c>
      <c r="I43" s="24">
        <f t="shared" si="9"/>
        <v>0.96</v>
      </c>
      <c r="J43" s="717" t="s">
        <v>3471</v>
      </c>
      <c r="K43" s="24">
        <f t="shared" si="10"/>
        <v>1</v>
      </c>
      <c r="L43" s="717"/>
      <c r="M43" s="24">
        <f t="shared" si="11"/>
        <v>1</v>
      </c>
      <c r="N43" s="717"/>
      <c r="O43" s="24">
        <f t="shared" si="12"/>
        <v>1</v>
      </c>
      <c r="P43" s="717" t="s">
        <v>3457</v>
      </c>
      <c r="Q43" s="24">
        <f t="shared" si="13"/>
        <v>1</v>
      </c>
      <c r="R43" s="713">
        <f t="shared" si="14"/>
        <v>32098</v>
      </c>
      <c r="S43" s="361">
        <f t="shared" si="5"/>
        <v>247</v>
      </c>
    </row>
    <row r="44" spans="1:19">
      <c r="A44" s="715" t="str">
        <f>'数据-基础表'!C278</f>
        <v>1-3-110</v>
      </c>
      <c r="B44" s="715">
        <f>'数据-基础表'!K278</f>
        <v>77.040000000000006</v>
      </c>
      <c r="C44" s="24">
        <f t="shared" si="6"/>
        <v>1</v>
      </c>
      <c r="D44" s="717" t="s">
        <v>3440</v>
      </c>
      <c r="E44" s="24">
        <f t="shared" si="7"/>
        <v>1</v>
      </c>
      <c r="F44" s="717" t="s">
        <v>3471</v>
      </c>
      <c r="G44" s="24">
        <f t="shared" si="8"/>
        <v>0.95</v>
      </c>
      <c r="H44" s="717" t="s">
        <v>3472</v>
      </c>
      <c r="I44" s="24">
        <f t="shared" si="9"/>
        <v>0.96</v>
      </c>
      <c r="J44" s="717" t="s">
        <v>3471</v>
      </c>
      <c r="K44" s="24">
        <f t="shared" si="10"/>
        <v>1</v>
      </c>
      <c r="L44" s="717"/>
      <c r="M44" s="24">
        <f t="shared" si="11"/>
        <v>1</v>
      </c>
      <c r="N44" s="717"/>
      <c r="O44" s="24">
        <f t="shared" si="12"/>
        <v>1</v>
      </c>
      <c r="P44" s="717" t="s">
        <v>3457</v>
      </c>
      <c r="Q44" s="24">
        <f t="shared" si="13"/>
        <v>1</v>
      </c>
      <c r="R44" s="713">
        <f t="shared" si="14"/>
        <v>32098</v>
      </c>
      <c r="S44" s="361">
        <f t="shared" si="5"/>
        <v>247</v>
      </c>
    </row>
    <row r="45" spans="1:19">
      <c r="A45" s="715" t="str">
        <f>'数据-基础表'!C279</f>
        <v>1-3-111</v>
      </c>
      <c r="B45" s="715">
        <f>'数据-基础表'!K279</f>
        <v>80.14</v>
      </c>
      <c r="C45" s="24">
        <f t="shared" si="6"/>
        <v>1</v>
      </c>
      <c r="D45" s="717" t="s">
        <v>3440</v>
      </c>
      <c r="E45" s="24">
        <f t="shared" si="7"/>
        <v>1</v>
      </c>
      <c r="F45" s="717" t="s">
        <v>3471</v>
      </c>
      <c r="G45" s="24">
        <f t="shared" si="8"/>
        <v>0.95</v>
      </c>
      <c r="H45" s="717" t="s">
        <v>3472</v>
      </c>
      <c r="I45" s="24">
        <f t="shared" si="9"/>
        <v>0.96</v>
      </c>
      <c r="J45" s="717" t="s">
        <v>3471</v>
      </c>
      <c r="K45" s="24">
        <f t="shared" si="10"/>
        <v>1</v>
      </c>
      <c r="L45" s="717"/>
      <c r="M45" s="24">
        <f t="shared" si="11"/>
        <v>1</v>
      </c>
      <c r="N45" s="717"/>
      <c r="O45" s="24">
        <f t="shared" si="12"/>
        <v>1</v>
      </c>
      <c r="P45" s="717" t="s">
        <v>3457</v>
      </c>
      <c r="Q45" s="24">
        <f t="shared" si="13"/>
        <v>1</v>
      </c>
      <c r="R45" s="713">
        <f t="shared" si="14"/>
        <v>32098</v>
      </c>
      <c r="S45" s="361">
        <f t="shared" si="5"/>
        <v>257</v>
      </c>
    </row>
    <row r="46" spans="1:19">
      <c r="A46" s="715" t="str">
        <f>'数据-基础表'!C280</f>
        <v>7-1-101</v>
      </c>
      <c r="B46" s="715">
        <f>'数据-基础表'!K280</f>
        <v>150.71</v>
      </c>
      <c r="C46" s="24">
        <f t="shared" si="6"/>
        <v>0.98</v>
      </c>
      <c r="D46" s="717" t="s">
        <v>3440</v>
      </c>
      <c r="E46" s="24">
        <f t="shared" si="7"/>
        <v>1</v>
      </c>
      <c r="F46" s="717" t="s">
        <v>3365</v>
      </c>
      <c r="G46" s="24">
        <f t="shared" si="8"/>
        <v>1</v>
      </c>
      <c r="H46" s="717" t="s">
        <v>3366</v>
      </c>
      <c r="I46" s="24">
        <f t="shared" si="9"/>
        <v>1</v>
      </c>
      <c r="J46" s="717" t="s">
        <v>3365</v>
      </c>
      <c r="K46" s="24">
        <f t="shared" si="10"/>
        <v>1</v>
      </c>
      <c r="L46" s="717"/>
      <c r="M46" s="24">
        <f t="shared" si="11"/>
        <v>1</v>
      </c>
      <c r="N46" s="717"/>
      <c r="O46" s="24">
        <f t="shared" si="12"/>
        <v>1</v>
      </c>
      <c r="P46" s="717" t="s">
        <v>3457</v>
      </c>
      <c r="Q46" s="24">
        <f t="shared" si="13"/>
        <v>1</v>
      </c>
      <c r="R46" s="713">
        <f t="shared" si="14"/>
        <v>34491</v>
      </c>
      <c r="S46" s="361">
        <f t="shared" si="5"/>
        <v>520</v>
      </c>
    </row>
    <row r="47" spans="1:19">
      <c r="A47" s="715" t="str">
        <f>'数据-基础表'!C281</f>
        <v>17-1-101</v>
      </c>
      <c r="B47" s="715">
        <f>'数据-基础表'!K281</f>
        <v>262.48</v>
      </c>
      <c r="C47" s="24">
        <f t="shared" si="6"/>
        <v>0.98</v>
      </c>
      <c r="D47" s="717" t="s">
        <v>3387</v>
      </c>
      <c r="E47" s="24">
        <f t="shared" si="7"/>
        <v>0.98</v>
      </c>
      <c r="F47" s="717" t="s">
        <v>3365</v>
      </c>
      <c r="G47" s="24">
        <f t="shared" si="8"/>
        <v>1</v>
      </c>
      <c r="H47" s="717" t="s">
        <v>3366</v>
      </c>
      <c r="I47" s="24">
        <f t="shared" si="9"/>
        <v>1</v>
      </c>
      <c r="J47" s="717" t="s">
        <v>3365</v>
      </c>
      <c r="K47" s="24">
        <f t="shared" si="10"/>
        <v>1</v>
      </c>
      <c r="L47" s="717"/>
      <c r="M47" s="24">
        <f t="shared" si="11"/>
        <v>1</v>
      </c>
      <c r="N47" s="717"/>
      <c r="O47" s="24">
        <f t="shared" si="12"/>
        <v>1</v>
      </c>
      <c r="P47" s="717" t="s">
        <v>3457</v>
      </c>
      <c r="Q47" s="24">
        <f t="shared" si="13"/>
        <v>1</v>
      </c>
      <c r="R47" s="713">
        <f t="shared" si="14"/>
        <v>33801</v>
      </c>
      <c r="S47" s="361">
        <f t="shared" si="5"/>
        <v>887</v>
      </c>
    </row>
    <row r="48" spans="1:19">
      <c r="A48" s="715" t="str">
        <f>'数据-基础表'!C282</f>
        <v>19-1-101</v>
      </c>
      <c r="B48" s="715">
        <f>'数据-基础表'!K282</f>
        <v>100.94</v>
      </c>
      <c r="C48" s="24">
        <f t="shared" si="6"/>
        <v>0.99</v>
      </c>
      <c r="D48" s="717" t="s">
        <v>3440</v>
      </c>
      <c r="E48" s="24">
        <f t="shared" si="7"/>
        <v>1</v>
      </c>
      <c r="F48" s="717" t="s">
        <v>3365</v>
      </c>
      <c r="G48" s="24">
        <f t="shared" si="8"/>
        <v>1</v>
      </c>
      <c r="H48" s="717" t="s">
        <v>3366</v>
      </c>
      <c r="I48" s="24">
        <f t="shared" si="9"/>
        <v>1</v>
      </c>
      <c r="J48" s="717" t="s">
        <v>3365</v>
      </c>
      <c r="K48" s="24">
        <f t="shared" si="10"/>
        <v>1</v>
      </c>
      <c r="L48" s="717"/>
      <c r="M48" s="24">
        <f t="shared" si="11"/>
        <v>1</v>
      </c>
      <c r="N48" s="717"/>
      <c r="O48" s="24">
        <f t="shared" si="12"/>
        <v>1</v>
      </c>
      <c r="P48" s="717" t="s">
        <v>3457</v>
      </c>
      <c r="Q48" s="24">
        <f t="shared" si="13"/>
        <v>1</v>
      </c>
      <c r="R48" s="713">
        <f t="shared" si="14"/>
        <v>34843</v>
      </c>
      <c r="S48" s="361">
        <f t="shared" si="5"/>
        <v>352</v>
      </c>
    </row>
    <row r="49" spans="1:19">
      <c r="A49" s="715" t="str">
        <f>'数据-基础表'!C283</f>
        <v>19-1-102</v>
      </c>
      <c r="B49" s="715">
        <f>'数据-基础表'!K283</f>
        <v>83.4</v>
      </c>
      <c r="C49" s="24">
        <f t="shared" si="6"/>
        <v>1</v>
      </c>
      <c r="D49" s="717" t="s">
        <v>3440</v>
      </c>
      <c r="E49" s="24">
        <f t="shared" si="7"/>
        <v>1</v>
      </c>
      <c r="F49" s="717" t="s">
        <v>3365</v>
      </c>
      <c r="G49" s="24">
        <f t="shared" si="8"/>
        <v>1</v>
      </c>
      <c r="H49" s="717" t="s">
        <v>3366</v>
      </c>
      <c r="I49" s="24">
        <f t="shared" si="9"/>
        <v>1</v>
      </c>
      <c r="J49" s="717" t="s">
        <v>3365</v>
      </c>
      <c r="K49" s="24">
        <f t="shared" si="10"/>
        <v>1</v>
      </c>
      <c r="L49" s="717"/>
      <c r="M49" s="24">
        <f t="shared" si="11"/>
        <v>1</v>
      </c>
      <c r="N49" s="717"/>
      <c r="O49" s="24">
        <f t="shared" si="12"/>
        <v>1</v>
      </c>
      <c r="P49" s="717" t="s">
        <v>3457</v>
      </c>
      <c r="Q49" s="24">
        <f t="shared" si="13"/>
        <v>1</v>
      </c>
      <c r="R49" s="713">
        <f t="shared" si="14"/>
        <v>35195</v>
      </c>
      <c r="S49" s="361">
        <f t="shared" si="5"/>
        <v>294</v>
      </c>
    </row>
    <row r="50" spans="1:19">
      <c r="A50" s="715" t="str">
        <f>'数据-基础表'!C284</f>
        <v>19-1-103</v>
      </c>
      <c r="B50" s="715">
        <f>'数据-基础表'!K284</f>
        <v>83.4</v>
      </c>
      <c r="C50" s="24">
        <f t="shared" si="6"/>
        <v>1</v>
      </c>
      <c r="D50" s="717" t="s">
        <v>3440</v>
      </c>
      <c r="E50" s="24">
        <f t="shared" si="7"/>
        <v>1</v>
      </c>
      <c r="F50" s="717" t="s">
        <v>3365</v>
      </c>
      <c r="G50" s="24">
        <f t="shared" si="8"/>
        <v>1</v>
      </c>
      <c r="H50" s="717" t="s">
        <v>3366</v>
      </c>
      <c r="I50" s="24">
        <f t="shared" si="9"/>
        <v>1</v>
      </c>
      <c r="J50" s="717" t="s">
        <v>3365</v>
      </c>
      <c r="K50" s="24">
        <f t="shared" si="10"/>
        <v>1</v>
      </c>
      <c r="L50" s="717"/>
      <c r="M50" s="24">
        <f t="shared" si="11"/>
        <v>1</v>
      </c>
      <c r="N50" s="717"/>
      <c r="O50" s="24">
        <f t="shared" si="12"/>
        <v>1</v>
      </c>
      <c r="P50" s="717" t="s">
        <v>3457</v>
      </c>
      <c r="Q50" s="24">
        <f t="shared" si="13"/>
        <v>1</v>
      </c>
      <c r="R50" s="713">
        <f t="shared" si="14"/>
        <v>35195</v>
      </c>
      <c r="S50" s="361">
        <f t="shared" si="5"/>
        <v>294</v>
      </c>
    </row>
    <row r="51" spans="1:19">
      <c r="A51" s="715" t="str">
        <f>'数据-基础表'!C285</f>
        <v>19-1-104</v>
      </c>
      <c r="B51" s="715">
        <f>'数据-基础表'!K285</f>
        <v>170.72</v>
      </c>
      <c r="C51" s="24">
        <f t="shared" si="6"/>
        <v>0.98</v>
      </c>
      <c r="D51" s="717" t="s">
        <v>3440</v>
      </c>
      <c r="E51" s="24">
        <f t="shared" si="7"/>
        <v>1</v>
      </c>
      <c r="F51" s="717" t="s">
        <v>3365</v>
      </c>
      <c r="G51" s="24">
        <f t="shared" si="8"/>
        <v>1</v>
      </c>
      <c r="H51" s="717" t="s">
        <v>3366</v>
      </c>
      <c r="I51" s="24">
        <f t="shared" si="9"/>
        <v>1</v>
      </c>
      <c r="J51" s="717" t="s">
        <v>3365</v>
      </c>
      <c r="K51" s="24">
        <f t="shared" si="10"/>
        <v>1</v>
      </c>
      <c r="L51" s="717"/>
      <c r="M51" s="24">
        <f t="shared" si="11"/>
        <v>1</v>
      </c>
      <c r="N51" s="717"/>
      <c r="O51" s="24">
        <f t="shared" si="12"/>
        <v>1</v>
      </c>
      <c r="P51" s="717" t="s">
        <v>3457</v>
      </c>
      <c r="Q51" s="24">
        <f t="shared" si="13"/>
        <v>1</v>
      </c>
      <c r="R51" s="713">
        <f t="shared" si="14"/>
        <v>34491</v>
      </c>
      <c r="S51" s="361">
        <f t="shared" si="5"/>
        <v>589</v>
      </c>
    </row>
    <row r="52" spans="1:19">
      <c r="A52" s="715" t="str">
        <f>'数据-基础表'!C286</f>
        <v>19-1-105</v>
      </c>
      <c r="B52" s="715">
        <f>'数据-基础表'!K286</f>
        <v>83.4</v>
      </c>
      <c r="C52" s="24">
        <f t="shared" si="6"/>
        <v>1</v>
      </c>
      <c r="D52" s="717" t="s">
        <v>3440</v>
      </c>
      <c r="E52" s="24">
        <f t="shared" si="7"/>
        <v>1</v>
      </c>
      <c r="F52" s="717" t="s">
        <v>3365</v>
      </c>
      <c r="G52" s="24">
        <f t="shared" si="8"/>
        <v>1</v>
      </c>
      <c r="H52" s="717" t="s">
        <v>3366</v>
      </c>
      <c r="I52" s="24">
        <f t="shared" si="9"/>
        <v>1</v>
      </c>
      <c r="J52" s="717" t="s">
        <v>3365</v>
      </c>
      <c r="K52" s="24">
        <f t="shared" si="10"/>
        <v>1</v>
      </c>
      <c r="L52" s="717"/>
      <c r="M52" s="24">
        <f t="shared" si="11"/>
        <v>1</v>
      </c>
      <c r="N52" s="717"/>
      <c r="O52" s="24">
        <f t="shared" si="12"/>
        <v>1</v>
      </c>
      <c r="P52" s="717" t="s">
        <v>3457</v>
      </c>
      <c r="Q52" s="24">
        <f t="shared" si="13"/>
        <v>1</v>
      </c>
      <c r="R52" s="713">
        <f t="shared" si="14"/>
        <v>35195</v>
      </c>
      <c r="S52" s="361">
        <f t="shared" si="5"/>
        <v>294</v>
      </c>
    </row>
    <row r="53" spans="1:19">
      <c r="A53" s="715" t="str">
        <f>'数据-基础表'!C287</f>
        <v>19-1-106</v>
      </c>
      <c r="B53" s="715">
        <f>'数据-基础表'!K287</f>
        <v>83.4</v>
      </c>
      <c r="C53" s="24">
        <f t="shared" si="6"/>
        <v>1</v>
      </c>
      <c r="D53" s="717" t="s">
        <v>3387</v>
      </c>
      <c r="E53" s="24">
        <f t="shared" si="7"/>
        <v>0.98</v>
      </c>
      <c r="F53" s="717" t="s">
        <v>3365</v>
      </c>
      <c r="G53" s="24">
        <f t="shared" si="8"/>
        <v>1</v>
      </c>
      <c r="H53" s="717" t="s">
        <v>3366</v>
      </c>
      <c r="I53" s="24">
        <f t="shared" si="9"/>
        <v>1</v>
      </c>
      <c r="J53" s="717" t="s">
        <v>3365</v>
      </c>
      <c r="K53" s="24">
        <f t="shared" si="10"/>
        <v>1</v>
      </c>
      <c r="L53" s="717"/>
      <c r="M53" s="24">
        <f t="shared" si="11"/>
        <v>1</v>
      </c>
      <c r="N53" s="717"/>
      <c r="O53" s="24">
        <f t="shared" si="12"/>
        <v>1</v>
      </c>
      <c r="P53" s="717" t="s">
        <v>3457</v>
      </c>
      <c r="Q53" s="24">
        <f t="shared" si="13"/>
        <v>1</v>
      </c>
      <c r="R53" s="713">
        <f t="shared" si="14"/>
        <v>34491</v>
      </c>
      <c r="S53" s="361">
        <f t="shared" si="5"/>
        <v>288</v>
      </c>
    </row>
    <row r="54" spans="1:19">
      <c r="A54" s="715" t="str">
        <f>'数据-基础表'!C288</f>
        <v>19-1-107</v>
      </c>
      <c r="B54" s="715">
        <f>'数据-基础表'!K288</f>
        <v>84.46</v>
      </c>
      <c r="C54" s="24">
        <f t="shared" si="6"/>
        <v>1</v>
      </c>
      <c r="D54" s="717" t="s">
        <v>3387</v>
      </c>
      <c r="E54" s="24">
        <f t="shared" si="7"/>
        <v>0.98</v>
      </c>
      <c r="F54" s="717" t="s">
        <v>3365</v>
      </c>
      <c r="G54" s="24">
        <f t="shared" si="8"/>
        <v>1</v>
      </c>
      <c r="H54" s="717" t="s">
        <v>3366</v>
      </c>
      <c r="I54" s="24">
        <f t="shared" si="9"/>
        <v>1</v>
      </c>
      <c r="J54" s="717" t="s">
        <v>3365</v>
      </c>
      <c r="K54" s="24">
        <f t="shared" si="10"/>
        <v>1</v>
      </c>
      <c r="L54" s="717"/>
      <c r="M54" s="24">
        <f t="shared" si="11"/>
        <v>1</v>
      </c>
      <c r="N54" s="717"/>
      <c r="O54" s="24">
        <f t="shared" si="12"/>
        <v>1</v>
      </c>
      <c r="P54" s="717" t="s">
        <v>3457</v>
      </c>
      <c r="Q54" s="24">
        <f t="shared" si="13"/>
        <v>1</v>
      </c>
      <c r="R54" s="713">
        <f t="shared" si="14"/>
        <v>34491</v>
      </c>
      <c r="S54" s="361">
        <f t="shared" si="5"/>
        <v>291</v>
      </c>
    </row>
    <row r="55" spans="1:19">
      <c r="A55" s="715" t="str">
        <f>'数据-基础表'!C289</f>
        <v>19-1-110</v>
      </c>
      <c r="B55" s="715">
        <f>'数据-基础表'!K289</f>
        <v>83.06</v>
      </c>
      <c r="C55" s="24">
        <f t="shared" si="6"/>
        <v>1</v>
      </c>
      <c r="D55" s="717" t="s">
        <v>3387</v>
      </c>
      <c r="E55" s="24">
        <f t="shared" si="7"/>
        <v>0.98</v>
      </c>
      <c r="F55" s="717" t="s">
        <v>3471</v>
      </c>
      <c r="G55" s="24">
        <f t="shared" si="8"/>
        <v>0.95</v>
      </c>
      <c r="H55" s="717" t="s">
        <v>3472</v>
      </c>
      <c r="I55" s="24">
        <f t="shared" si="9"/>
        <v>0.96</v>
      </c>
      <c r="J55" s="717" t="s">
        <v>3471</v>
      </c>
      <c r="K55" s="24">
        <f t="shared" si="10"/>
        <v>1</v>
      </c>
      <c r="L55" s="717"/>
      <c r="M55" s="24">
        <f t="shared" si="11"/>
        <v>1</v>
      </c>
      <c r="N55" s="717"/>
      <c r="O55" s="24">
        <f t="shared" si="12"/>
        <v>1</v>
      </c>
      <c r="P55" s="717" t="s">
        <v>3457</v>
      </c>
      <c r="Q55" s="24">
        <f t="shared" si="13"/>
        <v>1</v>
      </c>
      <c r="R55" s="713">
        <f t="shared" si="14"/>
        <v>31456</v>
      </c>
      <c r="S55" s="361">
        <f t="shared" si="5"/>
        <v>261</v>
      </c>
    </row>
    <row r="56" spans="1:19">
      <c r="A56" s="715" t="str">
        <f>'数据-基础表'!C290</f>
        <v>19-2-101</v>
      </c>
      <c r="B56" s="715">
        <f>'数据-基础表'!K290</f>
        <v>84.46</v>
      </c>
      <c r="C56" s="24">
        <f t="shared" si="6"/>
        <v>1</v>
      </c>
      <c r="D56" s="717" t="s">
        <v>3387</v>
      </c>
      <c r="E56" s="24">
        <f t="shared" si="7"/>
        <v>0.98</v>
      </c>
      <c r="F56" s="717" t="s">
        <v>3365</v>
      </c>
      <c r="G56" s="24">
        <f t="shared" si="8"/>
        <v>1</v>
      </c>
      <c r="H56" s="717" t="s">
        <v>3366</v>
      </c>
      <c r="I56" s="24">
        <f t="shared" si="9"/>
        <v>1</v>
      </c>
      <c r="J56" s="717" t="s">
        <v>3365</v>
      </c>
      <c r="K56" s="24">
        <f t="shared" si="10"/>
        <v>1</v>
      </c>
      <c r="L56" s="717"/>
      <c r="M56" s="24">
        <f t="shared" si="11"/>
        <v>1</v>
      </c>
      <c r="N56" s="717"/>
      <c r="O56" s="24">
        <f t="shared" si="12"/>
        <v>1</v>
      </c>
      <c r="P56" s="717" t="s">
        <v>3457</v>
      </c>
      <c r="Q56" s="24">
        <f t="shared" si="13"/>
        <v>1</v>
      </c>
      <c r="R56" s="713">
        <f t="shared" si="14"/>
        <v>34491</v>
      </c>
      <c r="S56" s="361">
        <f t="shared" si="5"/>
        <v>291</v>
      </c>
    </row>
    <row r="57" spans="1:19">
      <c r="A57" s="715" t="str">
        <f>'数据-基础表'!C291</f>
        <v>19-2-102</v>
      </c>
      <c r="B57" s="715">
        <f>'数据-基础表'!K291</f>
        <v>83.4</v>
      </c>
      <c r="C57" s="24">
        <f t="shared" si="6"/>
        <v>1</v>
      </c>
      <c r="D57" s="717" t="s">
        <v>3387</v>
      </c>
      <c r="E57" s="24">
        <f t="shared" si="7"/>
        <v>0.98</v>
      </c>
      <c r="F57" s="717" t="s">
        <v>3365</v>
      </c>
      <c r="G57" s="24">
        <f t="shared" si="8"/>
        <v>1</v>
      </c>
      <c r="H57" s="717" t="s">
        <v>3366</v>
      </c>
      <c r="I57" s="24">
        <f t="shared" si="9"/>
        <v>1</v>
      </c>
      <c r="J57" s="717" t="s">
        <v>3365</v>
      </c>
      <c r="K57" s="24">
        <f t="shared" si="10"/>
        <v>1</v>
      </c>
      <c r="L57" s="717"/>
      <c r="M57" s="24">
        <f t="shared" si="11"/>
        <v>1</v>
      </c>
      <c r="N57" s="717"/>
      <c r="O57" s="24">
        <f t="shared" si="12"/>
        <v>1</v>
      </c>
      <c r="P57" s="717" t="s">
        <v>3457</v>
      </c>
      <c r="Q57" s="24">
        <f t="shared" si="13"/>
        <v>1</v>
      </c>
      <c r="R57" s="713">
        <f t="shared" si="14"/>
        <v>34491</v>
      </c>
      <c r="S57" s="361">
        <f t="shared" si="5"/>
        <v>288</v>
      </c>
    </row>
    <row r="58" spans="1:19">
      <c r="A58" s="715" t="str">
        <f>'数据-基础表'!C292</f>
        <v>19-2-103</v>
      </c>
      <c r="B58" s="715">
        <f>'数据-基础表'!K292</f>
        <v>83.4</v>
      </c>
      <c r="C58" s="24">
        <f t="shared" si="6"/>
        <v>1</v>
      </c>
      <c r="D58" s="717" t="s">
        <v>3387</v>
      </c>
      <c r="E58" s="24">
        <f t="shared" si="7"/>
        <v>0.98</v>
      </c>
      <c r="F58" s="717" t="s">
        <v>3365</v>
      </c>
      <c r="G58" s="24">
        <f t="shared" si="8"/>
        <v>1</v>
      </c>
      <c r="H58" s="717" t="s">
        <v>3366</v>
      </c>
      <c r="I58" s="24">
        <f t="shared" si="9"/>
        <v>1</v>
      </c>
      <c r="J58" s="717" t="s">
        <v>3365</v>
      </c>
      <c r="K58" s="24">
        <f t="shared" si="10"/>
        <v>1</v>
      </c>
      <c r="L58" s="717"/>
      <c r="M58" s="24">
        <f t="shared" si="11"/>
        <v>1</v>
      </c>
      <c r="N58" s="717"/>
      <c r="O58" s="24">
        <f t="shared" si="12"/>
        <v>1</v>
      </c>
      <c r="P58" s="717" t="s">
        <v>3457</v>
      </c>
      <c r="Q58" s="24">
        <f t="shared" si="13"/>
        <v>1</v>
      </c>
      <c r="R58" s="713">
        <f t="shared" si="14"/>
        <v>34491</v>
      </c>
      <c r="S58" s="361">
        <f t="shared" si="5"/>
        <v>288</v>
      </c>
    </row>
    <row r="59" spans="1:19">
      <c r="A59" s="715" t="str">
        <f>'数据-基础表'!C293</f>
        <v>19-2-104</v>
      </c>
      <c r="B59" s="715">
        <f>'数据-基础表'!K293</f>
        <v>170.72</v>
      </c>
      <c r="C59" s="24">
        <f t="shared" si="6"/>
        <v>0.98</v>
      </c>
      <c r="D59" s="717" t="s">
        <v>3387</v>
      </c>
      <c r="E59" s="24">
        <f t="shared" si="7"/>
        <v>0.98</v>
      </c>
      <c r="F59" s="717" t="s">
        <v>3365</v>
      </c>
      <c r="G59" s="24">
        <f t="shared" si="8"/>
        <v>1</v>
      </c>
      <c r="H59" s="717" t="s">
        <v>3366</v>
      </c>
      <c r="I59" s="24">
        <f t="shared" si="9"/>
        <v>1</v>
      </c>
      <c r="J59" s="717" t="s">
        <v>3365</v>
      </c>
      <c r="K59" s="24">
        <f t="shared" si="10"/>
        <v>1</v>
      </c>
      <c r="L59" s="717"/>
      <c r="M59" s="24">
        <f t="shared" si="11"/>
        <v>1</v>
      </c>
      <c r="N59" s="717"/>
      <c r="O59" s="24">
        <f t="shared" si="12"/>
        <v>1</v>
      </c>
      <c r="P59" s="717" t="s">
        <v>3457</v>
      </c>
      <c r="Q59" s="24">
        <f t="shared" si="13"/>
        <v>1</v>
      </c>
      <c r="R59" s="713">
        <f t="shared" si="14"/>
        <v>33801</v>
      </c>
      <c r="S59" s="361">
        <f t="shared" si="5"/>
        <v>577</v>
      </c>
    </row>
    <row r="60" spans="1:19">
      <c r="A60" s="715" t="str">
        <f>'数据-基础表'!C294</f>
        <v>19-2-105</v>
      </c>
      <c r="B60" s="715">
        <f>'数据-基础表'!K294</f>
        <v>83.4</v>
      </c>
      <c r="C60" s="24">
        <f t="shared" si="6"/>
        <v>1</v>
      </c>
      <c r="D60" s="717" t="s">
        <v>3387</v>
      </c>
      <c r="E60" s="24">
        <f t="shared" si="7"/>
        <v>0.98</v>
      </c>
      <c r="F60" s="717" t="s">
        <v>3365</v>
      </c>
      <c r="G60" s="24">
        <f t="shared" si="8"/>
        <v>1</v>
      </c>
      <c r="H60" s="717" t="s">
        <v>3366</v>
      </c>
      <c r="I60" s="24">
        <f t="shared" si="9"/>
        <v>1</v>
      </c>
      <c r="J60" s="717" t="s">
        <v>3365</v>
      </c>
      <c r="K60" s="24">
        <f t="shared" si="10"/>
        <v>1</v>
      </c>
      <c r="L60" s="717"/>
      <c r="M60" s="24">
        <f t="shared" si="11"/>
        <v>1</v>
      </c>
      <c r="N60" s="717"/>
      <c r="O60" s="24">
        <f t="shared" si="12"/>
        <v>1</v>
      </c>
      <c r="P60" s="717" t="s">
        <v>3457</v>
      </c>
      <c r="Q60" s="24">
        <f t="shared" si="13"/>
        <v>1</v>
      </c>
      <c r="R60" s="713">
        <f t="shared" si="14"/>
        <v>34491</v>
      </c>
      <c r="S60" s="361">
        <f t="shared" si="5"/>
        <v>288</v>
      </c>
    </row>
    <row r="61" spans="1:19">
      <c r="A61" s="715" t="str">
        <f>'数据-基础表'!C295</f>
        <v>19-2-106</v>
      </c>
      <c r="B61" s="715">
        <f>'数据-基础表'!K295</f>
        <v>83.4</v>
      </c>
      <c r="C61" s="24">
        <f t="shared" si="6"/>
        <v>1</v>
      </c>
      <c r="D61" s="717" t="s">
        <v>3387</v>
      </c>
      <c r="E61" s="24">
        <f t="shared" si="7"/>
        <v>0.98</v>
      </c>
      <c r="F61" s="717" t="s">
        <v>3365</v>
      </c>
      <c r="G61" s="24">
        <f t="shared" si="8"/>
        <v>1</v>
      </c>
      <c r="H61" s="717" t="s">
        <v>3366</v>
      </c>
      <c r="I61" s="24">
        <f t="shared" si="9"/>
        <v>1</v>
      </c>
      <c r="J61" s="717" t="s">
        <v>3365</v>
      </c>
      <c r="K61" s="24">
        <f t="shared" si="10"/>
        <v>1</v>
      </c>
      <c r="L61" s="717"/>
      <c r="M61" s="24">
        <f t="shared" si="11"/>
        <v>1</v>
      </c>
      <c r="N61" s="717"/>
      <c r="O61" s="24">
        <f t="shared" si="12"/>
        <v>1</v>
      </c>
      <c r="P61" s="717" t="s">
        <v>3457</v>
      </c>
      <c r="Q61" s="24">
        <f t="shared" si="13"/>
        <v>1</v>
      </c>
      <c r="R61" s="713">
        <f t="shared" si="14"/>
        <v>34491</v>
      </c>
      <c r="S61" s="361">
        <f t="shared" si="5"/>
        <v>288</v>
      </c>
    </row>
    <row r="62" spans="1:19">
      <c r="A62" s="715"/>
      <c r="B62" s="715"/>
      <c r="C62" s="24">
        <f t="shared" si="6"/>
        <v>1</v>
      </c>
      <c r="D62" s="717"/>
      <c r="E62" s="24">
        <f t="shared" si="7"/>
        <v>0.04</v>
      </c>
      <c r="F62" s="717"/>
      <c r="G62" s="24">
        <f t="shared" si="8"/>
        <v>0.1</v>
      </c>
      <c r="H62" s="717"/>
      <c r="I62" s="24">
        <f t="shared" si="9"/>
        <v>0.02</v>
      </c>
      <c r="J62" s="717"/>
      <c r="K62" s="24">
        <f t="shared" si="10"/>
        <v>1</v>
      </c>
      <c r="L62" s="717"/>
      <c r="M62" s="24">
        <f t="shared" si="11"/>
        <v>1</v>
      </c>
      <c r="N62" s="717"/>
      <c r="O62" s="24">
        <f t="shared" si="12"/>
        <v>1</v>
      </c>
      <c r="P62" s="717"/>
      <c r="Q62" s="24">
        <f t="shared" si="13"/>
        <v>0</v>
      </c>
      <c r="R62" s="713">
        <f t="shared" si="14"/>
        <v>0</v>
      </c>
      <c r="S62" s="361">
        <f t="shared" si="5"/>
        <v>0</v>
      </c>
    </row>
    <row r="63" spans="1:19">
      <c r="A63" s="715"/>
      <c r="B63" s="715"/>
      <c r="C63" s="24">
        <f t="shared" si="6"/>
        <v>1</v>
      </c>
      <c r="D63" s="717"/>
      <c r="E63" s="24">
        <f t="shared" si="7"/>
        <v>0.04</v>
      </c>
      <c r="F63" s="717"/>
      <c r="G63" s="24">
        <f t="shared" si="8"/>
        <v>0.1</v>
      </c>
      <c r="H63" s="717"/>
      <c r="I63" s="24">
        <f t="shared" si="9"/>
        <v>0.02</v>
      </c>
      <c r="J63" s="717"/>
      <c r="K63" s="24">
        <f t="shared" si="10"/>
        <v>1</v>
      </c>
      <c r="L63" s="717"/>
      <c r="M63" s="24">
        <f t="shared" si="11"/>
        <v>1</v>
      </c>
      <c r="N63" s="717"/>
      <c r="O63" s="24">
        <f t="shared" si="12"/>
        <v>1</v>
      </c>
      <c r="P63" s="717"/>
      <c r="Q63" s="24">
        <f t="shared" si="13"/>
        <v>0</v>
      </c>
      <c r="R63" s="713">
        <f t="shared" si="14"/>
        <v>0</v>
      </c>
      <c r="S63" s="361">
        <f t="shared" si="5"/>
        <v>0</v>
      </c>
    </row>
    <row r="64" spans="1:19">
      <c r="A64" s="715"/>
      <c r="B64" s="715"/>
      <c r="C64" s="24">
        <f t="shared" si="6"/>
        <v>1</v>
      </c>
      <c r="D64" s="717"/>
      <c r="E64" s="24">
        <f t="shared" si="7"/>
        <v>0.04</v>
      </c>
      <c r="F64" s="717"/>
      <c r="G64" s="24">
        <f t="shared" si="8"/>
        <v>0.1</v>
      </c>
      <c r="H64" s="717"/>
      <c r="I64" s="24">
        <f t="shared" si="9"/>
        <v>0.02</v>
      </c>
      <c r="J64" s="717"/>
      <c r="K64" s="24">
        <f t="shared" si="10"/>
        <v>1</v>
      </c>
      <c r="L64" s="717"/>
      <c r="M64" s="24">
        <f t="shared" si="11"/>
        <v>1</v>
      </c>
      <c r="N64" s="717"/>
      <c r="O64" s="24">
        <f t="shared" si="12"/>
        <v>1</v>
      </c>
      <c r="P64" s="717"/>
      <c r="Q64" s="24">
        <f t="shared" si="13"/>
        <v>0</v>
      </c>
      <c r="R64" s="713">
        <f t="shared" si="14"/>
        <v>0</v>
      </c>
      <c r="S64" s="361">
        <f t="shared" si="5"/>
        <v>0</v>
      </c>
    </row>
    <row r="65" spans="1:19">
      <c r="A65" s="715"/>
      <c r="B65" s="715"/>
      <c r="C65" s="24">
        <f t="shared" si="6"/>
        <v>1</v>
      </c>
      <c r="D65" s="717"/>
      <c r="E65" s="24">
        <f t="shared" si="7"/>
        <v>0.04</v>
      </c>
      <c r="F65" s="717"/>
      <c r="G65" s="24">
        <f t="shared" si="8"/>
        <v>0.1</v>
      </c>
      <c r="H65" s="717"/>
      <c r="I65" s="24">
        <f t="shared" si="9"/>
        <v>0.02</v>
      </c>
      <c r="J65" s="717"/>
      <c r="K65" s="24">
        <f t="shared" si="10"/>
        <v>1</v>
      </c>
      <c r="L65" s="717"/>
      <c r="M65" s="24">
        <f t="shared" si="11"/>
        <v>1</v>
      </c>
      <c r="N65" s="717"/>
      <c r="O65" s="24">
        <f t="shared" si="12"/>
        <v>1</v>
      </c>
      <c r="P65" s="717"/>
      <c r="Q65" s="24">
        <f t="shared" si="13"/>
        <v>0</v>
      </c>
      <c r="R65" s="713">
        <f t="shared" si="14"/>
        <v>0</v>
      </c>
      <c r="S65" s="361">
        <f t="shared" si="5"/>
        <v>0</v>
      </c>
    </row>
    <row r="66" spans="1:19">
      <c r="A66" s="715"/>
      <c r="B66" s="715"/>
      <c r="C66" s="24">
        <f t="shared" si="6"/>
        <v>1</v>
      </c>
      <c r="D66" s="717"/>
      <c r="E66" s="24">
        <f t="shared" si="7"/>
        <v>0.04</v>
      </c>
      <c r="F66" s="717"/>
      <c r="G66" s="24">
        <f t="shared" si="8"/>
        <v>0.1</v>
      </c>
      <c r="H66" s="717"/>
      <c r="I66" s="24">
        <f t="shared" si="9"/>
        <v>0.02</v>
      </c>
      <c r="J66" s="717"/>
      <c r="K66" s="24">
        <f t="shared" si="10"/>
        <v>1</v>
      </c>
      <c r="L66" s="717"/>
      <c r="M66" s="24">
        <f t="shared" si="11"/>
        <v>1</v>
      </c>
      <c r="N66" s="717"/>
      <c r="O66" s="24">
        <f t="shared" si="12"/>
        <v>1</v>
      </c>
      <c r="P66" s="717"/>
      <c r="Q66" s="24">
        <f t="shared" si="13"/>
        <v>0</v>
      </c>
      <c r="R66" s="713">
        <f t="shared" si="14"/>
        <v>0</v>
      </c>
      <c r="S66" s="361">
        <f t="shared" si="5"/>
        <v>0</v>
      </c>
    </row>
    <row r="67" spans="1:19">
      <c r="A67" s="715"/>
      <c r="B67" s="715"/>
      <c r="C67" s="24">
        <f t="shared" si="6"/>
        <v>1</v>
      </c>
      <c r="D67" s="717"/>
      <c r="E67" s="24">
        <f t="shared" si="7"/>
        <v>0.04</v>
      </c>
      <c r="F67" s="717"/>
      <c r="G67" s="24">
        <f t="shared" si="8"/>
        <v>0.1</v>
      </c>
      <c r="H67" s="717"/>
      <c r="I67" s="24">
        <f t="shared" si="9"/>
        <v>0.02</v>
      </c>
      <c r="J67" s="717"/>
      <c r="K67" s="24">
        <f t="shared" si="10"/>
        <v>1</v>
      </c>
      <c r="L67" s="717"/>
      <c r="M67" s="24">
        <f t="shared" si="11"/>
        <v>1</v>
      </c>
      <c r="N67" s="717"/>
      <c r="O67" s="24">
        <f t="shared" si="12"/>
        <v>1</v>
      </c>
      <c r="P67" s="717"/>
      <c r="Q67" s="24">
        <f t="shared" si="13"/>
        <v>0</v>
      </c>
      <c r="R67" s="713">
        <f t="shared" si="14"/>
        <v>0</v>
      </c>
      <c r="S67" s="361">
        <f t="shared" si="5"/>
        <v>0</v>
      </c>
    </row>
    <row r="68" spans="1:19">
      <c r="A68" s="715"/>
      <c r="B68" s="715"/>
      <c r="C68" s="24">
        <f t="shared" si="6"/>
        <v>1</v>
      </c>
      <c r="D68" s="717"/>
      <c r="E68" s="24">
        <f t="shared" si="7"/>
        <v>0.04</v>
      </c>
      <c r="F68" s="717"/>
      <c r="G68" s="24">
        <f t="shared" si="8"/>
        <v>0.1</v>
      </c>
      <c r="H68" s="717"/>
      <c r="I68" s="24">
        <f t="shared" si="9"/>
        <v>0.02</v>
      </c>
      <c r="J68" s="717"/>
      <c r="K68" s="24">
        <f t="shared" si="10"/>
        <v>1</v>
      </c>
      <c r="L68" s="717"/>
      <c r="M68" s="24">
        <f t="shared" si="11"/>
        <v>1</v>
      </c>
      <c r="N68" s="717"/>
      <c r="O68" s="24">
        <f t="shared" si="12"/>
        <v>1</v>
      </c>
      <c r="P68" s="717"/>
      <c r="Q68" s="24">
        <f t="shared" si="13"/>
        <v>0</v>
      </c>
      <c r="R68" s="713">
        <f t="shared" si="14"/>
        <v>0</v>
      </c>
      <c r="S68" s="361">
        <f t="shared" si="5"/>
        <v>0</v>
      </c>
    </row>
    <row r="69" spans="1:19">
      <c r="A69" s="715"/>
      <c r="B69" s="715"/>
      <c r="C69" s="24">
        <f t="shared" si="6"/>
        <v>1</v>
      </c>
      <c r="D69" s="717"/>
      <c r="E69" s="24">
        <f t="shared" si="7"/>
        <v>0.04</v>
      </c>
      <c r="F69" s="717"/>
      <c r="G69" s="24">
        <f t="shared" si="8"/>
        <v>0.1</v>
      </c>
      <c r="H69" s="717"/>
      <c r="I69" s="24">
        <f t="shared" si="9"/>
        <v>0.02</v>
      </c>
      <c r="J69" s="717"/>
      <c r="K69" s="24">
        <f t="shared" si="10"/>
        <v>1</v>
      </c>
      <c r="L69" s="717"/>
      <c r="M69" s="24">
        <f t="shared" si="11"/>
        <v>1</v>
      </c>
      <c r="N69" s="717"/>
      <c r="O69" s="24">
        <f t="shared" si="12"/>
        <v>1</v>
      </c>
      <c r="P69" s="717"/>
      <c r="Q69" s="24">
        <f t="shared" si="13"/>
        <v>0</v>
      </c>
      <c r="R69" s="713">
        <f t="shared" si="14"/>
        <v>0</v>
      </c>
      <c r="S69" s="361">
        <f t="shared" si="5"/>
        <v>0</v>
      </c>
    </row>
    <row r="70" spans="1:19">
      <c r="A70" s="715"/>
      <c r="B70" s="715"/>
      <c r="C70" s="24">
        <f t="shared" si="6"/>
        <v>1</v>
      </c>
      <c r="D70" s="717"/>
      <c r="E70" s="24">
        <f t="shared" si="7"/>
        <v>0.04</v>
      </c>
      <c r="F70" s="717"/>
      <c r="G70" s="24">
        <f t="shared" si="8"/>
        <v>0.1</v>
      </c>
      <c r="H70" s="717"/>
      <c r="I70" s="24">
        <f t="shared" si="9"/>
        <v>0.02</v>
      </c>
      <c r="J70" s="717"/>
      <c r="K70" s="24">
        <f t="shared" si="10"/>
        <v>1</v>
      </c>
      <c r="L70" s="717"/>
      <c r="M70" s="24">
        <f t="shared" si="11"/>
        <v>1</v>
      </c>
      <c r="N70" s="717"/>
      <c r="O70" s="24">
        <f t="shared" si="12"/>
        <v>1</v>
      </c>
      <c r="P70" s="717"/>
      <c r="Q70" s="24">
        <f t="shared" si="13"/>
        <v>0</v>
      </c>
      <c r="R70" s="713">
        <f t="shared" si="14"/>
        <v>0</v>
      </c>
      <c r="S70" s="361">
        <f t="shared" si="5"/>
        <v>0</v>
      </c>
    </row>
    <row r="71" spans="1:19">
      <c r="A71" s="715"/>
      <c r="B71" s="715"/>
      <c r="C71" s="24">
        <f t="shared" si="6"/>
        <v>1</v>
      </c>
      <c r="D71" s="717"/>
      <c r="E71" s="24">
        <f t="shared" si="7"/>
        <v>0.04</v>
      </c>
      <c r="F71" s="717"/>
      <c r="G71" s="24">
        <f t="shared" si="8"/>
        <v>0.1</v>
      </c>
      <c r="H71" s="717"/>
      <c r="I71" s="24">
        <f t="shared" si="9"/>
        <v>0.02</v>
      </c>
      <c r="J71" s="717"/>
      <c r="K71" s="24">
        <f t="shared" si="10"/>
        <v>1</v>
      </c>
      <c r="L71" s="717"/>
      <c r="M71" s="24">
        <f t="shared" si="11"/>
        <v>1</v>
      </c>
      <c r="N71" s="717"/>
      <c r="O71" s="24">
        <f t="shared" si="12"/>
        <v>1</v>
      </c>
      <c r="P71" s="717"/>
      <c r="Q71" s="24">
        <f t="shared" si="13"/>
        <v>0</v>
      </c>
      <c r="R71" s="713">
        <f t="shared" si="14"/>
        <v>0</v>
      </c>
      <c r="S71" s="361">
        <f t="shared" si="5"/>
        <v>0</v>
      </c>
    </row>
    <row r="72" spans="1:19">
      <c r="A72" s="715"/>
      <c r="B72" s="715"/>
      <c r="C72" s="24">
        <f t="shared" si="6"/>
        <v>1</v>
      </c>
      <c r="D72" s="717"/>
      <c r="E72" s="24">
        <f t="shared" si="7"/>
        <v>0.04</v>
      </c>
      <c r="F72" s="717"/>
      <c r="G72" s="24">
        <f t="shared" si="8"/>
        <v>0.1</v>
      </c>
      <c r="H72" s="717"/>
      <c r="I72" s="24">
        <f t="shared" si="9"/>
        <v>0.02</v>
      </c>
      <c r="J72" s="717"/>
      <c r="K72" s="24">
        <f t="shared" si="10"/>
        <v>1</v>
      </c>
      <c r="L72" s="717"/>
      <c r="M72" s="24">
        <f t="shared" si="11"/>
        <v>1</v>
      </c>
      <c r="N72" s="717"/>
      <c r="O72" s="24">
        <f t="shared" si="12"/>
        <v>1</v>
      </c>
      <c r="P72" s="717"/>
      <c r="Q72" s="24">
        <f t="shared" si="13"/>
        <v>0</v>
      </c>
      <c r="R72" s="713">
        <f t="shared" si="14"/>
        <v>0</v>
      </c>
      <c r="S72" s="361">
        <f t="shared" si="5"/>
        <v>0</v>
      </c>
    </row>
    <row r="73" spans="1:19">
      <c r="A73" s="715"/>
      <c r="B73" s="715"/>
      <c r="C73" s="24">
        <f t="shared" si="6"/>
        <v>1</v>
      </c>
      <c r="D73" s="717"/>
      <c r="E73" s="24">
        <f t="shared" si="7"/>
        <v>0.04</v>
      </c>
      <c r="F73" s="717"/>
      <c r="G73" s="24">
        <f t="shared" si="8"/>
        <v>0.1</v>
      </c>
      <c r="H73" s="717"/>
      <c r="I73" s="24">
        <f t="shared" si="9"/>
        <v>0.02</v>
      </c>
      <c r="J73" s="717"/>
      <c r="K73" s="24">
        <f t="shared" si="10"/>
        <v>1</v>
      </c>
      <c r="L73" s="717"/>
      <c r="M73" s="24">
        <f t="shared" si="11"/>
        <v>1</v>
      </c>
      <c r="N73" s="717"/>
      <c r="O73" s="24">
        <f t="shared" si="12"/>
        <v>1</v>
      </c>
      <c r="P73" s="717"/>
      <c r="Q73" s="24">
        <f t="shared" si="13"/>
        <v>0</v>
      </c>
      <c r="R73" s="713">
        <f t="shared" si="14"/>
        <v>0</v>
      </c>
      <c r="S73" s="361">
        <f t="shared" si="5"/>
        <v>0</v>
      </c>
    </row>
    <row r="74" spans="1:19">
      <c r="A74" s="715"/>
      <c r="B74" s="715"/>
      <c r="C74" s="24">
        <f t="shared" si="6"/>
        <v>1</v>
      </c>
      <c r="D74" s="717"/>
      <c r="E74" s="24">
        <f t="shared" si="7"/>
        <v>0.04</v>
      </c>
      <c r="F74" s="717"/>
      <c r="G74" s="24">
        <f t="shared" si="8"/>
        <v>0.1</v>
      </c>
      <c r="H74" s="717"/>
      <c r="I74" s="24">
        <f t="shared" si="9"/>
        <v>0.02</v>
      </c>
      <c r="J74" s="717"/>
      <c r="K74" s="24">
        <f t="shared" si="10"/>
        <v>1</v>
      </c>
      <c r="L74" s="717"/>
      <c r="M74" s="24">
        <f t="shared" si="11"/>
        <v>1</v>
      </c>
      <c r="N74" s="717"/>
      <c r="O74" s="24">
        <f t="shared" si="12"/>
        <v>1</v>
      </c>
      <c r="P74" s="717"/>
      <c r="Q74" s="24">
        <f t="shared" si="13"/>
        <v>0</v>
      </c>
      <c r="R74" s="713">
        <f t="shared" si="14"/>
        <v>0</v>
      </c>
      <c r="S74" s="361">
        <f t="shared" si="5"/>
        <v>0</v>
      </c>
    </row>
    <row r="75" spans="1:19">
      <c r="A75" s="715"/>
      <c r="B75" s="715"/>
      <c r="C75" s="24">
        <f t="shared" si="6"/>
        <v>1</v>
      </c>
      <c r="D75" s="717"/>
      <c r="E75" s="24">
        <f t="shared" si="7"/>
        <v>0.04</v>
      </c>
      <c r="F75" s="717"/>
      <c r="G75" s="24">
        <f t="shared" si="8"/>
        <v>0.1</v>
      </c>
      <c r="H75" s="717"/>
      <c r="I75" s="24">
        <f t="shared" si="9"/>
        <v>0.02</v>
      </c>
      <c r="J75" s="717"/>
      <c r="K75" s="24">
        <f t="shared" si="10"/>
        <v>1</v>
      </c>
      <c r="L75" s="717"/>
      <c r="M75" s="24">
        <f t="shared" si="11"/>
        <v>1</v>
      </c>
      <c r="N75" s="717"/>
      <c r="O75" s="24">
        <f t="shared" si="12"/>
        <v>1</v>
      </c>
      <c r="P75" s="717"/>
      <c r="Q75" s="24">
        <f t="shared" si="13"/>
        <v>0</v>
      </c>
      <c r="R75" s="713">
        <f t="shared" si="14"/>
        <v>0</v>
      </c>
      <c r="S75" s="361">
        <f t="shared" si="5"/>
        <v>0</v>
      </c>
    </row>
    <row r="76" spans="1:19">
      <c r="A76" s="715"/>
      <c r="B76" s="715"/>
      <c r="C76" s="24">
        <f t="shared" si="6"/>
        <v>1</v>
      </c>
      <c r="D76" s="717"/>
      <c r="E76" s="24">
        <f t="shared" si="7"/>
        <v>0.04</v>
      </c>
      <c r="F76" s="717"/>
      <c r="G76" s="24">
        <f t="shared" si="8"/>
        <v>0.1</v>
      </c>
      <c r="H76" s="717"/>
      <c r="I76" s="24">
        <f t="shared" si="9"/>
        <v>0.02</v>
      </c>
      <c r="J76" s="717"/>
      <c r="K76" s="24">
        <f t="shared" si="10"/>
        <v>1</v>
      </c>
      <c r="L76" s="717"/>
      <c r="M76" s="24">
        <f t="shared" si="11"/>
        <v>1</v>
      </c>
      <c r="N76" s="717"/>
      <c r="O76" s="24">
        <f t="shared" si="12"/>
        <v>1</v>
      </c>
      <c r="P76" s="717"/>
      <c r="Q76" s="24">
        <f t="shared" si="13"/>
        <v>0</v>
      </c>
      <c r="R76" s="713">
        <f t="shared" si="14"/>
        <v>0</v>
      </c>
      <c r="S76" s="361">
        <f t="shared" si="5"/>
        <v>0</v>
      </c>
    </row>
    <row r="77" spans="1:19">
      <c r="A77" s="715"/>
      <c r="B77" s="715"/>
      <c r="C77" s="24">
        <f t="shared" si="6"/>
        <v>1</v>
      </c>
      <c r="D77" s="717"/>
      <c r="E77" s="24">
        <f t="shared" si="7"/>
        <v>0.04</v>
      </c>
      <c r="F77" s="717"/>
      <c r="G77" s="24">
        <f t="shared" si="8"/>
        <v>0.1</v>
      </c>
      <c r="H77" s="717"/>
      <c r="I77" s="24">
        <f t="shared" si="9"/>
        <v>0.02</v>
      </c>
      <c r="J77" s="717"/>
      <c r="K77" s="24">
        <f t="shared" si="10"/>
        <v>1</v>
      </c>
      <c r="L77" s="717"/>
      <c r="M77" s="24">
        <f t="shared" si="11"/>
        <v>1</v>
      </c>
      <c r="N77" s="717"/>
      <c r="O77" s="24">
        <f t="shared" si="12"/>
        <v>1</v>
      </c>
      <c r="P77" s="717"/>
      <c r="Q77" s="24">
        <f t="shared" si="13"/>
        <v>0</v>
      </c>
      <c r="R77" s="713">
        <f t="shared" si="14"/>
        <v>0</v>
      </c>
      <c r="S77" s="361">
        <f t="shared" si="5"/>
        <v>0</v>
      </c>
    </row>
    <row r="78" spans="1:19">
      <c r="A78" s="715"/>
      <c r="B78" s="715"/>
      <c r="C78" s="24">
        <f t="shared" si="6"/>
        <v>1</v>
      </c>
      <c r="D78" s="717"/>
      <c r="E78" s="24">
        <f t="shared" si="7"/>
        <v>0.04</v>
      </c>
      <c r="F78" s="717"/>
      <c r="G78" s="24">
        <f t="shared" si="8"/>
        <v>0.1</v>
      </c>
      <c r="H78" s="717"/>
      <c r="I78" s="24">
        <f t="shared" si="9"/>
        <v>0.02</v>
      </c>
      <c r="J78" s="717"/>
      <c r="K78" s="24">
        <f t="shared" si="10"/>
        <v>1</v>
      </c>
      <c r="L78" s="717"/>
      <c r="M78" s="24">
        <f t="shared" si="11"/>
        <v>1</v>
      </c>
      <c r="N78" s="717"/>
      <c r="O78" s="24">
        <f t="shared" si="12"/>
        <v>1</v>
      </c>
      <c r="P78" s="717"/>
      <c r="Q78" s="24">
        <f t="shared" si="13"/>
        <v>0</v>
      </c>
      <c r="R78" s="713">
        <f t="shared" si="14"/>
        <v>0</v>
      </c>
      <c r="S78" s="361">
        <f t="shared" si="5"/>
        <v>0</v>
      </c>
    </row>
    <row r="79" spans="1:19">
      <c r="A79" s="715"/>
      <c r="B79" s="715"/>
      <c r="C79" s="24">
        <f t="shared" si="6"/>
        <v>1</v>
      </c>
      <c r="D79" s="717"/>
      <c r="E79" s="24">
        <f t="shared" si="7"/>
        <v>0.04</v>
      </c>
      <c r="F79" s="717"/>
      <c r="G79" s="24">
        <f t="shared" si="8"/>
        <v>0.1</v>
      </c>
      <c r="H79" s="717"/>
      <c r="I79" s="24">
        <f t="shared" si="9"/>
        <v>0.02</v>
      </c>
      <c r="J79" s="717"/>
      <c r="K79" s="24">
        <f t="shared" si="10"/>
        <v>1</v>
      </c>
      <c r="L79" s="717"/>
      <c r="M79" s="24">
        <f t="shared" si="11"/>
        <v>1</v>
      </c>
      <c r="N79" s="717"/>
      <c r="O79" s="24">
        <f t="shared" si="12"/>
        <v>1</v>
      </c>
      <c r="P79" s="717"/>
      <c r="Q79" s="24">
        <f t="shared" si="13"/>
        <v>0</v>
      </c>
      <c r="R79" s="713">
        <f t="shared" si="14"/>
        <v>0</v>
      </c>
      <c r="S79" s="361">
        <f t="shared" si="5"/>
        <v>0</v>
      </c>
    </row>
    <row r="80" spans="1:19">
      <c r="A80" s="715"/>
      <c r="B80" s="715"/>
      <c r="C80" s="24">
        <f t="shared" si="6"/>
        <v>1</v>
      </c>
      <c r="D80" s="717"/>
      <c r="E80" s="24">
        <f t="shared" si="7"/>
        <v>0.04</v>
      </c>
      <c r="F80" s="717"/>
      <c r="G80" s="24">
        <f t="shared" si="8"/>
        <v>0.1</v>
      </c>
      <c r="H80" s="717"/>
      <c r="I80" s="24">
        <f t="shared" si="9"/>
        <v>0.02</v>
      </c>
      <c r="J80" s="717"/>
      <c r="K80" s="24">
        <f t="shared" si="10"/>
        <v>1</v>
      </c>
      <c r="L80" s="717"/>
      <c r="M80" s="24">
        <f t="shared" si="11"/>
        <v>1</v>
      </c>
      <c r="N80" s="717"/>
      <c r="O80" s="24">
        <f t="shared" si="12"/>
        <v>1</v>
      </c>
      <c r="P80" s="717"/>
      <c r="Q80" s="24">
        <f t="shared" si="13"/>
        <v>0</v>
      </c>
      <c r="R80" s="713">
        <f t="shared" si="14"/>
        <v>0</v>
      </c>
      <c r="S80" s="361">
        <f t="shared" si="5"/>
        <v>0</v>
      </c>
    </row>
    <row r="81" spans="1:19">
      <c r="A81" s="715"/>
      <c r="B81" s="715"/>
      <c r="C81" s="24">
        <f t="shared" si="6"/>
        <v>1</v>
      </c>
      <c r="D81" s="717"/>
      <c r="E81" s="24">
        <f t="shared" si="7"/>
        <v>0.04</v>
      </c>
      <c r="F81" s="717"/>
      <c r="G81" s="24">
        <f t="shared" si="8"/>
        <v>0.1</v>
      </c>
      <c r="H81" s="717"/>
      <c r="I81" s="24">
        <f t="shared" si="9"/>
        <v>0.02</v>
      </c>
      <c r="J81" s="717"/>
      <c r="K81" s="24">
        <f t="shared" si="10"/>
        <v>1</v>
      </c>
      <c r="L81" s="717"/>
      <c r="M81" s="24">
        <f t="shared" si="11"/>
        <v>1</v>
      </c>
      <c r="N81" s="717"/>
      <c r="O81" s="24">
        <f t="shared" si="12"/>
        <v>1</v>
      </c>
      <c r="P81" s="717"/>
      <c r="Q81" s="24">
        <f t="shared" si="13"/>
        <v>0</v>
      </c>
      <c r="R81" s="713">
        <f t="shared" si="14"/>
        <v>0</v>
      </c>
      <c r="S81" s="361">
        <f t="shared" si="5"/>
        <v>0</v>
      </c>
    </row>
    <row r="82" spans="1:19">
      <c r="A82" s="715"/>
      <c r="B82" s="715"/>
      <c r="C82" s="24">
        <f t="shared" si="6"/>
        <v>1</v>
      </c>
      <c r="D82" s="717"/>
      <c r="E82" s="24">
        <f t="shared" si="7"/>
        <v>0.04</v>
      </c>
      <c r="F82" s="717"/>
      <c r="G82" s="24">
        <f t="shared" si="8"/>
        <v>0.1</v>
      </c>
      <c r="H82" s="717"/>
      <c r="I82" s="24">
        <f t="shared" si="9"/>
        <v>0.02</v>
      </c>
      <c r="J82" s="717"/>
      <c r="K82" s="24">
        <f t="shared" si="10"/>
        <v>1</v>
      </c>
      <c r="L82" s="717"/>
      <c r="M82" s="24">
        <f t="shared" si="11"/>
        <v>1</v>
      </c>
      <c r="N82" s="717"/>
      <c r="O82" s="24">
        <f t="shared" si="12"/>
        <v>1</v>
      </c>
      <c r="P82" s="717"/>
      <c r="Q82" s="24">
        <f t="shared" si="13"/>
        <v>0</v>
      </c>
      <c r="R82" s="713">
        <f t="shared" si="14"/>
        <v>0</v>
      </c>
      <c r="S82" s="361">
        <f t="shared" si="5"/>
        <v>0</v>
      </c>
    </row>
    <row r="83" spans="1:19">
      <c r="A83" s="715"/>
      <c r="B83" s="715"/>
      <c r="C83" s="24">
        <f t="shared" si="6"/>
        <v>1</v>
      </c>
      <c r="D83" s="717"/>
      <c r="E83" s="24">
        <f t="shared" si="7"/>
        <v>0.04</v>
      </c>
      <c r="F83" s="717"/>
      <c r="G83" s="24">
        <f t="shared" si="8"/>
        <v>0.1</v>
      </c>
      <c r="H83" s="717"/>
      <c r="I83" s="24">
        <f t="shared" si="9"/>
        <v>0.02</v>
      </c>
      <c r="J83" s="717"/>
      <c r="K83" s="24">
        <f t="shared" si="10"/>
        <v>1</v>
      </c>
      <c r="L83" s="717"/>
      <c r="M83" s="24">
        <f t="shared" si="11"/>
        <v>1</v>
      </c>
      <c r="N83" s="717"/>
      <c r="O83" s="24">
        <f t="shared" si="12"/>
        <v>1</v>
      </c>
      <c r="P83" s="717"/>
      <c r="Q83" s="24">
        <f t="shared" si="13"/>
        <v>0</v>
      </c>
      <c r="R83" s="713">
        <f t="shared" si="14"/>
        <v>0</v>
      </c>
      <c r="S83" s="361">
        <f t="shared" si="5"/>
        <v>0</v>
      </c>
    </row>
    <row r="84" spans="1:19">
      <c r="A84" s="715"/>
      <c r="B84" s="715"/>
      <c r="C84" s="24">
        <f t="shared" si="6"/>
        <v>1</v>
      </c>
      <c r="D84" s="717"/>
      <c r="E84" s="24">
        <f t="shared" si="7"/>
        <v>0.04</v>
      </c>
      <c r="F84" s="717"/>
      <c r="G84" s="24">
        <f t="shared" si="8"/>
        <v>0.1</v>
      </c>
      <c r="H84" s="717"/>
      <c r="I84" s="24">
        <f t="shared" si="9"/>
        <v>0.02</v>
      </c>
      <c r="J84" s="717"/>
      <c r="K84" s="24">
        <f t="shared" si="10"/>
        <v>1</v>
      </c>
      <c r="L84" s="717"/>
      <c r="M84" s="24">
        <f t="shared" si="11"/>
        <v>1</v>
      </c>
      <c r="N84" s="717"/>
      <c r="O84" s="24">
        <f t="shared" si="12"/>
        <v>1</v>
      </c>
      <c r="P84" s="717"/>
      <c r="Q84" s="24">
        <f t="shared" si="13"/>
        <v>0</v>
      </c>
      <c r="R84" s="713">
        <f t="shared" si="14"/>
        <v>0</v>
      </c>
      <c r="S84" s="361">
        <f t="shared" si="5"/>
        <v>0</v>
      </c>
    </row>
    <row r="85" spans="1:19">
      <c r="A85" s="715"/>
      <c r="B85" s="715"/>
      <c r="C85" s="24">
        <f t="shared" si="6"/>
        <v>1</v>
      </c>
      <c r="D85" s="717"/>
      <c r="E85" s="24">
        <f t="shared" si="7"/>
        <v>0.04</v>
      </c>
      <c r="F85" s="717"/>
      <c r="G85" s="24">
        <f t="shared" si="8"/>
        <v>0.1</v>
      </c>
      <c r="H85" s="717"/>
      <c r="I85" s="24">
        <f t="shared" si="9"/>
        <v>0.02</v>
      </c>
      <c r="J85" s="717"/>
      <c r="K85" s="24">
        <f t="shared" si="10"/>
        <v>1</v>
      </c>
      <c r="L85" s="717"/>
      <c r="M85" s="24">
        <f t="shared" si="11"/>
        <v>1</v>
      </c>
      <c r="N85" s="717"/>
      <c r="O85" s="24">
        <f t="shared" si="12"/>
        <v>1</v>
      </c>
      <c r="P85" s="717"/>
      <c r="Q85" s="24">
        <f t="shared" si="13"/>
        <v>0</v>
      </c>
      <c r="R85" s="713">
        <f t="shared" si="14"/>
        <v>0</v>
      </c>
      <c r="S85" s="361">
        <f t="shared" si="5"/>
        <v>0</v>
      </c>
    </row>
    <row r="86" spans="1:19">
      <c r="A86" s="715"/>
      <c r="B86" s="715"/>
      <c r="C86" s="24">
        <f t="shared" si="6"/>
        <v>1</v>
      </c>
      <c r="D86" s="717"/>
      <c r="E86" s="24">
        <f t="shared" si="7"/>
        <v>0.04</v>
      </c>
      <c r="F86" s="717"/>
      <c r="G86" s="24">
        <f t="shared" si="8"/>
        <v>0.1</v>
      </c>
      <c r="H86" s="717"/>
      <c r="I86" s="24">
        <f t="shared" si="9"/>
        <v>0.02</v>
      </c>
      <c r="J86" s="717"/>
      <c r="K86" s="24">
        <f t="shared" si="10"/>
        <v>1</v>
      </c>
      <c r="L86" s="717"/>
      <c r="M86" s="24">
        <f t="shared" si="11"/>
        <v>1</v>
      </c>
      <c r="N86" s="717"/>
      <c r="O86" s="24">
        <f t="shared" si="12"/>
        <v>1</v>
      </c>
      <c r="P86" s="717"/>
      <c r="Q86" s="24">
        <f t="shared" si="13"/>
        <v>0</v>
      </c>
      <c r="R86" s="713">
        <f t="shared" si="14"/>
        <v>0</v>
      </c>
      <c r="S86" s="361">
        <f t="shared" si="5"/>
        <v>0</v>
      </c>
    </row>
    <row r="87" spans="1:19">
      <c r="A87" s="715"/>
      <c r="B87" s="715"/>
      <c r="C87" s="24">
        <f t="shared" si="6"/>
        <v>1</v>
      </c>
      <c r="D87" s="717"/>
      <c r="E87" s="24">
        <f t="shared" si="7"/>
        <v>0.04</v>
      </c>
      <c r="F87" s="717"/>
      <c r="G87" s="24">
        <f t="shared" si="8"/>
        <v>0.1</v>
      </c>
      <c r="H87" s="717"/>
      <c r="I87" s="24">
        <f t="shared" si="9"/>
        <v>0.02</v>
      </c>
      <c r="J87" s="717"/>
      <c r="K87" s="24">
        <f t="shared" si="10"/>
        <v>1</v>
      </c>
      <c r="L87" s="717"/>
      <c r="M87" s="24">
        <f t="shared" si="11"/>
        <v>1</v>
      </c>
      <c r="N87" s="717"/>
      <c r="O87" s="24">
        <f t="shared" si="12"/>
        <v>1</v>
      </c>
      <c r="P87" s="717"/>
      <c r="Q87" s="24">
        <f t="shared" si="13"/>
        <v>0</v>
      </c>
      <c r="R87" s="713">
        <f t="shared" si="14"/>
        <v>0</v>
      </c>
      <c r="S87" s="361">
        <f t="shared" si="5"/>
        <v>0</v>
      </c>
    </row>
    <row r="88" spans="1:19">
      <c r="A88" s="715"/>
      <c r="B88" s="715"/>
      <c r="C88" s="24">
        <f t="shared" si="6"/>
        <v>1</v>
      </c>
      <c r="D88" s="717"/>
      <c r="E88" s="24">
        <f t="shared" si="7"/>
        <v>0.04</v>
      </c>
      <c r="F88" s="717"/>
      <c r="G88" s="24">
        <f t="shared" si="8"/>
        <v>0.1</v>
      </c>
      <c r="H88" s="717"/>
      <c r="I88" s="24">
        <f t="shared" si="9"/>
        <v>0.02</v>
      </c>
      <c r="J88" s="717"/>
      <c r="K88" s="24">
        <f t="shared" si="10"/>
        <v>1</v>
      </c>
      <c r="L88" s="717"/>
      <c r="M88" s="24">
        <f t="shared" si="11"/>
        <v>1</v>
      </c>
      <c r="N88" s="717"/>
      <c r="O88" s="24">
        <f t="shared" si="12"/>
        <v>1</v>
      </c>
      <c r="P88" s="717"/>
      <c r="Q88" s="24">
        <f t="shared" si="13"/>
        <v>0</v>
      </c>
      <c r="R88" s="713">
        <f t="shared" si="14"/>
        <v>0</v>
      </c>
      <c r="S88" s="361">
        <f t="shared" ref="S88:S151" si="15">ROUND(R88*B88/10000,0)</f>
        <v>0</v>
      </c>
    </row>
    <row r="89" spans="1:19">
      <c r="A89" s="715"/>
      <c r="B89" s="715"/>
      <c r="C89" s="24">
        <f t="shared" si="6"/>
        <v>1</v>
      </c>
      <c r="D89" s="717"/>
      <c r="E89" s="24">
        <f t="shared" si="7"/>
        <v>0.04</v>
      </c>
      <c r="F89" s="717"/>
      <c r="G89" s="24">
        <f t="shared" si="8"/>
        <v>0.1</v>
      </c>
      <c r="H89" s="717"/>
      <c r="I89" s="24">
        <f t="shared" si="9"/>
        <v>0.02</v>
      </c>
      <c r="J89" s="717"/>
      <c r="K89" s="24">
        <f t="shared" si="10"/>
        <v>1</v>
      </c>
      <c r="L89" s="717"/>
      <c r="M89" s="24">
        <f t="shared" si="11"/>
        <v>1</v>
      </c>
      <c r="N89" s="717"/>
      <c r="O89" s="24">
        <f t="shared" si="12"/>
        <v>1</v>
      </c>
      <c r="P89" s="717"/>
      <c r="Q89" s="24">
        <f t="shared" si="13"/>
        <v>0</v>
      </c>
      <c r="R89" s="713">
        <f t="shared" si="14"/>
        <v>0</v>
      </c>
      <c r="S89" s="361">
        <f t="shared" si="15"/>
        <v>0</v>
      </c>
    </row>
    <row r="90" spans="1:19">
      <c r="A90" s="715"/>
      <c r="B90" s="715"/>
      <c r="C90" s="24">
        <f t="shared" ref="C90:C153" si="16">IF(B90="",1,(LOOKUP(B90,$3:$3,$4:$4)-LOOKUP($B$24,$3:$3,$4:$4)+100)/100)</f>
        <v>1</v>
      </c>
      <c r="D90" s="717"/>
      <c r="E90" s="24">
        <f t="shared" ref="E90:E153" si="17">(SUMIF($5:$5,D90,$6:$6)-SUMIF($5:$5,$D$24,$6:$6)+100)/100</f>
        <v>0.04</v>
      </c>
      <c r="F90" s="717"/>
      <c r="G90" s="24">
        <f t="shared" ref="G90:G153" si="18">(SUMIF($7:$7,F90,$8:$8)-SUMIF($7:$7,$F$24,$8:$8)+100)/100</f>
        <v>0.1</v>
      </c>
      <c r="H90" s="717"/>
      <c r="I90" s="24">
        <f t="shared" ref="I90:I153" si="19">(SUMIF($9:$9,H90,$10:$10)-SUMIF($9:$9,$H$24,$10:$10)+100)/100</f>
        <v>0.02</v>
      </c>
      <c r="J90" s="717"/>
      <c r="K90" s="24">
        <f t="shared" ref="K90:K153" si="20">(SUMIF($11:$11,J90,$12:$12)-SUMIF($11:$11,$J$24,$12:$12)+100)/100</f>
        <v>1</v>
      </c>
      <c r="L90" s="717"/>
      <c r="M90" s="24">
        <f t="shared" ref="M90:M153" si="21">(SUMIF($13:$13,L90,$14:$14)-SUMIF($13:$13,$L$24,$14:$14)+100)/100</f>
        <v>1</v>
      </c>
      <c r="N90" s="717"/>
      <c r="O90" s="24">
        <f t="shared" ref="O90:O153" si="22">(SUMIF($15:$15,N90,$16:$16)-SUMIF($15:$15,$N$24,$16:$16)+100)/100</f>
        <v>1</v>
      </c>
      <c r="P90" s="717"/>
      <c r="Q90" s="24">
        <f t="shared" ref="Q90:Q153" si="23">(SUMIF($17:$17,P90,$18:$18)-SUMIF($17:$17,$P$24,$18:$18)+100)/100</f>
        <v>0</v>
      </c>
      <c r="R90" s="713">
        <f t="shared" ref="R90:R153" si="24">IF(B90="",0,ROUND($R$24*C90*E90*G90*I90*K90*M90*O90*Q90,0))</f>
        <v>0</v>
      </c>
      <c r="S90" s="361">
        <f t="shared" si="15"/>
        <v>0</v>
      </c>
    </row>
    <row r="91" spans="1:19">
      <c r="A91" s="715"/>
      <c r="B91" s="715"/>
      <c r="C91" s="24">
        <f t="shared" si="16"/>
        <v>1</v>
      </c>
      <c r="D91" s="717"/>
      <c r="E91" s="24">
        <f t="shared" si="17"/>
        <v>0.04</v>
      </c>
      <c r="F91" s="717"/>
      <c r="G91" s="24">
        <f t="shared" si="18"/>
        <v>0.1</v>
      </c>
      <c r="H91" s="717"/>
      <c r="I91" s="24">
        <f t="shared" si="19"/>
        <v>0.02</v>
      </c>
      <c r="J91" s="717"/>
      <c r="K91" s="24">
        <f t="shared" si="20"/>
        <v>1</v>
      </c>
      <c r="L91" s="717"/>
      <c r="M91" s="24">
        <f t="shared" si="21"/>
        <v>1</v>
      </c>
      <c r="N91" s="717"/>
      <c r="O91" s="24">
        <f t="shared" si="22"/>
        <v>1</v>
      </c>
      <c r="P91" s="717"/>
      <c r="Q91" s="24">
        <f t="shared" si="23"/>
        <v>0</v>
      </c>
      <c r="R91" s="713">
        <f t="shared" si="24"/>
        <v>0</v>
      </c>
      <c r="S91" s="361">
        <f t="shared" si="15"/>
        <v>0</v>
      </c>
    </row>
    <row r="92" spans="1:19">
      <c r="A92" s="715"/>
      <c r="B92" s="715"/>
      <c r="C92" s="24">
        <f t="shared" si="16"/>
        <v>1</v>
      </c>
      <c r="D92" s="717"/>
      <c r="E92" s="24">
        <f t="shared" si="17"/>
        <v>0.04</v>
      </c>
      <c r="F92" s="717"/>
      <c r="G92" s="24">
        <f t="shared" si="18"/>
        <v>0.1</v>
      </c>
      <c r="H92" s="717"/>
      <c r="I92" s="24">
        <f t="shared" si="19"/>
        <v>0.02</v>
      </c>
      <c r="J92" s="717"/>
      <c r="K92" s="24">
        <f t="shared" si="20"/>
        <v>1</v>
      </c>
      <c r="L92" s="717"/>
      <c r="M92" s="24">
        <f t="shared" si="21"/>
        <v>1</v>
      </c>
      <c r="N92" s="717"/>
      <c r="O92" s="24">
        <f t="shared" si="22"/>
        <v>1</v>
      </c>
      <c r="P92" s="717"/>
      <c r="Q92" s="24">
        <f t="shared" si="23"/>
        <v>0</v>
      </c>
      <c r="R92" s="713">
        <f t="shared" si="24"/>
        <v>0</v>
      </c>
      <c r="S92" s="361">
        <f t="shared" si="15"/>
        <v>0</v>
      </c>
    </row>
    <row r="93" spans="1:19">
      <c r="A93" s="715"/>
      <c r="B93" s="715"/>
      <c r="C93" s="24">
        <f t="shared" si="16"/>
        <v>1</v>
      </c>
      <c r="D93" s="717"/>
      <c r="E93" s="24">
        <f t="shared" si="17"/>
        <v>0.04</v>
      </c>
      <c r="F93" s="717"/>
      <c r="G93" s="24">
        <f t="shared" si="18"/>
        <v>0.1</v>
      </c>
      <c r="H93" s="717"/>
      <c r="I93" s="24">
        <f t="shared" si="19"/>
        <v>0.02</v>
      </c>
      <c r="J93" s="717"/>
      <c r="K93" s="24">
        <f t="shared" si="20"/>
        <v>1</v>
      </c>
      <c r="L93" s="717"/>
      <c r="M93" s="24">
        <f t="shared" si="21"/>
        <v>1</v>
      </c>
      <c r="N93" s="717"/>
      <c r="O93" s="24">
        <f t="shared" si="22"/>
        <v>1</v>
      </c>
      <c r="P93" s="717"/>
      <c r="Q93" s="24">
        <f t="shared" si="23"/>
        <v>0</v>
      </c>
      <c r="R93" s="713">
        <f t="shared" si="24"/>
        <v>0</v>
      </c>
      <c r="S93" s="361">
        <f t="shared" si="15"/>
        <v>0</v>
      </c>
    </row>
    <row r="94" spans="1:19">
      <c r="A94" s="715"/>
      <c r="B94" s="715"/>
      <c r="C94" s="24">
        <f t="shared" si="16"/>
        <v>1</v>
      </c>
      <c r="D94" s="717"/>
      <c r="E94" s="24">
        <f t="shared" si="17"/>
        <v>0.04</v>
      </c>
      <c r="F94" s="717"/>
      <c r="G94" s="24">
        <f t="shared" si="18"/>
        <v>0.1</v>
      </c>
      <c r="H94" s="717"/>
      <c r="I94" s="24">
        <f t="shared" si="19"/>
        <v>0.02</v>
      </c>
      <c r="J94" s="717"/>
      <c r="K94" s="24">
        <f t="shared" si="20"/>
        <v>1</v>
      </c>
      <c r="L94" s="717"/>
      <c r="M94" s="24">
        <f t="shared" si="21"/>
        <v>1</v>
      </c>
      <c r="N94" s="717"/>
      <c r="O94" s="24">
        <f t="shared" si="22"/>
        <v>1</v>
      </c>
      <c r="P94" s="717"/>
      <c r="Q94" s="24">
        <f t="shared" si="23"/>
        <v>0</v>
      </c>
      <c r="R94" s="713">
        <f t="shared" si="24"/>
        <v>0</v>
      </c>
      <c r="S94" s="361">
        <f t="shared" si="15"/>
        <v>0</v>
      </c>
    </row>
    <row r="95" spans="1:19">
      <c r="A95" s="715"/>
      <c r="B95" s="715"/>
      <c r="C95" s="24">
        <f t="shared" si="16"/>
        <v>1</v>
      </c>
      <c r="D95" s="717"/>
      <c r="E95" s="24">
        <f t="shared" si="17"/>
        <v>0.04</v>
      </c>
      <c r="F95" s="717"/>
      <c r="G95" s="24">
        <f t="shared" si="18"/>
        <v>0.1</v>
      </c>
      <c r="H95" s="717"/>
      <c r="I95" s="24">
        <f t="shared" si="19"/>
        <v>0.02</v>
      </c>
      <c r="J95" s="717"/>
      <c r="K95" s="24">
        <f t="shared" si="20"/>
        <v>1</v>
      </c>
      <c r="L95" s="717"/>
      <c r="M95" s="24">
        <f t="shared" si="21"/>
        <v>1</v>
      </c>
      <c r="N95" s="717"/>
      <c r="O95" s="24">
        <f t="shared" si="22"/>
        <v>1</v>
      </c>
      <c r="P95" s="717"/>
      <c r="Q95" s="24">
        <f t="shared" si="23"/>
        <v>0</v>
      </c>
      <c r="R95" s="713">
        <f t="shared" si="24"/>
        <v>0</v>
      </c>
      <c r="S95" s="361">
        <f t="shared" si="15"/>
        <v>0</v>
      </c>
    </row>
    <row r="96" spans="1:19">
      <c r="A96" s="715"/>
      <c r="B96" s="715"/>
      <c r="C96" s="24">
        <f t="shared" si="16"/>
        <v>1</v>
      </c>
      <c r="D96" s="717"/>
      <c r="E96" s="24">
        <f t="shared" si="17"/>
        <v>0.04</v>
      </c>
      <c r="F96" s="717"/>
      <c r="G96" s="24">
        <f t="shared" si="18"/>
        <v>0.1</v>
      </c>
      <c r="H96" s="717"/>
      <c r="I96" s="24">
        <f t="shared" si="19"/>
        <v>0.02</v>
      </c>
      <c r="J96" s="717"/>
      <c r="K96" s="24">
        <f t="shared" si="20"/>
        <v>1</v>
      </c>
      <c r="L96" s="717"/>
      <c r="M96" s="24">
        <f t="shared" si="21"/>
        <v>1</v>
      </c>
      <c r="N96" s="717"/>
      <c r="O96" s="24">
        <f t="shared" si="22"/>
        <v>1</v>
      </c>
      <c r="P96" s="717"/>
      <c r="Q96" s="24">
        <f t="shared" si="23"/>
        <v>0</v>
      </c>
      <c r="R96" s="713">
        <f t="shared" si="24"/>
        <v>0</v>
      </c>
      <c r="S96" s="361">
        <f t="shared" si="15"/>
        <v>0</v>
      </c>
    </row>
    <row r="97" spans="1:19">
      <c r="A97" s="715"/>
      <c r="B97" s="715"/>
      <c r="C97" s="24">
        <f t="shared" si="16"/>
        <v>1</v>
      </c>
      <c r="D97" s="717"/>
      <c r="E97" s="24">
        <f t="shared" si="17"/>
        <v>0.04</v>
      </c>
      <c r="F97" s="717"/>
      <c r="G97" s="24">
        <f t="shared" si="18"/>
        <v>0.1</v>
      </c>
      <c r="H97" s="717"/>
      <c r="I97" s="24">
        <f t="shared" si="19"/>
        <v>0.02</v>
      </c>
      <c r="J97" s="717"/>
      <c r="K97" s="24">
        <f t="shared" si="20"/>
        <v>1</v>
      </c>
      <c r="L97" s="717"/>
      <c r="M97" s="24">
        <f t="shared" si="21"/>
        <v>1</v>
      </c>
      <c r="N97" s="717"/>
      <c r="O97" s="24">
        <f t="shared" si="22"/>
        <v>1</v>
      </c>
      <c r="P97" s="717"/>
      <c r="Q97" s="24">
        <f t="shared" si="23"/>
        <v>0</v>
      </c>
      <c r="R97" s="713">
        <f t="shared" si="24"/>
        <v>0</v>
      </c>
      <c r="S97" s="361">
        <f t="shared" si="15"/>
        <v>0</v>
      </c>
    </row>
    <row r="98" spans="1:19">
      <c r="A98" s="715"/>
      <c r="B98" s="715"/>
      <c r="C98" s="24">
        <f t="shared" si="16"/>
        <v>1</v>
      </c>
      <c r="D98" s="717"/>
      <c r="E98" s="24">
        <f t="shared" si="17"/>
        <v>0.04</v>
      </c>
      <c r="F98" s="717"/>
      <c r="G98" s="24">
        <f t="shared" si="18"/>
        <v>0.1</v>
      </c>
      <c r="H98" s="717"/>
      <c r="I98" s="24">
        <f t="shared" si="19"/>
        <v>0.02</v>
      </c>
      <c r="J98" s="717"/>
      <c r="K98" s="24">
        <f t="shared" si="20"/>
        <v>1</v>
      </c>
      <c r="L98" s="717"/>
      <c r="M98" s="24">
        <f t="shared" si="21"/>
        <v>1</v>
      </c>
      <c r="N98" s="717"/>
      <c r="O98" s="24">
        <f t="shared" si="22"/>
        <v>1</v>
      </c>
      <c r="P98" s="717"/>
      <c r="Q98" s="24">
        <f t="shared" si="23"/>
        <v>0</v>
      </c>
      <c r="R98" s="713">
        <f t="shared" si="24"/>
        <v>0</v>
      </c>
      <c r="S98" s="361">
        <f t="shared" si="15"/>
        <v>0</v>
      </c>
    </row>
    <row r="99" spans="1:19">
      <c r="A99" s="715"/>
      <c r="B99" s="715"/>
      <c r="C99" s="24">
        <f t="shared" si="16"/>
        <v>1</v>
      </c>
      <c r="D99" s="717"/>
      <c r="E99" s="24">
        <f t="shared" si="17"/>
        <v>0.04</v>
      </c>
      <c r="F99" s="717"/>
      <c r="G99" s="24">
        <f t="shared" si="18"/>
        <v>0.1</v>
      </c>
      <c r="H99" s="717"/>
      <c r="I99" s="24">
        <f t="shared" si="19"/>
        <v>0.02</v>
      </c>
      <c r="J99" s="717"/>
      <c r="K99" s="24">
        <f t="shared" si="20"/>
        <v>1</v>
      </c>
      <c r="L99" s="717"/>
      <c r="M99" s="24">
        <f t="shared" si="21"/>
        <v>1</v>
      </c>
      <c r="N99" s="717"/>
      <c r="O99" s="24">
        <f t="shared" si="22"/>
        <v>1</v>
      </c>
      <c r="P99" s="717"/>
      <c r="Q99" s="24">
        <f t="shared" si="23"/>
        <v>0</v>
      </c>
      <c r="R99" s="713">
        <f t="shared" si="24"/>
        <v>0</v>
      </c>
      <c r="S99" s="361">
        <f t="shared" si="15"/>
        <v>0</v>
      </c>
    </row>
    <row r="100" spans="1:19">
      <c r="A100" s="715"/>
      <c r="B100" s="715"/>
      <c r="C100" s="24">
        <f t="shared" si="16"/>
        <v>1</v>
      </c>
      <c r="D100" s="717"/>
      <c r="E100" s="24">
        <f t="shared" si="17"/>
        <v>0.04</v>
      </c>
      <c r="F100" s="717"/>
      <c r="G100" s="24">
        <f t="shared" si="18"/>
        <v>0.1</v>
      </c>
      <c r="H100" s="717"/>
      <c r="I100" s="24">
        <f t="shared" si="19"/>
        <v>0.02</v>
      </c>
      <c r="J100" s="717"/>
      <c r="K100" s="24">
        <f t="shared" si="20"/>
        <v>1</v>
      </c>
      <c r="L100" s="717"/>
      <c r="M100" s="24">
        <f t="shared" si="21"/>
        <v>1</v>
      </c>
      <c r="N100" s="717"/>
      <c r="O100" s="24">
        <f t="shared" si="22"/>
        <v>1</v>
      </c>
      <c r="P100" s="717"/>
      <c r="Q100" s="24">
        <f t="shared" si="23"/>
        <v>0</v>
      </c>
      <c r="R100" s="713">
        <f t="shared" si="24"/>
        <v>0</v>
      </c>
      <c r="S100" s="361">
        <f t="shared" si="15"/>
        <v>0</v>
      </c>
    </row>
    <row r="101" spans="1:19">
      <c r="A101" s="715"/>
      <c r="B101" s="715"/>
      <c r="C101" s="24">
        <f t="shared" si="16"/>
        <v>1</v>
      </c>
      <c r="D101" s="717"/>
      <c r="E101" s="24">
        <f t="shared" si="17"/>
        <v>0.04</v>
      </c>
      <c r="F101" s="717"/>
      <c r="G101" s="24">
        <f t="shared" si="18"/>
        <v>0.1</v>
      </c>
      <c r="H101" s="717"/>
      <c r="I101" s="24">
        <f t="shared" si="19"/>
        <v>0.02</v>
      </c>
      <c r="J101" s="717"/>
      <c r="K101" s="24">
        <f t="shared" si="20"/>
        <v>1</v>
      </c>
      <c r="L101" s="717"/>
      <c r="M101" s="24">
        <f t="shared" si="21"/>
        <v>1</v>
      </c>
      <c r="N101" s="717"/>
      <c r="O101" s="24">
        <f t="shared" si="22"/>
        <v>1</v>
      </c>
      <c r="P101" s="717"/>
      <c r="Q101" s="24">
        <f t="shared" si="23"/>
        <v>0</v>
      </c>
      <c r="R101" s="713">
        <f t="shared" si="24"/>
        <v>0</v>
      </c>
      <c r="S101" s="361">
        <f t="shared" si="15"/>
        <v>0</v>
      </c>
    </row>
    <row r="102" spans="1:19">
      <c r="A102" s="715"/>
      <c r="B102" s="715"/>
      <c r="C102" s="24">
        <f t="shared" si="16"/>
        <v>1</v>
      </c>
      <c r="D102" s="717"/>
      <c r="E102" s="24">
        <f t="shared" si="17"/>
        <v>0.04</v>
      </c>
      <c r="F102" s="717"/>
      <c r="G102" s="24">
        <f t="shared" si="18"/>
        <v>0.1</v>
      </c>
      <c r="H102" s="717"/>
      <c r="I102" s="24">
        <f t="shared" si="19"/>
        <v>0.02</v>
      </c>
      <c r="J102" s="717"/>
      <c r="K102" s="24">
        <f t="shared" si="20"/>
        <v>1</v>
      </c>
      <c r="L102" s="717"/>
      <c r="M102" s="24">
        <f t="shared" si="21"/>
        <v>1</v>
      </c>
      <c r="N102" s="717"/>
      <c r="O102" s="24">
        <f t="shared" si="22"/>
        <v>1</v>
      </c>
      <c r="P102" s="717"/>
      <c r="Q102" s="24">
        <f t="shared" si="23"/>
        <v>0</v>
      </c>
      <c r="R102" s="713">
        <f t="shared" si="24"/>
        <v>0</v>
      </c>
      <c r="S102" s="361">
        <f t="shared" si="15"/>
        <v>0</v>
      </c>
    </row>
    <row r="103" spans="1:19">
      <c r="A103" s="715"/>
      <c r="B103" s="715"/>
      <c r="C103" s="24">
        <f t="shared" si="16"/>
        <v>1</v>
      </c>
      <c r="D103" s="717"/>
      <c r="E103" s="24">
        <f t="shared" si="17"/>
        <v>0.04</v>
      </c>
      <c r="F103" s="717"/>
      <c r="G103" s="24">
        <f t="shared" si="18"/>
        <v>0.1</v>
      </c>
      <c r="H103" s="717"/>
      <c r="I103" s="24">
        <f t="shared" si="19"/>
        <v>0.02</v>
      </c>
      <c r="J103" s="717"/>
      <c r="K103" s="24">
        <f t="shared" si="20"/>
        <v>1</v>
      </c>
      <c r="L103" s="717"/>
      <c r="M103" s="24">
        <f t="shared" si="21"/>
        <v>1</v>
      </c>
      <c r="N103" s="717"/>
      <c r="O103" s="24">
        <f t="shared" si="22"/>
        <v>1</v>
      </c>
      <c r="P103" s="717"/>
      <c r="Q103" s="24">
        <f t="shared" si="23"/>
        <v>0</v>
      </c>
      <c r="R103" s="713">
        <f t="shared" si="24"/>
        <v>0</v>
      </c>
      <c r="S103" s="361">
        <f t="shared" si="15"/>
        <v>0</v>
      </c>
    </row>
    <row r="104" spans="1:19">
      <c r="A104" s="715"/>
      <c r="B104" s="715"/>
      <c r="C104" s="24">
        <f t="shared" si="16"/>
        <v>1</v>
      </c>
      <c r="D104" s="717"/>
      <c r="E104" s="24">
        <f t="shared" si="17"/>
        <v>0.04</v>
      </c>
      <c r="F104" s="717"/>
      <c r="G104" s="24">
        <f t="shared" si="18"/>
        <v>0.1</v>
      </c>
      <c r="H104" s="717"/>
      <c r="I104" s="24">
        <f t="shared" si="19"/>
        <v>0.02</v>
      </c>
      <c r="J104" s="717"/>
      <c r="K104" s="24">
        <f t="shared" si="20"/>
        <v>1</v>
      </c>
      <c r="L104" s="717"/>
      <c r="M104" s="24">
        <f t="shared" si="21"/>
        <v>1</v>
      </c>
      <c r="N104" s="717"/>
      <c r="O104" s="24">
        <f t="shared" si="22"/>
        <v>1</v>
      </c>
      <c r="P104" s="717"/>
      <c r="Q104" s="24">
        <f t="shared" si="23"/>
        <v>0</v>
      </c>
      <c r="R104" s="713">
        <f t="shared" si="24"/>
        <v>0</v>
      </c>
      <c r="S104" s="361">
        <f t="shared" si="15"/>
        <v>0</v>
      </c>
    </row>
    <row r="105" spans="1:19">
      <c r="A105" s="715"/>
      <c r="B105" s="715"/>
      <c r="C105" s="24">
        <f t="shared" si="16"/>
        <v>1</v>
      </c>
      <c r="D105" s="717"/>
      <c r="E105" s="24">
        <f t="shared" si="17"/>
        <v>0.04</v>
      </c>
      <c r="F105" s="717"/>
      <c r="G105" s="24">
        <f t="shared" si="18"/>
        <v>0.1</v>
      </c>
      <c r="H105" s="717"/>
      <c r="I105" s="24">
        <f t="shared" si="19"/>
        <v>0.02</v>
      </c>
      <c r="J105" s="717"/>
      <c r="K105" s="24">
        <f t="shared" si="20"/>
        <v>1</v>
      </c>
      <c r="L105" s="717"/>
      <c r="M105" s="24">
        <f t="shared" si="21"/>
        <v>1</v>
      </c>
      <c r="N105" s="717"/>
      <c r="O105" s="24">
        <f t="shared" si="22"/>
        <v>1</v>
      </c>
      <c r="P105" s="717"/>
      <c r="Q105" s="24">
        <f t="shared" si="23"/>
        <v>0</v>
      </c>
      <c r="R105" s="713">
        <f t="shared" si="24"/>
        <v>0</v>
      </c>
      <c r="S105" s="361">
        <f t="shared" si="15"/>
        <v>0</v>
      </c>
    </row>
    <row r="106" spans="1:19">
      <c r="A106" s="715"/>
      <c r="B106" s="715"/>
      <c r="C106" s="24">
        <f t="shared" si="16"/>
        <v>1</v>
      </c>
      <c r="D106" s="717"/>
      <c r="E106" s="24">
        <f t="shared" si="17"/>
        <v>0.04</v>
      </c>
      <c r="F106" s="717"/>
      <c r="G106" s="24">
        <f t="shared" si="18"/>
        <v>0.1</v>
      </c>
      <c r="H106" s="717"/>
      <c r="I106" s="24">
        <f t="shared" si="19"/>
        <v>0.02</v>
      </c>
      <c r="J106" s="717"/>
      <c r="K106" s="24">
        <f t="shared" si="20"/>
        <v>1</v>
      </c>
      <c r="L106" s="717"/>
      <c r="M106" s="24">
        <f t="shared" si="21"/>
        <v>1</v>
      </c>
      <c r="N106" s="717"/>
      <c r="O106" s="24">
        <f t="shared" si="22"/>
        <v>1</v>
      </c>
      <c r="P106" s="717"/>
      <c r="Q106" s="24">
        <f t="shared" si="23"/>
        <v>0</v>
      </c>
      <c r="R106" s="713">
        <f t="shared" si="24"/>
        <v>0</v>
      </c>
      <c r="S106" s="361">
        <f t="shared" si="15"/>
        <v>0</v>
      </c>
    </row>
    <row r="107" spans="1:19">
      <c r="A107" s="715"/>
      <c r="B107" s="715"/>
      <c r="C107" s="24">
        <f t="shared" si="16"/>
        <v>1</v>
      </c>
      <c r="D107" s="717"/>
      <c r="E107" s="24">
        <f t="shared" si="17"/>
        <v>0.04</v>
      </c>
      <c r="F107" s="717"/>
      <c r="G107" s="24">
        <f t="shared" si="18"/>
        <v>0.1</v>
      </c>
      <c r="H107" s="717"/>
      <c r="I107" s="24">
        <f t="shared" si="19"/>
        <v>0.02</v>
      </c>
      <c r="J107" s="717"/>
      <c r="K107" s="24">
        <f t="shared" si="20"/>
        <v>1</v>
      </c>
      <c r="L107" s="717"/>
      <c r="M107" s="24">
        <f t="shared" si="21"/>
        <v>1</v>
      </c>
      <c r="N107" s="717"/>
      <c r="O107" s="24">
        <f t="shared" si="22"/>
        <v>1</v>
      </c>
      <c r="P107" s="717"/>
      <c r="Q107" s="24">
        <f t="shared" si="23"/>
        <v>0</v>
      </c>
      <c r="R107" s="713">
        <f t="shared" si="24"/>
        <v>0</v>
      </c>
      <c r="S107" s="361">
        <f t="shared" si="15"/>
        <v>0</v>
      </c>
    </row>
    <row r="108" spans="1:19">
      <c r="A108" s="715"/>
      <c r="B108" s="715"/>
      <c r="C108" s="24">
        <f t="shared" si="16"/>
        <v>1</v>
      </c>
      <c r="D108" s="717"/>
      <c r="E108" s="24">
        <f t="shared" si="17"/>
        <v>0.04</v>
      </c>
      <c r="F108" s="717"/>
      <c r="G108" s="24">
        <f t="shared" si="18"/>
        <v>0.1</v>
      </c>
      <c r="H108" s="717"/>
      <c r="I108" s="24">
        <f t="shared" si="19"/>
        <v>0.02</v>
      </c>
      <c r="J108" s="717"/>
      <c r="K108" s="24">
        <f t="shared" si="20"/>
        <v>1</v>
      </c>
      <c r="L108" s="717"/>
      <c r="M108" s="24">
        <f t="shared" si="21"/>
        <v>1</v>
      </c>
      <c r="N108" s="717"/>
      <c r="O108" s="24">
        <f t="shared" si="22"/>
        <v>1</v>
      </c>
      <c r="P108" s="717"/>
      <c r="Q108" s="24">
        <f t="shared" si="23"/>
        <v>0</v>
      </c>
      <c r="R108" s="713">
        <f t="shared" si="24"/>
        <v>0</v>
      </c>
      <c r="S108" s="361">
        <f t="shared" si="15"/>
        <v>0</v>
      </c>
    </row>
    <row r="109" spans="1:19">
      <c r="A109" s="715"/>
      <c r="B109" s="715"/>
      <c r="C109" s="24">
        <f t="shared" si="16"/>
        <v>1</v>
      </c>
      <c r="D109" s="717"/>
      <c r="E109" s="24">
        <f t="shared" si="17"/>
        <v>0.04</v>
      </c>
      <c r="F109" s="717"/>
      <c r="G109" s="24">
        <f t="shared" si="18"/>
        <v>0.1</v>
      </c>
      <c r="H109" s="717"/>
      <c r="I109" s="24">
        <f t="shared" si="19"/>
        <v>0.02</v>
      </c>
      <c r="J109" s="717"/>
      <c r="K109" s="24">
        <f t="shared" si="20"/>
        <v>1</v>
      </c>
      <c r="L109" s="717"/>
      <c r="M109" s="24">
        <f t="shared" si="21"/>
        <v>1</v>
      </c>
      <c r="N109" s="717"/>
      <c r="O109" s="24">
        <f t="shared" si="22"/>
        <v>1</v>
      </c>
      <c r="P109" s="717"/>
      <c r="Q109" s="24">
        <f t="shared" si="23"/>
        <v>0</v>
      </c>
      <c r="R109" s="713">
        <f t="shared" si="24"/>
        <v>0</v>
      </c>
      <c r="S109" s="361">
        <f t="shared" si="15"/>
        <v>0</v>
      </c>
    </row>
    <row r="110" spans="1:19">
      <c r="A110" s="715"/>
      <c r="B110" s="715"/>
      <c r="C110" s="24">
        <f t="shared" si="16"/>
        <v>1</v>
      </c>
      <c r="D110" s="717"/>
      <c r="E110" s="24">
        <f t="shared" si="17"/>
        <v>0.04</v>
      </c>
      <c r="F110" s="717"/>
      <c r="G110" s="24">
        <f t="shared" si="18"/>
        <v>0.1</v>
      </c>
      <c r="H110" s="717"/>
      <c r="I110" s="24">
        <f t="shared" si="19"/>
        <v>0.02</v>
      </c>
      <c r="J110" s="717"/>
      <c r="K110" s="24">
        <f t="shared" si="20"/>
        <v>1</v>
      </c>
      <c r="L110" s="717"/>
      <c r="M110" s="24">
        <f t="shared" si="21"/>
        <v>1</v>
      </c>
      <c r="N110" s="717"/>
      <c r="O110" s="24">
        <f t="shared" si="22"/>
        <v>1</v>
      </c>
      <c r="P110" s="717"/>
      <c r="Q110" s="24">
        <f t="shared" si="23"/>
        <v>0</v>
      </c>
      <c r="R110" s="713">
        <f t="shared" si="24"/>
        <v>0</v>
      </c>
      <c r="S110" s="361">
        <f t="shared" si="15"/>
        <v>0</v>
      </c>
    </row>
    <row r="111" spans="1:19">
      <c r="A111" s="715"/>
      <c r="B111" s="715"/>
      <c r="C111" s="24">
        <f t="shared" si="16"/>
        <v>1</v>
      </c>
      <c r="D111" s="717"/>
      <c r="E111" s="24">
        <f t="shared" si="17"/>
        <v>0.04</v>
      </c>
      <c r="F111" s="717"/>
      <c r="G111" s="24">
        <f t="shared" si="18"/>
        <v>0.1</v>
      </c>
      <c r="H111" s="717"/>
      <c r="I111" s="24">
        <f t="shared" si="19"/>
        <v>0.02</v>
      </c>
      <c r="J111" s="717"/>
      <c r="K111" s="24">
        <f t="shared" si="20"/>
        <v>1</v>
      </c>
      <c r="L111" s="717"/>
      <c r="M111" s="24">
        <f t="shared" si="21"/>
        <v>1</v>
      </c>
      <c r="N111" s="717"/>
      <c r="O111" s="24">
        <f t="shared" si="22"/>
        <v>1</v>
      </c>
      <c r="P111" s="717"/>
      <c r="Q111" s="24">
        <f t="shared" si="23"/>
        <v>0</v>
      </c>
      <c r="R111" s="713">
        <f t="shared" si="24"/>
        <v>0</v>
      </c>
      <c r="S111" s="361">
        <f t="shared" si="15"/>
        <v>0</v>
      </c>
    </row>
    <row r="112" spans="1:19">
      <c r="A112" s="715"/>
      <c r="B112" s="715"/>
      <c r="C112" s="24">
        <f t="shared" si="16"/>
        <v>1</v>
      </c>
      <c r="D112" s="717"/>
      <c r="E112" s="24">
        <f t="shared" si="17"/>
        <v>0.04</v>
      </c>
      <c r="F112" s="717"/>
      <c r="G112" s="24">
        <f t="shared" si="18"/>
        <v>0.1</v>
      </c>
      <c r="H112" s="717"/>
      <c r="I112" s="24">
        <f t="shared" si="19"/>
        <v>0.02</v>
      </c>
      <c r="J112" s="717"/>
      <c r="K112" s="24">
        <f t="shared" si="20"/>
        <v>1</v>
      </c>
      <c r="L112" s="717"/>
      <c r="M112" s="24">
        <f t="shared" si="21"/>
        <v>1</v>
      </c>
      <c r="N112" s="717"/>
      <c r="O112" s="24">
        <f t="shared" si="22"/>
        <v>1</v>
      </c>
      <c r="P112" s="717"/>
      <c r="Q112" s="24">
        <f t="shared" si="23"/>
        <v>0</v>
      </c>
      <c r="R112" s="713">
        <f t="shared" si="24"/>
        <v>0</v>
      </c>
      <c r="S112" s="361">
        <f t="shared" si="15"/>
        <v>0</v>
      </c>
    </row>
    <row r="113" spans="1:19">
      <c r="A113" s="715"/>
      <c r="B113" s="715"/>
      <c r="C113" s="24">
        <f t="shared" si="16"/>
        <v>1</v>
      </c>
      <c r="D113" s="717"/>
      <c r="E113" s="24">
        <f t="shared" si="17"/>
        <v>0.04</v>
      </c>
      <c r="F113" s="717"/>
      <c r="G113" s="24">
        <f t="shared" si="18"/>
        <v>0.1</v>
      </c>
      <c r="H113" s="717"/>
      <c r="I113" s="24">
        <f t="shared" si="19"/>
        <v>0.02</v>
      </c>
      <c r="J113" s="717"/>
      <c r="K113" s="24">
        <f t="shared" si="20"/>
        <v>1</v>
      </c>
      <c r="L113" s="717"/>
      <c r="M113" s="24">
        <f t="shared" si="21"/>
        <v>1</v>
      </c>
      <c r="N113" s="717"/>
      <c r="O113" s="24">
        <f t="shared" si="22"/>
        <v>1</v>
      </c>
      <c r="P113" s="717"/>
      <c r="Q113" s="24">
        <f t="shared" si="23"/>
        <v>0</v>
      </c>
      <c r="R113" s="713">
        <f t="shared" si="24"/>
        <v>0</v>
      </c>
      <c r="S113" s="361">
        <f t="shared" si="15"/>
        <v>0</v>
      </c>
    </row>
    <row r="114" spans="1:19">
      <c r="A114" s="715"/>
      <c r="B114" s="715"/>
      <c r="C114" s="24">
        <f t="shared" si="16"/>
        <v>1</v>
      </c>
      <c r="D114" s="717"/>
      <c r="E114" s="24">
        <f t="shared" si="17"/>
        <v>0.04</v>
      </c>
      <c r="F114" s="717"/>
      <c r="G114" s="24">
        <f t="shared" si="18"/>
        <v>0.1</v>
      </c>
      <c r="H114" s="717"/>
      <c r="I114" s="24">
        <f t="shared" si="19"/>
        <v>0.02</v>
      </c>
      <c r="J114" s="717"/>
      <c r="K114" s="24">
        <f t="shared" si="20"/>
        <v>1</v>
      </c>
      <c r="L114" s="717"/>
      <c r="M114" s="24">
        <f t="shared" si="21"/>
        <v>1</v>
      </c>
      <c r="N114" s="717"/>
      <c r="O114" s="24">
        <f t="shared" si="22"/>
        <v>1</v>
      </c>
      <c r="P114" s="717"/>
      <c r="Q114" s="24">
        <f t="shared" si="23"/>
        <v>0</v>
      </c>
      <c r="R114" s="713">
        <f t="shared" si="24"/>
        <v>0</v>
      </c>
      <c r="S114" s="361">
        <f t="shared" si="15"/>
        <v>0</v>
      </c>
    </row>
    <row r="115" spans="1:19">
      <c r="A115" s="715"/>
      <c r="B115" s="715"/>
      <c r="C115" s="24">
        <f t="shared" si="16"/>
        <v>1</v>
      </c>
      <c r="D115" s="717"/>
      <c r="E115" s="24">
        <f t="shared" si="17"/>
        <v>0.04</v>
      </c>
      <c r="F115" s="717"/>
      <c r="G115" s="24">
        <f t="shared" si="18"/>
        <v>0.1</v>
      </c>
      <c r="H115" s="717"/>
      <c r="I115" s="24">
        <f t="shared" si="19"/>
        <v>0.02</v>
      </c>
      <c r="J115" s="717"/>
      <c r="K115" s="24">
        <f t="shared" si="20"/>
        <v>1</v>
      </c>
      <c r="L115" s="717"/>
      <c r="M115" s="24">
        <f t="shared" si="21"/>
        <v>1</v>
      </c>
      <c r="N115" s="717"/>
      <c r="O115" s="24">
        <f t="shared" si="22"/>
        <v>1</v>
      </c>
      <c r="P115" s="717"/>
      <c r="Q115" s="24">
        <f t="shared" si="23"/>
        <v>0</v>
      </c>
      <c r="R115" s="713">
        <f t="shared" si="24"/>
        <v>0</v>
      </c>
      <c r="S115" s="361">
        <f t="shared" si="15"/>
        <v>0</v>
      </c>
    </row>
    <row r="116" spans="1:19">
      <c r="A116" s="715"/>
      <c r="B116" s="715"/>
      <c r="C116" s="24">
        <f t="shared" si="16"/>
        <v>1</v>
      </c>
      <c r="D116" s="717"/>
      <c r="E116" s="24">
        <f t="shared" si="17"/>
        <v>0.04</v>
      </c>
      <c r="F116" s="717"/>
      <c r="G116" s="24">
        <f t="shared" si="18"/>
        <v>0.1</v>
      </c>
      <c r="H116" s="717"/>
      <c r="I116" s="24">
        <f t="shared" si="19"/>
        <v>0.02</v>
      </c>
      <c r="J116" s="717"/>
      <c r="K116" s="24">
        <f t="shared" si="20"/>
        <v>1</v>
      </c>
      <c r="L116" s="717"/>
      <c r="M116" s="24">
        <f t="shared" si="21"/>
        <v>1</v>
      </c>
      <c r="N116" s="717"/>
      <c r="O116" s="24">
        <f t="shared" si="22"/>
        <v>1</v>
      </c>
      <c r="P116" s="717"/>
      <c r="Q116" s="24">
        <f t="shared" si="23"/>
        <v>0</v>
      </c>
      <c r="R116" s="713">
        <f t="shared" si="24"/>
        <v>0</v>
      </c>
      <c r="S116" s="361">
        <f t="shared" si="15"/>
        <v>0</v>
      </c>
    </row>
    <row r="117" spans="1:19">
      <c r="A117" s="715"/>
      <c r="B117" s="715"/>
      <c r="C117" s="24">
        <f t="shared" si="16"/>
        <v>1</v>
      </c>
      <c r="D117" s="717"/>
      <c r="E117" s="24">
        <f t="shared" si="17"/>
        <v>0.04</v>
      </c>
      <c r="F117" s="717"/>
      <c r="G117" s="24">
        <f t="shared" si="18"/>
        <v>0.1</v>
      </c>
      <c r="H117" s="717"/>
      <c r="I117" s="24">
        <f t="shared" si="19"/>
        <v>0.02</v>
      </c>
      <c r="J117" s="717"/>
      <c r="K117" s="24">
        <f t="shared" si="20"/>
        <v>1</v>
      </c>
      <c r="L117" s="717"/>
      <c r="M117" s="24">
        <f t="shared" si="21"/>
        <v>1</v>
      </c>
      <c r="N117" s="717"/>
      <c r="O117" s="24">
        <f t="shared" si="22"/>
        <v>1</v>
      </c>
      <c r="P117" s="717"/>
      <c r="Q117" s="24">
        <f t="shared" si="23"/>
        <v>0</v>
      </c>
      <c r="R117" s="713">
        <f t="shared" si="24"/>
        <v>0</v>
      </c>
      <c r="S117" s="361">
        <f t="shared" si="15"/>
        <v>0</v>
      </c>
    </row>
    <row r="118" spans="1:19">
      <c r="A118" s="715"/>
      <c r="B118" s="715"/>
      <c r="C118" s="24">
        <f t="shared" si="16"/>
        <v>1</v>
      </c>
      <c r="D118" s="717"/>
      <c r="E118" s="24">
        <f t="shared" si="17"/>
        <v>0.04</v>
      </c>
      <c r="F118" s="717"/>
      <c r="G118" s="24">
        <f t="shared" si="18"/>
        <v>0.1</v>
      </c>
      <c r="H118" s="717"/>
      <c r="I118" s="24">
        <f t="shared" si="19"/>
        <v>0.02</v>
      </c>
      <c r="J118" s="717"/>
      <c r="K118" s="24">
        <f t="shared" si="20"/>
        <v>1</v>
      </c>
      <c r="L118" s="717"/>
      <c r="M118" s="24">
        <f t="shared" si="21"/>
        <v>1</v>
      </c>
      <c r="N118" s="717"/>
      <c r="O118" s="24">
        <f t="shared" si="22"/>
        <v>1</v>
      </c>
      <c r="P118" s="717"/>
      <c r="Q118" s="24">
        <f t="shared" si="23"/>
        <v>0</v>
      </c>
      <c r="R118" s="713">
        <f t="shared" si="24"/>
        <v>0</v>
      </c>
      <c r="S118" s="361">
        <f t="shared" si="15"/>
        <v>0</v>
      </c>
    </row>
    <row r="119" spans="1:19">
      <c r="A119" s="715"/>
      <c r="B119" s="715"/>
      <c r="C119" s="24">
        <f t="shared" si="16"/>
        <v>1</v>
      </c>
      <c r="D119" s="717"/>
      <c r="E119" s="24">
        <f t="shared" si="17"/>
        <v>0.04</v>
      </c>
      <c r="F119" s="717"/>
      <c r="G119" s="24">
        <f t="shared" si="18"/>
        <v>0.1</v>
      </c>
      <c r="H119" s="717"/>
      <c r="I119" s="24">
        <f t="shared" si="19"/>
        <v>0.02</v>
      </c>
      <c r="J119" s="717"/>
      <c r="K119" s="24">
        <f t="shared" si="20"/>
        <v>1</v>
      </c>
      <c r="L119" s="717"/>
      <c r="M119" s="24">
        <f t="shared" si="21"/>
        <v>1</v>
      </c>
      <c r="N119" s="717"/>
      <c r="O119" s="24">
        <f t="shared" si="22"/>
        <v>1</v>
      </c>
      <c r="P119" s="717"/>
      <c r="Q119" s="24">
        <f t="shared" si="23"/>
        <v>0</v>
      </c>
      <c r="R119" s="713">
        <f t="shared" si="24"/>
        <v>0</v>
      </c>
      <c r="S119" s="361">
        <f t="shared" si="15"/>
        <v>0</v>
      </c>
    </row>
    <row r="120" spans="1:19">
      <c r="A120" s="715"/>
      <c r="B120" s="715"/>
      <c r="C120" s="24">
        <f t="shared" si="16"/>
        <v>1</v>
      </c>
      <c r="D120" s="717"/>
      <c r="E120" s="24">
        <f t="shared" si="17"/>
        <v>0.04</v>
      </c>
      <c r="F120" s="717"/>
      <c r="G120" s="24">
        <f t="shared" si="18"/>
        <v>0.1</v>
      </c>
      <c r="H120" s="717"/>
      <c r="I120" s="24">
        <f t="shared" si="19"/>
        <v>0.02</v>
      </c>
      <c r="J120" s="717"/>
      <c r="K120" s="24">
        <f t="shared" si="20"/>
        <v>1</v>
      </c>
      <c r="L120" s="717"/>
      <c r="M120" s="24">
        <f t="shared" si="21"/>
        <v>1</v>
      </c>
      <c r="N120" s="717"/>
      <c r="O120" s="24">
        <f t="shared" si="22"/>
        <v>1</v>
      </c>
      <c r="P120" s="717"/>
      <c r="Q120" s="24">
        <f t="shared" si="23"/>
        <v>0</v>
      </c>
      <c r="R120" s="713">
        <f t="shared" si="24"/>
        <v>0</v>
      </c>
      <c r="S120" s="361">
        <f t="shared" si="15"/>
        <v>0</v>
      </c>
    </row>
    <row r="121" spans="1:19">
      <c r="A121" s="715"/>
      <c r="B121" s="715"/>
      <c r="C121" s="24">
        <f t="shared" si="16"/>
        <v>1</v>
      </c>
      <c r="D121" s="717"/>
      <c r="E121" s="24">
        <f t="shared" si="17"/>
        <v>0.04</v>
      </c>
      <c r="F121" s="717"/>
      <c r="G121" s="24">
        <f t="shared" si="18"/>
        <v>0.1</v>
      </c>
      <c r="H121" s="717"/>
      <c r="I121" s="24">
        <f t="shared" si="19"/>
        <v>0.02</v>
      </c>
      <c r="J121" s="717"/>
      <c r="K121" s="24">
        <f t="shared" si="20"/>
        <v>1</v>
      </c>
      <c r="L121" s="717"/>
      <c r="M121" s="24">
        <f t="shared" si="21"/>
        <v>1</v>
      </c>
      <c r="N121" s="717"/>
      <c r="O121" s="24">
        <f t="shared" si="22"/>
        <v>1</v>
      </c>
      <c r="P121" s="717"/>
      <c r="Q121" s="24">
        <f t="shared" si="23"/>
        <v>0</v>
      </c>
      <c r="R121" s="713">
        <f t="shared" si="24"/>
        <v>0</v>
      </c>
      <c r="S121" s="361">
        <f t="shared" si="15"/>
        <v>0</v>
      </c>
    </row>
    <row r="122" spans="1:19">
      <c r="A122" s="715"/>
      <c r="B122" s="715"/>
      <c r="C122" s="24">
        <f t="shared" si="16"/>
        <v>1</v>
      </c>
      <c r="D122" s="717"/>
      <c r="E122" s="24">
        <f t="shared" si="17"/>
        <v>0.04</v>
      </c>
      <c r="F122" s="717"/>
      <c r="G122" s="24">
        <f t="shared" si="18"/>
        <v>0.1</v>
      </c>
      <c r="H122" s="717"/>
      <c r="I122" s="24">
        <f t="shared" si="19"/>
        <v>0.02</v>
      </c>
      <c r="J122" s="717"/>
      <c r="K122" s="24">
        <f t="shared" si="20"/>
        <v>1</v>
      </c>
      <c r="L122" s="717"/>
      <c r="M122" s="24">
        <f t="shared" si="21"/>
        <v>1</v>
      </c>
      <c r="N122" s="717"/>
      <c r="O122" s="24">
        <f t="shared" si="22"/>
        <v>1</v>
      </c>
      <c r="P122" s="717"/>
      <c r="Q122" s="24">
        <f t="shared" si="23"/>
        <v>0</v>
      </c>
      <c r="R122" s="713">
        <f t="shared" si="24"/>
        <v>0</v>
      </c>
      <c r="S122" s="361">
        <f t="shared" si="15"/>
        <v>0</v>
      </c>
    </row>
    <row r="123" spans="1:19">
      <c r="A123" s="715"/>
      <c r="B123" s="715"/>
      <c r="C123" s="24">
        <f t="shared" si="16"/>
        <v>1</v>
      </c>
      <c r="D123" s="717"/>
      <c r="E123" s="24">
        <f t="shared" si="17"/>
        <v>0.04</v>
      </c>
      <c r="F123" s="717"/>
      <c r="G123" s="24">
        <f t="shared" si="18"/>
        <v>0.1</v>
      </c>
      <c r="H123" s="717"/>
      <c r="I123" s="24">
        <f t="shared" si="19"/>
        <v>0.02</v>
      </c>
      <c r="J123" s="717"/>
      <c r="K123" s="24">
        <f t="shared" si="20"/>
        <v>1</v>
      </c>
      <c r="L123" s="717"/>
      <c r="M123" s="24">
        <f t="shared" si="21"/>
        <v>1</v>
      </c>
      <c r="N123" s="717"/>
      <c r="O123" s="24">
        <f t="shared" si="22"/>
        <v>1</v>
      </c>
      <c r="P123" s="717"/>
      <c r="Q123" s="24">
        <f t="shared" si="23"/>
        <v>0</v>
      </c>
      <c r="R123" s="713">
        <f t="shared" si="24"/>
        <v>0</v>
      </c>
      <c r="S123" s="361">
        <f t="shared" si="15"/>
        <v>0</v>
      </c>
    </row>
    <row r="124" spans="1:19">
      <c r="A124" s="715"/>
      <c r="B124" s="715"/>
      <c r="C124" s="24">
        <f t="shared" si="16"/>
        <v>1</v>
      </c>
      <c r="D124" s="717"/>
      <c r="E124" s="24">
        <f t="shared" si="17"/>
        <v>0.04</v>
      </c>
      <c r="F124" s="717"/>
      <c r="G124" s="24">
        <f t="shared" si="18"/>
        <v>0.1</v>
      </c>
      <c r="H124" s="717"/>
      <c r="I124" s="24">
        <f t="shared" si="19"/>
        <v>0.02</v>
      </c>
      <c r="J124" s="717"/>
      <c r="K124" s="24">
        <f t="shared" si="20"/>
        <v>1</v>
      </c>
      <c r="L124" s="717"/>
      <c r="M124" s="24">
        <f t="shared" si="21"/>
        <v>1</v>
      </c>
      <c r="N124" s="717"/>
      <c r="O124" s="24">
        <f t="shared" si="22"/>
        <v>1</v>
      </c>
      <c r="P124" s="717"/>
      <c r="Q124" s="24">
        <f t="shared" si="23"/>
        <v>0</v>
      </c>
      <c r="R124" s="713">
        <f t="shared" si="24"/>
        <v>0</v>
      </c>
      <c r="S124" s="361">
        <f t="shared" si="15"/>
        <v>0</v>
      </c>
    </row>
    <row r="125" spans="1:19">
      <c r="A125" s="715"/>
      <c r="B125" s="715"/>
      <c r="C125" s="24">
        <f t="shared" si="16"/>
        <v>1</v>
      </c>
      <c r="D125" s="717"/>
      <c r="E125" s="24">
        <f t="shared" si="17"/>
        <v>0.04</v>
      </c>
      <c r="F125" s="717"/>
      <c r="G125" s="24">
        <f t="shared" si="18"/>
        <v>0.1</v>
      </c>
      <c r="H125" s="717"/>
      <c r="I125" s="24">
        <f t="shared" si="19"/>
        <v>0.02</v>
      </c>
      <c r="J125" s="717"/>
      <c r="K125" s="24">
        <f t="shared" si="20"/>
        <v>1</v>
      </c>
      <c r="L125" s="717"/>
      <c r="M125" s="24">
        <f t="shared" si="21"/>
        <v>1</v>
      </c>
      <c r="N125" s="717"/>
      <c r="O125" s="24">
        <f t="shared" si="22"/>
        <v>1</v>
      </c>
      <c r="P125" s="717"/>
      <c r="Q125" s="24">
        <f t="shared" si="23"/>
        <v>0</v>
      </c>
      <c r="R125" s="713">
        <f t="shared" si="24"/>
        <v>0</v>
      </c>
      <c r="S125" s="361">
        <f t="shared" si="15"/>
        <v>0</v>
      </c>
    </row>
    <row r="126" spans="1:19">
      <c r="A126" s="715"/>
      <c r="B126" s="715"/>
      <c r="C126" s="24">
        <f t="shared" si="16"/>
        <v>1</v>
      </c>
      <c r="D126" s="717"/>
      <c r="E126" s="24">
        <f t="shared" si="17"/>
        <v>0.04</v>
      </c>
      <c r="F126" s="717"/>
      <c r="G126" s="24">
        <f t="shared" si="18"/>
        <v>0.1</v>
      </c>
      <c r="H126" s="717"/>
      <c r="I126" s="24">
        <f t="shared" si="19"/>
        <v>0.02</v>
      </c>
      <c r="J126" s="717"/>
      <c r="K126" s="24">
        <f t="shared" si="20"/>
        <v>1</v>
      </c>
      <c r="L126" s="717"/>
      <c r="M126" s="24">
        <f t="shared" si="21"/>
        <v>1</v>
      </c>
      <c r="N126" s="717"/>
      <c r="O126" s="24">
        <f t="shared" si="22"/>
        <v>1</v>
      </c>
      <c r="P126" s="717"/>
      <c r="Q126" s="24">
        <f t="shared" si="23"/>
        <v>0</v>
      </c>
      <c r="R126" s="713">
        <f t="shared" si="24"/>
        <v>0</v>
      </c>
      <c r="S126" s="361">
        <f t="shared" si="15"/>
        <v>0</v>
      </c>
    </row>
    <row r="127" spans="1:19">
      <c r="A127" s="715"/>
      <c r="B127" s="715"/>
      <c r="C127" s="24">
        <f t="shared" si="16"/>
        <v>1</v>
      </c>
      <c r="D127" s="717"/>
      <c r="E127" s="24">
        <f t="shared" si="17"/>
        <v>0.04</v>
      </c>
      <c r="F127" s="717"/>
      <c r="G127" s="24">
        <f t="shared" si="18"/>
        <v>0.1</v>
      </c>
      <c r="H127" s="717"/>
      <c r="I127" s="24">
        <f t="shared" si="19"/>
        <v>0.02</v>
      </c>
      <c r="J127" s="717"/>
      <c r="K127" s="24">
        <f t="shared" si="20"/>
        <v>1</v>
      </c>
      <c r="L127" s="717"/>
      <c r="M127" s="24">
        <f t="shared" si="21"/>
        <v>1</v>
      </c>
      <c r="N127" s="717"/>
      <c r="O127" s="24">
        <f t="shared" si="22"/>
        <v>1</v>
      </c>
      <c r="P127" s="717"/>
      <c r="Q127" s="24">
        <f t="shared" si="23"/>
        <v>0</v>
      </c>
      <c r="R127" s="713">
        <f t="shared" si="24"/>
        <v>0</v>
      </c>
      <c r="S127" s="361">
        <f t="shared" si="15"/>
        <v>0</v>
      </c>
    </row>
    <row r="128" spans="1:19">
      <c r="A128" s="715"/>
      <c r="B128" s="715"/>
      <c r="C128" s="24">
        <f t="shared" si="16"/>
        <v>1</v>
      </c>
      <c r="D128" s="717"/>
      <c r="E128" s="24">
        <f t="shared" si="17"/>
        <v>0.04</v>
      </c>
      <c r="F128" s="717"/>
      <c r="G128" s="24">
        <f t="shared" si="18"/>
        <v>0.1</v>
      </c>
      <c r="H128" s="717"/>
      <c r="I128" s="24">
        <f t="shared" si="19"/>
        <v>0.02</v>
      </c>
      <c r="J128" s="717"/>
      <c r="K128" s="24">
        <f t="shared" si="20"/>
        <v>1</v>
      </c>
      <c r="L128" s="717"/>
      <c r="M128" s="24">
        <f t="shared" si="21"/>
        <v>1</v>
      </c>
      <c r="N128" s="717"/>
      <c r="O128" s="24">
        <f t="shared" si="22"/>
        <v>1</v>
      </c>
      <c r="P128" s="717"/>
      <c r="Q128" s="24">
        <f t="shared" si="23"/>
        <v>0</v>
      </c>
      <c r="R128" s="713">
        <f t="shared" si="24"/>
        <v>0</v>
      </c>
      <c r="S128" s="361">
        <f t="shared" si="15"/>
        <v>0</v>
      </c>
    </row>
    <row r="129" spans="1:19">
      <c r="A129" s="715"/>
      <c r="B129" s="715"/>
      <c r="C129" s="24">
        <f t="shared" si="16"/>
        <v>1</v>
      </c>
      <c r="D129" s="717"/>
      <c r="E129" s="24">
        <f t="shared" si="17"/>
        <v>0.04</v>
      </c>
      <c r="F129" s="717"/>
      <c r="G129" s="24">
        <f t="shared" si="18"/>
        <v>0.1</v>
      </c>
      <c r="H129" s="717"/>
      <c r="I129" s="24">
        <f t="shared" si="19"/>
        <v>0.02</v>
      </c>
      <c r="J129" s="717"/>
      <c r="K129" s="24">
        <f t="shared" si="20"/>
        <v>1</v>
      </c>
      <c r="L129" s="717"/>
      <c r="M129" s="24">
        <f t="shared" si="21"/>
        <v>1</v>
      </c>
      <c r="N129" s="717"/>
      <c r="O129" s="24">
        <f t="shared" si="22"/>
        <v>1</v>
      </c>
      <c r="P129" s="717"/>
      <c r="Q129" s="24">
        <f t="shared" si="23"/>
        <v>0</v>
      </c>
      <c r="R129" s="713">
        <f t="shared" si="24"/>
        <v>0</v>
      </c>
      <c r="S129" s="361">
        <f t="shared" si="15"/>
        <v>0</v>
      </c>
    </row>
    <row r="130" spans="1:19">
      <c r="A130" s="715"/>
      <c r="B130" s="715"/>
      <c r="C130" s="24">
        <f t="shared" si="16"/>
        <v>1</v>
      </c>
      <c r="D130" s="717"/>
      <c r="E130" s="24">
        <f t="shared" si="17"/>
        <v>0.04</v>
      </c>
      <c r="F130" s="717"/>
      <c r="G130" s="24">
        <f t="shared" si="18"/>
        <v>0.1</v>
      </c>
      <c r="H130" s="717"/>
      <c r="I130" s="24">
        <f t="shared" si="19"/>
        <v>0.02</v>
      </c>
      <c r="J130" s="717"/>
      <c r="K130" s="24">
        <f t="shared" si="20"/>
        <v>1</v>
      </c>
      <c r="L130" s="717"/>
      <c r="M130" s="24">
        <f t="shared" si="21"/>
        <v>1</v>
      </c>
      <c r="N130" s="717"/>
      <c r="O130" s="24">
        <f t="shared" si="22"/>
        <v>1</v>
      </c>
      <c r="P130" s="717"/>
      <c r="Q130" s="24">
        <f t="shared" si="23"/>
        <v>0</v>
      </c>
      <c r="R130" s="713">
        <f t="shared" si="24"/>
        <v>0</v>
      </c>
      <c r="S130" s="361">
        <f t="shared" si="15"/>
        <v>0</v>
      </c>
    </row>
    <row r="131" spans="1:19">
      <c r="A131" s="715"/>
      <c r="B131" s="715"/>
      <c r="C131" s="24">
        <f t="shared" si="16"/>
        <v>1</v>
      </c>
      <c r="D131" s="717"/>
      <c r="E131" s="24">
        <f t="shared" si="17"/>
        <v>0.04</v>
      </c>
      <c r="F131" s="717"/>
      <c r="G131" s="24">
        <f t="shared" si="18"/>
        <v>0.1</v>
      </c>
      <c r="H131" s="717"/>
      <c r="I131" s="24">
        <f t="shared" si="19"/>
        <v>0.02</v>
      </c>
      <c r="J131" s="717"/>
      <c r="K131" s="24">
        <f t="shared" si="20"/>
        <v>1</v>
      </c>
      <c r="L131" s="717"/>
      <c r="M131" s="24">
        <f t="shared" si="21"/>
        <v>1</v>
      </c>
      <c r="N131" s="717"/>
      <c r="O131" s="24">
        <f t="shared" si="22"/>
        <v>1</v>
      </c>
      <c r="P131" s="717"/>
      <c r="Q131" s="24">
        <f t="shared" si="23"/>
        <v>0</v>
      </c>
      <c r="R131" s="713">
        <f t="shared" si="24"/>
        <v>0</v>
      </c>
      <c r="S131" s="361">
        <f t="shared" si="15"/>
        <v>0</v>
      </c>
    </row>
    <row r="132" spans="1:19">
      <c r="A132" s="715"/>
      <c r="B132" s="715"/>
      <c r="C132" s="24">
        <f t="shared" si="16"/>
        <v>1</v>
      </c>
      <c r="D132" s="717"/>
      <c r="E132" s="24">
        <f t="shared" si="17"/>
        <v>0.04</v>
      </c>
      <c r="F132" s="717"/>
      <c r="G132" s="24">
        <f t="shared" si="18"/>
        <v>0.1</v>
      </c>
      <c r="H132" s="717"/>
      <c r="I132" s="24">
        <f t="shared" si="19"/>
        <v>0.02</v>
      </c>
      <c r="J132" s="717"/>
      <c r="K132" s="24">
        <f t="shared" si="20"/>
        <v>1</v>
      </c>
      <c r="L132" s="717"/>
      <c r="M132" s="24">
        <f t="shared" si="21"/>
        <v>1</v>
      </c>
      <c r="N132" s="717"/>
      <c r="O132" s="24">
        <f t="shared" si="22"/>
        <v>1</v>
      </c>
      <c r="P132" s="717"/>
      <c r="Q132" s="24">
        <f t="shared" si="23"/>
        <v>0</v>
      </c>
      <c r="R132" s="713">
        <f t="shared" si="24"/>
        <v>0</v>
      </c>
      <c r="S132" s="361">
        <f t="shared" si="15"/>
        <v>0</v>
      </c>
    </row>
    <row r="133" spans="1:19">
      <c r="A133" s="715"/>
      <c r="B133" s="715"/>
      <c r="C133" s="24">
        <f t="shared" si="16"/>
        <v>1</v>
      </c>
      <c r="D133" s="717"/>
      <c r="E133" s="24">
        <f t="shared" si="17"/>
        <v>0.04</v>
      </c>
      <c r="F133" s="717"/>
      <c r="G133" s="24">
        <f t="shared" si="18"/>
        <v>0.1</v>
      </c>
      <c r="H133" s="717"/>
      <c r="I133" s="24">
        <f t="shared" si="19"/>
        <v>0.02</v>
      </c>
      <c r="J133" s="717"/>
      <c r="K133" s="24">
        <f t="shared" si="20"/>
        <v>1</v>
      </c>
      <c r="L133" s="717"/>
      <c r="M133" s="24">
        <f t="shared" si="21"/>
        <v>1</v>
      </c>
      <c r="N133" s="717"/>
      <c r="O133" s="24">
        <f t="shared" si="22"/>
        <v>1</v>
      </c>
      <c r="P133" s="717"/>
      <c r="Q133" s="24">
        <f t="shared" si="23"/>
        <v>0</v>
      </c>
      <c r="R133" s="713">
        <f t="shared" si="24"/>
        <v>0</v>
      </c>
      <c r="S133" s="361">
        <f t="shared" si="15"/>
        <v>0</v>
      </c>
    </row>
    <row r="134" spans="1:19">
      <c r="A134" s="715"/>
      <c r="B134" s="715"/>
      <c r="C134" s="24">
        <f t="shared" si="16"/>
        <v>1</v>
      </c>
      <c r="D134" s="717"/>
      <c r="E134" s="24">
        <f t="shared" si="17"/>
        <v>0.04</v>
      </c>
      <c r="F134" s="717"/>
      <c r="G134" s="24">
        <f t="shared" si="18"/>
        <v>0.1</v>
      </c>
      <c r="H134" s="717"/>
      <c r="I134" s="24">
        <f t="shared" si="19"/>
        <v>0.02</v>
      </c>
      <c r="J134" s="717"/>
      <c r="K134" s="24">
        <f t="shared" si="20"/>
        <v>1</v>
      </c>
      <c r="L134" s="717"/>
      <c r="M134" s="24">
        <f t="shared" si="21"/>
        <v>1</v>
      </c>
      <c r="N134" s="717"/>
      <c r="O134" s="24">
        <f t="shared" si="22"/>
        <v>1</v>
      </c>
      <c r="P134" s="717"/>
      <c r="Q134" s="24">
        <f t="shared" si="23"/>
        <v>0</v>
      </c>
      <c r="R134" s="713">
        <f t="shared" si="24"/>
        <v>0</v>
      </c>
      <c r="S134" s="361">
        <f t="shared" si="15"/>
        <v>0</v>
      </c>
    </row>
    <row r="135" spans="1:19">
      <c r="A135" s="715"/>
      <c r="B135" s="715"/>
      <c r="C135" s="24">
        <f t="shared" si="16"/>
        <v>1</v>
      </c>
      <c r="D135" s="717"/>
      <c r="E135" s="24">
        <f t="shared" si="17"/>
        <v>0.04</v>
      </c>
      <c r="F135" s="717"/>
      <c r="G135" s="24">
        <f t="shared" si="18"/>
        <v>0.1</v>
      </c>
      <c r="H135" s="717"/>
      <c r="I135" s="24">
        <f t="shared" si="19"/>
        <v>0.02</v>
      </c>
      <c r="J135" s="717"/>
      <c r="K135" s="24">
        <f t="shared" si="20"/>
        <v>1</v>
      </c>
      <c r="L135" s="717"/>
      <c r="M135" s="24">
        <f t="shared" si="21"/>
        <v>1</v>
      </c>
      <c r="N135" s="717"/>
      <c r="O135" s="24">
        <f t="shared" si="22"/>
        <v>1</v>
      </c>
      <c r="P135" s="717"/>
      <c r="Q135" s="24">
        <f t="shared" si="23"/>
        <v>0</v>
      </c>
      <c r="R135" s="713">
        <f t="shared" si="24"/>
        <v>0</v>
      </c>
      <c r="S135" s="361">
        <f t="shared" si="15"/>
        <v>0</v>
      </c>
    </row>
    <row r="136" spans="1:19">
      <c r="A136" s="715"/>
      <c r="B136" s="715"/>
      <c r="C136" s="24">
        <f t="shared" si="16"/>
        <v>1</v>
      </c>
      <c r="D136" s="717"/>
      <c r="E136" s="24">
        <f t="shared" si="17"/>
        <v>0.04</v>
      </c>
      <c r="F136" s="717"/>
      <c r="G136" s="24">
        <f t="shared" si="18"/>
        <v>0.1</v>
      </c>
      <c r="H136" s="717"/>
      <c r="I136" s="24">
        <f t="shared" si="19"/>
        <v>0.02</v>
      </c>
      <c r="J136" s="717"/>
      <c r="K136" s="24">
        <f t="shared" si="20"/>
        <v>1</v>
      </c>
      <c r="L136" s="717"/>
      <c r="M136" s="24">
        <f t="shared" si="21"/>
        <v>1</v>
      </c>
      <c r="N136" s="717"/>
      <c r="O136" s="24">
        <f t="shared" si="22"/>
        <v>1</v>
      </c>
      <c r="P136" s="717"/>
      <c r="Q136" s="24">
        <f t="shared" si="23"/>
        <v>0</v>
      </c>
      <c r="R136" s="713">
        <f t="shared" si="24"/>
        <v>0</v>
      </c>
      <c r="S136" s="361">
        <f t="shared" si="15"/>
        <v>0</v>
      </c>
    </row>
    <row r="137" spans="1:19">
      <c r="A137" s="715"/>
      <c r="B137" s="715"/>
      <c r="C137" s="24">
        <f t="shared" si="16"/>
        <v>1</v>
      </c>
      <c r="D137" s="717"/>
      <c r="E137" s="24">
        <f t="shared" si="17"/>
        <v>0.04</v>
      </c>
      <c r="F137" s="717"/>
      <c r="G137" s="24">
        <f t="shared" si="18"/>
        <v>0.1</v>
      </c>
      <c r="H137" s="717"/>
      <c r="I137" s="24">
        <f t="shared" si="19"/>
        <v>0.02</v>
      </c>
      <c r="J137" s="717"/>
      <c r="K137" s="24">
        <f t="shared" si="20"/>
        <v>1</v>
      </c>
      <c r="L137" s="717"/>
      <c r="M137" s="24">
        <f t="shared" si="21"/>
        <v>1</v>
      </c>
      <c r="N137" s="717"/>
      <c r="O137" s="24">
        <f t="shared" si="22"/>
        <v>1</v>
      </c>
      <c r="P137" s="717"/>
      <c r="Q137" s="24">
        <f t="shared" si="23"/>
        <v>0</v>
      </c>
      <c r="R137" s="713">
        <f t="shared" si="24"/>
        <v>0</v>
      </c>
      <c r="S137" s="361">
        <f t="shared" si="15"/>
        <v>0</v>
      </c>
    </row>
    <row r="138" spans="1:19">
      <c r="A138" s="715"/>
      <c r="B138" s="715"/>
      <c r="C138" s="24">
        <f t="shared" si="16"/>
        <v>1</v>
      </c>
      <c r="D138" s="717"/>
      <c r="E138" s="24">
        <f t="shared" si="17"/>
        <v>0.04</v>
      </c>
      <c r="F138" s="717"/>
      <c r="G138" s="24">
        <f t="shared" si="18"/>
        <v>0.1</v>
      </c>
      <c r="H138" s="717"/>
      <c r="I138" s="24">
        <f t="shared" si="19"/>
        <v>0.02</v>
      </c>
      <c r="J138" s="717"/>
      <c r="K138" s="24">
        <f t="shared" si="20"/>
        <v>1</v>
      </c>
      <c r="L138" s="717"/>
      <c r="M138" s="24">
        <f t="shared" si="21"/>
        <v>1</v>
      </c>
      <c r="N138" s="717"/>
      <c r="O138" s="24">
        <f t="shared" si="22"/>
        <v>1</v>
      </c>
      <c r="P138" s="717"/>
      <c r="Q138" s="24">
        <f t="shared" si="23"/>
        <v>0</v>
      </c>
      <c r="R138" s="713">
        <f t="shared" si="24"/>
        <v>0</v>
      </c>
      <c r="S138" s="361">
        <f t="shared" si="15"/>
        <v>0</v>
      </c>
    </row>
    <row r="139" spans="1:19">
      <c r="A139" s="715"/>
      <c r="B139" s="715"/>
      <c r="C139" s="24">
        <f t="shared" si="16"/>
        <v>1</v>
      </c>
      <c r="D139" s="717"/>
      <c r="E139" s="24">
        <f t="shared" si="17"/>
        <v>0.04</v>
      </c>
      <c r="F139" s="717"/>
      <c r="G139" s="24">
        <f t="shared" si="18"/>
        <v>0.1</v>
      </c>
      <c r="H139" s="717"/>
      <c r="I139" s="24">
        <f t="shared" si="19"/>
        <v>0.02</v>
      </c>
      <c r="J139" s="717"/>
      <c r="K139" s="24">
        <f t="shared" si="20"/>
        <v>1</v>
      </c>
      <c r="L139" s="717"/>
      <c r="M139" s="24">
        <f t="shared" si="21"/>
        <v>1</v>
      </c>
      <c r="N139" s="717"/>
      <c r="O139" s="24">
        <f t="shared" si="22"/>
        <v>1</v>
      </c>
      <c r="P139" s="717"/>
      <c r="Q139" s="24">
        <f t="shared" si="23"/>
        <v>0</v>
      </c>
      <c r="R139" s="713">
        <f t="shared" si="24"/>
        <v>0</v>
      </c>
      <c r="S139" s="361">
        <f t="shared" si="15"/>
        <v>0</v>
      </c>
    </row>
    <row r="140" spans="1:19">
      <c r="A140" s="715"/>
      <c r="B140" s="715"/>
      <c r="C140" s="24">
        <f t="shared" si="16"/>
        <v>1</v>
      </c>
      <c r="D140" s="717"/>
      <c r="E140" s="24">
        <f t="shared" si="17"/>
        <v>0.04</v>
      </c>
      <c r="F140" s="717"/>
      <c r="G140" s="24">
        <f t="shared" si="18"/>
        <v>0.1</v>
      </c>
      <c r="H140" s="717"/>
      <c r="I140" s="24">
        <f t="shared" si="19"/>
        <v>0.02</v>
      </c>
      <c r="J140" s="717"/>
      <c r="K140" s="24">
        <f t="shared" si="20"/>
        <v>1</v>
      </c>
      <c r="L140" s="717"/>
      <c r="M140" s="24">
        <f t="shared" si="21"/>
        <v>1</v>
      </c>
      <c r="N140" s="717"/>
      <c r="O140" s="24">
        <f t="shared" si="22"/>
        <v>1</v>
      </c>
      <c r="P140" s="717"/>
      <c r="Q140" s="24">
        <f t="shared" si="23"/>
        <v>0</v>
      </c>
      <c r="R140" s="713">
        <f t="shared" si="24"/>
        <v>0</v>
      </c>
      <c r="S140" s="361">
        <f t="shared" si="15"/>
        <v>0</v>
      </c>
    </row>
    <row r="141" spans="1:19">
      <c r="A141" s="715"/>
      <c r="B141" s="715"/>
      <c r="C141" s="24">
        <f t="shared" si="16"/>
        <v>1</v>
      </c>
      <c r="D141" s="717"/>
      <c r="E141" s="24">
        <f t="shared" si="17"/>
        <v>0.04</v>
      </c>
      <c r="F141" s="717"/>
      <c r="G141" s="24">
        <f t="shared" si="18"/>
        <v>0.1</v>
      </c>
      <c r="H141" s="717"/>
      <c r="I141" s="24">
        <f t="shared" si="19"/>
        <v>0.02</v>
      </c>
      <c r="J141" s="717"/>
      <c r="K141" s="24">
        <f t="shared" si="20"/>
        <v>1</v>
      </c>
      <c r="L141" s="717"/>
      <c r="M141" s="24">
        <f t="shared" si="21"/>
        <v>1</v>
      </c>
      <c r="N141" s="717"/>
      <c r="O141" s="24">
        <f t="shared" si="22"/>
        <v>1</v>
      </c>
      <c r="P141" s="717"/>
      <c r="Q141" s="24">
        <f t="shared" si="23"/>
        <v>0</v>
      </c>
      <c r="R141" s="713">
        <f t="shared" si="24"/>
        <v>0</v>
      </c>
      <c r="S141" s="361">
        <f t="shared" si="15"/>
        <v>0</v>
      </c>
    </row>
    <row r="142" spans="1:19">
      <c r="A142" s="715"/>
      <c r="B142" s="715"/>
      <c r="C142" s="24">
        <f t="shared" si="16"/>
        <v>1</v>
      </c>
      <c r="D142" s="717"/>
      <c r="E142" s="24">
        <f t="shared" si="17"/>
        <v>0.04</v>
      </c>
      <c r="F142" s="717"/>
      <c r="G142" s="24">
        <f t="shared" si="18"/>
        <v>0.1</v>
      </c>
      <c r="H142" s="717"/>
      <c r="I142" s="24">
        <f t="shared" si="19"/>
        <v>0.02</v>
      </c>
      <c r="J142" s="717"/>
      <c r="K142" s="24">
        <f t="shared" si="20"/>
        <v>1</v>
      </c>
      <c r="L142" s="717"/>
      <c r="M142" s="24">
        <f t="shared" si="21"/>
        <v>1</v>
      </c>
      <c r="N142" s="717"/>
      <c r="O142" s="24">
        <f t="shared" si="22"/>
        <v>1</v>
      </c>
      <c r="P142" s="717"/>
      <c r="Q142" s="24">
        <f t="shared" si="23"/>
        <v>0</v>
      </c>
      <c r="R142" s="713">
        <f t="shared" si="24"/>
        <v>0</v>
      </c>
      <c r="S142" s="361">
        <f t="shared" si="15"/>
        <v>0</v>
      </c>
    </row>
    <row r="143" spans="1:19">
      <c r="A143" s="715"/>
      <c r="B143" s="715"/>
      <c r="C143" s="24">
        <f t="shared" si="16"/>
        <v>1</v>
      </c>
      <c r="D143" s="717"/>
      <c r="E143" s="24">
        <f t="shared" si="17"/>
        <v>0.04</v>
      </c>
      <c r="F143" s="717"/>
      <c r="G143" s="24">
        <f t="shared" si="18"/>
        <v>0.1</v>
      </c>
      <c r="H143" s="717"/>
      <c r="I143" s="24">
        <f t="shared" si="19"/>
        <v>0.02</v>
      </c>
      <c r="J143" s="717"/>
      <c r="K143" s="24">
        <f t="shared" si="20"/>
        <v>1</v>
      </c>
      <c r="L143" s="717"/>
      <c r="M143" s="24">
        <f t="shared" si="21"/>
        <v>1</v>
      </c>
      <c r="N143" s="717"/>
      <c r="O143" s="24">
        <f t="shared" si="22"/>
        <v>1</v>
      </c>
      <c r="P143" s="717"/>
      <c r="Q143" s="24">
        <f t="shared" si="23"/>
        <v>0</v>
      </c>
      <c r="R143" s="713">
        <f t="shared" si="24"/>
        <v>0</v>
      </c>
      <c r="S143" s="361">
        <f t="shared" si="15"/>
        <v>0</v>
      </c>
    </row>
    <row r="144" spans="1:19">
      <c r="A144" s="715"/>
      <c r="B144" s="715"/>
      <c r="C144" s="24">
        <f t="shared" si="16"/>
        <v>1</v>
      </c>
      <c r="D144" s="717"/>
      <c r="E144" s="24">
        <f t="shared" si="17"/>
        <v>0.04</v>
      </c>
      <c r="F144" s="717"/>
      <c r="G144" s="24">
        <f t="shared" si="18"/>
        <v>0.1</v>
      </c>
      <c r="H144" s="717"/>
      <c r="I144" s="24">
        <f t="shared" si="19"/>
        <v>0.02</v>
      </c>
      <c r="J144" s="717"/>
      <c r="K144" s="24">
        <f t="shared" si="20"/>
        <v>1</v>
      </c>
      <c r="L144" s="717"/>
      <c r="M144" s="24">
        <f t="shared" si="21"/>
        <v>1</v>
      </c>
      <c r="N144" s="717"/>
      <c r="O144" s="24">
        <f t="shared" si="22"/>
        <v>1</v>
      </c>
      <c r="P144" s="717"/>
      <c r="Q144" s="24">
        <f t="shared" si="23"/>
        <v>0</v>
      </c>
      <c r="R144" s="713">
        <f t="shared" si="24"/>
        <v>0</v>
      </c>
      <c r="S144" s="361">
        <f t="shared" si="15"/>
        <v>0</v>
      </c>
    </row>
    <row r="145" spans="1:19">
      <c r="A145" s="715"/>
      <c r="B145" s="715"/>
      <c r="C145" s="24">
        <f t="shared" si="16"/>
        <v>1</v>
      </c>
      <c r="D145" s="717"/>
      <c r="E145" s="24">
        <f t="shared" si="17"/>
        <v>0.04</v>
      </c>
      <c r="F145" s="717"/>
      <c r="G145" s="24">
        <f t="shared" si="18"/>
        <v>0.1</v>
      </c>
      <c r="H145" s="717"/>
      <c r="I145" s="24">
        <f t="shared" si="19"/>
        <v>0.02</v>
      </c>
      <c r="J145" s="717"/>
      <c r="K145" s="24">
        <f t="shared" si="20"/>
        <v>1</v>
      </c>
      <c r="L145" s="717"/>
      <c r="M145" s="24">
        <f t="shared" si="21"/>
        <v>1</v>
      </c>
      <c r="N145" s="717"/>
      <c r="O145" s="24">
        <f t="shared" si="22"/>
        <v>1</v>
      </c>
      <c r="P145" s="717"/>
      <c r="Q145" s="24">
        <f t="shared" si="23"/>
        <v>0</v>
      </c>
      <c r="R145" s="713">
        <f t="shared" si="24"/>
        <v>0</v>
      </c>
      <c r="S145" s="361">
        <f t="shared" si="15"/>
        <v>0</v>
      </c>
    </row>
    <row r="146" spans="1:19">
      <c r="A146" s="715"/>
      <c r="B146" s="715"/>
      <c r="C146" s="24">
        <f t="shared" si="16"/>
        <v>1</v>
      </c>
      <c r="D146" s="717"/>
      <c r="E146" s="24">
        <f t="shared" si="17"/>
        <v>0.04</v>
      </c>
      <c r="F146" s="717"/>
      <c r="G146" s="24">
        <f t="shared" si="18"/>
        <v>0.1</v>
      </c>
      <c r="H146" s="717"/>
      <c r="I146" s="24">
        <f t="shared" si="19"/>
        <v>0.02</v>
      </c>
      <c r="J146" s="717"/>
      <c r="K146" s="24">
        <f t="shared" si="20"/>
        <v>1</v>
      </c>
      <c r="L146" s="717"/>
      <c r="M146" s="24">
        <f t="shared" si="21"/>
        <v>1</v>
      </c>
      <c r="N146" s="717"/>
      <c r="O146" s="24">
        <f t="shared" si="22"/>
        <v>1</v>
      </c>
      <c r="P146" s="717"/>
      <c r="Q146" s="24">
        <f t="shared" si="23"/>
        <v>0</v>
      </c>
      <c r="R146" s="713">
        <f t="shared" si="24"/>
        <v>0</v>
      </c>
      <c r="S146" s="361">
        <f t="shared" si="15"/>
        <v>0</v>
      </c>
    </row>
    <row r="147" spans="1:19">
      <c r="A147" s="715"/>
      <c r="B147" s="715"/>
      <c r="C147" s="24">
        <f t="shared" si="16"/>
        <v>1</v>
      </c>
      <c r="D147" s="717"/>
      <c r="E147" s="24">
        <f t="shared" si="17"/>
        <v>0.04</v>
      </c>
      <c r="F147" s="717"/>
      <c r="G147" s="24">
        <f t="shared" si="18"/>
        <v>0.1</v>
      </c>
      <c r="H147" s="717"/>
      <c r="I147" s="24">
        <f t="shared" si="19"/>
        <v>0.02</v>
      </c>
      <c r="J147" s="717"/>
      <c r="K147" s="24">
        <f t="shared" si="20"/>
        <v>1</v>
      </c>
      <c r="L147" s="717"/>
      <c r="M147" s="24">
        <f t="shared" si="21"/>
        <v>1</v>
      </c>
      <c r="N147" s="717"/>
      <c r="O147" s="24">
        <f t="shared" si="22"/>
        <v>1</v>
      </c>
      <c r="P147" s="717"/>
      <c r="Q147" s="24">
        <f t="shared" si="23"/>
        <v>0</v>
      </c>
      <c r="R147" s="713">
        <f t="shared" si="24"/>
        <v>0</v>
      </c>
      <c r="S147" s="361">
        <f t="shared" si="15"/>
        <v>0</v>
      </c>
    </row>
    <row r="148" spans="1:19">
      <c r="A148" s="715"/>
      <c r="B148" s="715"/>
      <c r="C148" s="24">
        <f t="shared" si="16"/>
        <v>1</v>
      </c>
      <c r="D148" s="717"/>
      <c r="E148" s="24">
        <f t="shared" si="17"/>
        <v>0.04</v>
      </c>
      <c r="F148" s="717"/>
      <c r="G148" s="24">
        <f t="shared" si="18"/>
        <v>0.1</v>
      </c>
      <c r="H148" s="717"/>
      <c r="I148" s="24">
        <f t="shared" si="19"/>
        <v>0.02</v>
      </c>
      <c r="J148" s="717"/>
      <c r="K148" s="24">
        <f t="shared" si="20"/>
        <v>1</v>
      </c>
      <c r="L148" s="717"/>
      <c r="M148" s="24">
        <f t="shared" si="21"/>
        <v>1</v>
      </c>
      <c r="N148" s="717"/>
      <c r="O148" s="24">
        <f t="shared" si="22"/>
        <v>1</v>
      </c>
      <c r="P148" s="717"/>
      <c r="Q148" s="24">
        <f t="shared" si="23"/>
        <v>0</v>
      </c>
      <c r="R148" s="713">
        <f t="shared" si="24"/>
        <v>0</v>
      </c>
      <c r="S148" s="361">
        <f t="shared" si="15"/>
        <v>0</v>
      </c>
    </row>
    <row r="149" spans="1:19">
      <c r="A149" s="715"/>
      <c r="B149" s="715"/>
      <c r="C149" s="24">
        <f t="shared" si="16"/>
        <v>1</v>
      </c>
      <c r="D149" s="717"/>
      <c r="E149" s="24">
        <f t="shared" si="17"/>
        <v>0.04</v>
      </c>
      <c r="F149" s="717"/>
      <c r="G149" s="24">
        <f t="shared" si="18"/>
        <v>0.1</v>
      </c>
      <c r="H149" s="717"/>
      <c r="I149" s="24">
        <f t="shared" si="19"/>
        <v>0.02</v>
      </c>
      <c r="J149" s="717"/>
      <c r="K149" s="24">
        <f t="shared" si="20"/>
        <v>1</v>
      </c>
      <c r="L149" s="717"/>
      <c r="M149" s="24">
        <f t="shared" si="21"/>
        <v>1</v>
      </c>
      <c r="N149" s="717"/>
      <c r="O149" s="24">
        <f t="shared" si="22"/>
        <v>1</v>
      </c>
      <c r="P149" s="717"/>
      <c r="Q149" s="24">
        <f t="shared" si="23"/>
        <v>0</v>
      </c>
      <c r="R149" s="713">
        <f t="shared" si="24"/>
        <v>0</v>
      </c>
      <c r="S149" s="361">
        <f t="shared" si="15"/>
        <v>0</v>
      </c>
    </row>
    <row r="150" spans="1:19">
      <c r="A150" s="715"/>
      <c r="B150" s="715"/>
      <c r="C150" s="24">
        <f t="shared" si="16"/>
        <v>1</v>
      </c>
      <c r="D150" s="717"/>
      <c r="E150" s="24">
        <f t="shared" si="17"/>
        <v>0.04</v>
      </c>
      <c r="F150" s="717"/>
      <c r="G150" s="24">
        <f t="shared" si="18"/>
        <v>0.1</v>
      </c>
      <c r="H150" s="717"/>
      <c r="I150" s="24">
        <f t="shared" si="19"/>
        <v>0.02</v>
      </c>
      <c r="J150" s="717"/>
      <c r="K150" s="24">
        <f t="shared" si="20"/>
        <v>1</v>
      </c>
      <c r="L150" s="717"/>
      <c r="M150" s="24">
        <f t="shared" si="21"/>
        <v>1</v>
      </c>
      <c r="N150" s="717"/>
      <c r="O150" s="24">
        <f t="shared" si="22"/>
        <v>1</v>
      </c>
      <c r="P150" s="717"/>
      <c r="Q150" s="24">
        <f t="shared" si="23"/>
        <v>0</v>
      </c>
      <c r="R150" s="713">
        <f t="shared" si="24"/>
        <v>0</v>
      </c>
      <c r="S150" s="361">
        <f t="shared" si="15"/>
        <v>0</v>
      </c>
    </row>
    <row r="151" spans="1:19">
      <c r="A151" s="715"/>
      <c r="B151" s="715"/>
      <c r="C151" s="24">
        <f t="shared" si="16"/>
        <v>1</v>
      </c>
      <c r="D151" s="717"/>
      <c r="E151" s="24">
        <f t="shared" si="17"/>
        <v>0.04</v>
      </c>
      <c r="F151" s="717"/>
      <c r="G151" s="24">
        <f t="shared" si="18"/>
        <v>0.1</v>
      </c>
      <c r="H151" s="717"/>
      <c r="I151" s="24">
        <f t="shared" si="19"/>
        <v>0.02</v>
      </c>
      <c r="J151" s="717"/>
      <c r="K151" s="24">
        <f t="shared" si="20"/>
        <v>1</v>
      </c>
      <c r="L151" s="717"/>
      <c r="M151" s="24">
        <f t="shared" si="21"/>
        <v>1</v>
      </c>
      <c r="N151" s="717"/>
      <c r="O151" s="24">
        <f t="shared" si="22"/>
        <v>1</v>
      </c>
      <c r="P151" s="717"/>
      <c r="Q151" s="24">
        <f t="shared" si="23"/>
        <v>0</v>
      </c>
      <c r="R151" s="713">
        <f t="shared" si="24"/>
        <v>0</v>
      </c>
      <c r="S151" s="361">
        <f t="shared" si="15"/>
        <v>0</v>
      </c>
    </row>
    <row r="152" spans="1:19">
      <c r="A152" s="715"/>
      <c r="B152" s="715"/>
      <c r="C152" s="24">
        <f t="shared" si="16"/>
        <v>1</v>
      </c>
      <c r="D152" s="717"/>
      <c r="E152" s="24">
        <f t="shared" si="17"/>
        <v>0.04</v>
      </c>
      <c r="F152" s="717"/>
      <c r="G152" s="24">
        <f t="shared" si="18"/>
        <v>0.1</v>
      </c>
      <c r="H152" s="717"/>
      <c r="I152" s="24">
        <f t="shared" si="19"/>
        <v>0.02</v>
      </c>
      <c r="J152" s="717"/>
      <c r="K152" s="24">
        <f t="shared" si="20"/>
        <v>1</v>
      </c>
      <c r="L152" s="717"/>
      <c r="M152" s="24">
        <f t="shared" si="21"/>
        <v>1</v>
      </c>
      <c r="N152" s="717"/>
      <c r="O152" s="24">
        <f t="shared" si="22"/>
        <v>1</v>
      </c>
      <c r="P152" s="717"/>
      <c r="Q152" s="24">
        <f t="shared" si="23"/>
        <v>0</v>
      </c>
      <c r="R152" s="713">
        <f t="shared" si="24"/>
        <v>0</v>
      </c>
      <c r="S152" s="361">
        <f t="shared" ref="S152:S215" si="25">ROUND(R152*B152/10000,0)</f>
        <v>0</v>
      </c>
    </row>
    <row r="153" spans="1:19">
      <c r="A153" s="715"/>
      <c r="B153" s="715"/>
      <c r="C153" s="24">
        <f t="shared" si="16"/>
        <v>1</v>
      </c>
      <c r="D153" s="717"/>
      <c r="E153" s="24">
        <f t="shared" si="17"/>
        <v>0.04</v>
      </c>
      <c r="F153" s="717"/>
      <c r="G153" s="24">
        <f t="shared" si="18"/>
        <v>0.1</v>
      </c>
      <c r="H153" s="717"/>
      <c r="I153" s="24">
        <f t="shared" si="19"/>
        <v>0.02</v>
      </c>
      <c r="J153" s="717"/>
      <c r="K153" s="24">
        <f t="shared" si="20"/>
        <v>1</v>
      </c>
      <c r="L153" s="717"/>
      <c r="M153" s="24">
        <f t="shared" si="21"/>
        <v>1</v>
      </c>
      <c r="N153" s="717"/>
      <c r="O153" s="24">
        <f t="shared" si="22"/>
        <v>1</v>
      </c>
      <c r="P153" s="717"/>
      <c r="Q153" s="24">
        <f t="shared" si="23"/>
        <v>0</v>
      </c>
      <c r="R153" s="713">
        <f t="shared" si="24"/>
        <v>0</v>
      </c>
      <c r="S153" s="361">
        <f t="shared" si="25"/>
        <v>0</v>
      </c>
    </row>
    <row r="154" spans="1:19">
      <c r="A154" s="715"/>
      <c r="B154" s="715"/>
      <c r="C154" s="24">
        <f t="shared" ref="C154:C217" si="26">IF(B154="",1,(LOOKUP(B154,$3:$3,$4:$4)-LOOKUP($B$24,$3:$3,$4:$4)+100)/100)</f>
        <v>1</v>
      </c>
      <c r="D154" s="717"/>
      <c r="E154" s="24">
        <f t="shared" ref="E154:E217" si="27">(SUMIF($5:$5,D154,$6:$6)-SUMIF($5:$5,$D$24,$6:$6)+100)/100</f>
        <v>0.04</v>
      </c>
      <c r="F154" s="717"/>
      <c r="G154" s="24">
        <f t="shared" ref="G154:G217" si="28">(SUMIF($7:$7,F154,$8:$8)-SUMIF($7:$7,$F$24,$8:$8)+100)/100</f>
        <v>0.1</v>
      </c>
      <c r="H154" s="717"/>
      <c r="I154" s="24">
        <f t="shared" ref="I154:I217" si="29">(SUMIF($9:$9,H154,$10:$10)-SUMIF($9:$9,$H$24,$10:$10)+100)/100</f>
        <v>0.02</v>
      </c>
      <c r="J154" s="717"/>
      <c r="K154" s="24">
        <f t="shared" ref="K154:K217" si="30">(SUMIF($11:$11,J154,$12:$12)-SUMIF($11:$11,$J$24,$12:$12)+100)/100</f>
        <v>1</v>
      </c>
      <c r="L154" s="717"/>
      <c r="M154" s="24">
        <f t="shared" ref="M154:M217" si="31">(SUMIF($13:$13,L154,$14:$14)-SUMIF($13:$13,$L$24,$14:$14)+100)/100</f>
        <v>1</v>
      </c>
      <c r="N154" s="717"/>
      <c r="O154" s="24">
        <f t="shared" ref="O154:O217" si="32">(SUMIF($15:$15,N154,$16:$16)-SUMIF($15:$15,$N$24,$16:$16)+100)/100</f>
        <v>1</v>
      </c>
      <c r="P154" s="717"/>
      <c r="Q154" s="24">
        <f t="shared" ref="Q154:Q217" si="33">(SUMIF($17:$17,P154,$18:$18)-SUMIF($17:$17,$P$24,$18:$18)+100)/100</f>
        <v>0</v>
      </c>
      <c r="R154" s="713">
        <f t="shared" ref="R154:R217" si="34">IF(B154="",0,ROUND($R$24*C154*E154*G154*I154*K154*M154*O154*Q154,0))</f>
        <v>0</v>
      </c>
      <c r="S154" s="361">
        <f t="shared" si="25"/>
        <v>0</v>
      </c>
    </row>
    <row r="155" spans="1:19">
      <c r="A155" s="715"/>
      <c r="B155" s="715"/>
      <c r="C155" s="24">
        <f t="shared" si="26"/>
        <v>1</v>
      </c>
      <c r="D155" s="717"/>
      <c r="E155" s="24">
        <f t="shared" si="27"/>
        <v>0.04</v>
      </c>
      <c r="F155" s="717"/>
      <c r="G155" s="24">
        <f t="shared" si="28"/>
        <v>0.1</v>
      </c>
      <c r="H155" s="717"/>
      <c r="I155" s="24">
        <f t="shared" si="29"/>
        <v>0.02</v>
      </c>
      <c r="J155" s="717"/>
      <c r="K155" s="24">
        <f t="shared" si="30"/>
        <v>1</v>
      </c>
      <c r="L155" s="717"/>
      <c r="M155" s="24">
        <f t="shared" si="31"/>
        <v>1</v>
      </c>
      <c r="N155" s="717"/>
      <c r="O155" s="24">
        <f t="shared" si="32"/>
        <v>1</v>
      </c>
      <c r="P155" s="717"/>
      <c r="Q155" s="24">
        <f t="shared" si="33"/>
        <v>0</v>
      </c>
      <c r="R155" s="713">
        <f t="shared" si="34"/>
        <v>0</v>
      </c>
      <c r="S155" s="361">
        <f t="shared" si="25"/>
        <v>0</v>
      </c>
    </row>
    <row r="156" spans="1:19">
      <c r="A156" s="715"/>
      <c r="B156" s="715"/>
      <c r="C156" s="24">
        <f t="shared" si="26"/>
        <v>1</v>
      </c>
      <c r="D156" s="717"/>
      <c r="E156" s="24">
        <f t="shared" si="27"/>
        <v>0.04</v>
      </c>
      <c r="F156" s="717"/>
      <c r="G156" s="24">
        <f t="shared" si="28"/>
        <v>0.1</v>
      </c>
      <c r="H156" s="717"/>
      <c r="I156" s="24">
        <f t="shared" si="29"/>
        <v>0.02</v>
      </c>
      <c r="J156" s="717"/>
      <c r="K156" s="24">
        <f t="shared" si="30"/>
        <v>1</v>
      </c>
      <c r="L156" s="717"/>
      <c r="M156" s="24">
        <f t="shared" si="31"/>
        <v>1</v>
      </c>
      <c r="N156" s="717"/>
      <c r="O156" s="24">
        <f t="shared" si="32"/>
        <v>1</v>
      </c>
      <c r="P156" s="717"/>
      <c r="Q156" s="24">
        <f t="shared" si="33"/>
        <v>0</v>
      </c>
      <c r="R156" s="713">
        <f t="shared" si="34"/>
        <v>0</v>
      </c>
      <c r="S156" s="361">
        <f t="shared" si="25"/>
        <v>0</v>
      </c>
    </row>
    <row r="157" spans="1:19">
      <c r="A157" s="715"/>
      <c r="B157" s="715"/>
      <c r="C157" s="24">
        <f t="shared" si="26"/>
        <v>1</v>
      </c>
      <c r="D157" s="717"/>
      <c r="E157" s="24">
        <f t="shared" si="27"/>
        <v>0.04</v>
      </c>
      <c r="F157" s="717"/>
      <c r="G157" s="24">
        <f t="shared" si="28"/>
        <v>0.1</v>
      </c>
      <c r="H157" s="717"/>
      <c r="I157" s="24">
        <f t="shared" si="29"/>
        <v>0.02</v>
      </c>
      <c r="J157" s="717"/>
      <c r="K157" s="24">
        <f t="shared" si="30"/>
        <v>1</v>
      </c>
      <c r="L157" s="717"/>
      <c r="M157" s="24">
        <f t="shared" si="31"/>
        <v>1</v>
      </c>
      <c r="N157" s="717"/>
      <c r="O157" s="24">
        <f t="shared" si="32"/>
        <v>1</v>
      </c>
      <c r="P157" s="717"/>
      <c r="Q157" s="24">
        <f t="shared" si="33"/>
        <v>0</v>
      </c>
      <c r="R157" s="713">
        <f t="shared" si="34"/>
        <v>0</v>
      </c>
      <c r="S157" s="361">
        <f t="shared" si="25"/>
        <v>0</v>
      </c>
    </row>
    <row r="158" spans="1:19">
      <c r="A158" s="715"/>
      <c r="B158" s="715"/>
      <c r="C158" s="24">
        <f t="shared" si="26"/>
        <v>1</v>
      </c>
      <c r="D158" s="717"/>
      <c r="E158" s="24">
        <f t="shared" si="27"/>
        <v>0.04</v>
      </c>
      <c r="F158" s="717"/>
      <c r="G158" s="24">
        <f t="shared" si="28"/>
        <v>0.1</v>
      </c>
      <c r="H158" s="717"/>
      <c r="I158" s="24">
        <f t="shared" si="29"/>
        <v>0.02</v>
      </c>
      <c r="J158" s="717"/>
      <c r="K158" s="24">
        <f t="shared" si="30"/>
        <v>1</v>
      </c>
      <c r="L158" s="717"/>
      <c r="M158" s="24">
        <f t="shared" si="31"/>
        <v>1</v>
      </c>
      <c r="N158" s="717"/>
      <c r="O158" s="24">
        <f t="shared" si="32"/>
        <v>1</v>
      </c>
      <c r="P158" s="717"/>
      <c r="Q158" s="24">
        <f t="shared" si="33"/>
        <v>0</v>
      </c>
      <c r="R158" s="713">
        <f t="shared" si="34"/>
        <v>0</v>
      </c>
      <c r="S158" s="361">
        <f t="shared" si="25"/>
        <v>0</v>
      </c>
    </row>
    <row r="159" spans="1:19">
      <c r="A159" s="715"/>
      <c r="B159" s="715"/>
      <c r="C159" s="24">
        <f t="shared" si="26"/>
        <v>1</v>
      </c>
      <c r="D159" s="717"/>
      <c r="E159" s="24">
        <f t="shared" si="27"/>
        <v>0.04</v>
      </c>
      <c r="F159" s="717"/>
      <c r="G159" s="24">
        <f t="shared" si="28"/>
        <v>0.1</v>
      </c>
      <c r="H159" s="717"/>
      <c r="I159" s="24">
        <f t="shared" si="29"/>
        <v>0.02</v>
      </c>
      <c r="J159" s="717"/>
      <c r="K159" s="24">
        <f t="shared" si="30"/>
        <v>1</v>
      </c>
      <c r="L159" s="717"/>
      <c r="M159" s="24">
        <f t="shared" si="31"/>
        <v>1</v>
      </c>
      <c r="N159" s="717"/>
      <c r="O159" s="24">
        <f t="shared" si="32"/>
        <v>1</v>
      </c>
      <c r="P159" s="717"/>
      <c r="Q159" s="24">
        <f t="shared" si="33"/>
        <v>0</v>
      </c>
      <c r="R159" s="713">
        <f t="shared" si="34"/>
        <v>0</v>
      </c>
      <c r="S159" s="361">
        <f t="shared" si="25"/>
        <v>0</v>
      </c>
    </row>
    <row r="160" spans="1:19">
      <c r="A160" s="715"/>
      <c r="B160" s="715"/>
      <c r="C160" s="24">
        <f t="shared" si="26"/>
        <v>1</v>
      </c>
      <c r="D160" s="717"/>
      <c r="E160" s="24">
        <f t="shared" si="27"/>
        <v>0.04</v>
      </c>
      <c r="F160" s="717"/>
      <c r="G160" s="24">
        <f t="shared" si="28"/>
        <v>0.1</v>
      </c>
      <c r="H160" s="717"/>
      <c r="I160" s="24">
        <f t="shared" si="29"/>
        <v>0.02</v>
      </c>
      <c r="J160" s="717"/>
      <c r="K160" s="24">
        <f t="shared" si="30"/>
        <v>1</v>
      </c>
      <c r="L160" s="717"/>
      <c r="M160" s="24">
        <f t="shared" si="31"/>
        <v>1</v>
      </c>
      <c r="N160" s="717"/>
      <c r="O160" s="24">
        <f t="shared" si="32"/>
        <v>1</v>
      </c>
      <c r="P160" s="717"/>
      <c r="Q160" s="24">
        <f t="shared" si="33"/>
        <v>0</v>
      </c>
      <c r="R160" s="713">
        <f t="shared" si="34"/>
        <v>0</v>
      </c>
      <c r="S160" s="361">
        <f t="shared" si="25"/>
        <v>0</v>
      </c>
    </row>
    <row r="161" spans="1:19">
      <c r="A161" s="715"/>
      <c r="B161" s="715"/>
      <c r="C161" s="24">
        <f t="shared" si="26"/>
        <v>1</v>
      </c>
      <c r="D161" s="717"/>
      <c r="E161" s="24">
        <f t="shared" si="27"/>
        <v>0.04</v>
      </c>
      <c r="F161" s="717"/>
      <c r="G161" s="24">
        <f t="shared" si="28"/>
        <v>0.1</v>
      </c>
      <c r="H161" s="717"/>
      <c r="I161" s="24">
        <f t="shared" si="29"/>
        <v>0.02</v>
      </c>
      <c r="J161" s="717"/>
      <c r="K161" s="24">
        <f t="shared" si="30"/>
        <v>1</v>
      </c>
      <c r="L161" s="717"/>
      <c r="M161" s="24">
        <f t="shared" si="31"/>
        <v>1</v>
      </c>
      <c r="N161" s="717"/>
      <c r="O161" s="24">
        <f t="shared" si="32"/>
        <v>1</v>
      </c>
      <c r="P161" s="717"/>
      <c r="Q161" s="24">
        <f t="shared" si="33"/>
        <v>0</v>
      </c>
      <c r="R161" s="713">
        <f t="shared" si="34"/>
        <v>0</v>
      </c>
      <c r="S161" s="361">
        <f t="shared" si="25"/>
        <v>0</v>
      </c>
    </row>
    <row r="162" spans="1:19">
      <c r="A162" s="715"/>
      <c r="B162" s="715"/>
      <c r="C162" s="24">
        <f t="shared" si="26"/>
        <v>1</v>
      </c>
      <c r="D162" s="717"/>
      <c r="E162" s="24">
        <f t="shared" si="27"/>
        <v>0.04</v>
      </c>
      <c r="F162" s="717"/>
      <c r="G162" s="24">
        <f t="shared" si="28"/>
        <v>0.1</v>
      </c>
      <c r="H162" s="717"/>
      <c r="I162" s="24">
        <f t="shared" si="29"/>
        <v>0.02</v>
      </c>
      <c r="J162" s="717"/>
      <c r="K162" s="24">
        <f t="shared" si="30"/>
        <v>1</v>
      </c>
      <c r="L162" s="717"/>
      <c r="M162" s="24">
        <f t="shared" si="31"/>
        <v>1</v>
      </c>
      <c r="N162" s="717"/>
      <c r="O162" s="24">
        <f t="shared" si="32"/>
        <v>1</v>
      </c>
      <c r="P162" s="717"/>
      <c r="Q162" s="24">
        <f t="shared" si="33"/>
        <v>0</v>
      </c>
      <c r="R162" s="713">
        <f t="shared" si="34"/>
        <v>0</v>
      </c>
      <c r="S162" s="361">
        <f t="shared" si="25"/>
        <v>0</v>
      </c>
    </row>
    <row r="163" spans="1:19">
      <c r="A163" s="715"/>
      <c r="B163" s="715"/>
      <c r="C163" s="24">
        <f t="shared" si="26"/>
        <v>1</v>
      </c>
      <c r="D163" s="717"/>
      <c r="E163" s="24">
        <f t="shared" si="27"/>
        <v>0.04</v>
      </c>
      <c r="F163" s="717"/>
      <c r="G163" s="24">
        <f t="shared" si="28"/>
        <v>0.1</v>
      </c>
      <c r="H163" s="717"/>
      <c r="I163" s="24">
        <f t="shared" si="29"/>
        <v>0.02</v>
      </c>
      <c r="J163" s="717"/>
      <c r="K163" s="24">
        <f t="shared" si="30"/>
        <v>1</v>
      </c>
      <c r="L163" s="717"/>
      <c r="M163" s="24">
        <f t="shared" si="31"/>
        <v>1</v>
      </c>
      <c r="N163" s="717"/>
      <c r="O163" s="24">
        <f t="shared" si="32"/>
        <v>1</v>
      </c>
      <c r="P163" s="717"/>
      <c r="Q163" s="24">
        <f t="shared" si="33"/>
        <v>0</v>
      </c>
      <c r="R163" s="713">
        <f t="shared" si="34"/>
        <v>0</v>
      </c>
      <c r="S163" s="361">
        <f t="shared" si="25"/>
        <v>0</v>
      </c>
    </row>
    <row r="164" spans="1:19">
      <c r="A164" s="715"/>
      <c r="B164" s="715"/>
      <c r="C164" s="24">
        <f t="shared" si="26"/>
        <v>1</v>
      </c>
      <c r="D164" s="717"/>
      <c r="E164" s="24">
        <f t="shared" si="27"/>
        <v>0.04</v>
      </c>
      <c r="F164" s="717"/>
      <c r="G164" s="24">
        <f t="shared" si="28"/>
        <v>0.1</v>
      </c>
      <c r="H164" s="717"/>
      <c r="I164" s="24">
        <f t="shared" si="29"/>
        <v>0.02</v>
      </c>
      <c r="J164" s="717"/>
      <c r="K164" s="24">
        <f t="shared" si="30"/>
        <v>1</v>
      </c>
      <c r="L164" s="717"/>
      <c r="M164" s="24">
        <f t="shared" si="31"/>
        <v>1</v>
      </c>
      <c r="N164" s="717"/>
      <c r="O164" s="24">
        <f t="shared" si="32"/>
        <v>1</v>
      </c>
      <c r="P164" s="717"/>
      <c r="Q164" s="24">
        <f t="shared" si="33"/>
        <v>0</v>
      </c>
      <c r="R164" s="713">
        <f t="shared" si="34"/>
        <v>0</v>
      </c>
      <c r="S164" s="361">
        <f t="shared" si="25"/>
        <v>0</v>
      </c>
    </row>
    <row r="165" spans="1:19">
      <c r="A165" s="715"/>
      <c r="B165" s="715"/>
      <c r="C165" s="24">
        <f t="shared" si="26"/>
        <v>1</v>
      </c>
      <c r="D165" s="717"/>
      <c r="E165" s="24">
        <f t="shared" si="27"/>
        <v>0.04</v>
      </c>
      <c r="F165" s="717"/>
      <c r="G165" s="24">
        <f t="shared" si="28"/>
        <v>0.1</v>
      </c>
      <c r="H165" s="717"/>
      <c r="I165" s="24">
        <f t="shared" si="29"/>
        <v>0.02</v>
      </c>
      <c r="J165" s="717"/>
      <c r="K165" s="24">
        <f t="shared" si="30"/>
        <v>1</v>
      </c>
      <c r="L165" s="717"/>
      <c r="M165" s="24">
        <f t="shared" si="31"/>
        <v>1</v>
      </c>
      <c r="N165" s="717"/>
      <c r="O165" s="24">
        <f t="shared" si="32"/>
        <v>1</v>
      </c>
      <c r="P165" s="717"/>
      <c r="Q165" s="24">
        <f t="shared" si="33"/>
        <v>0</v>
      </c>
      <c r="R165" s="713">
        <f t="shared" si="34"/>
        <v>0</v>
      </c>
      <c r="S165" s="361">
        <f t="shared" si="25"/>
        <v>0</v>
      </c>
    </row>
    <row r="166" spans="1:19">
      <c r="A166" s="715"/>
      <c r="B166" s="715"/>
      <c r="C166" s="24">
        <f t="shared" si="26"/>
        <v>1</v>
      </c>
      <c r="D166" s="717"/>
      <c r="E166" s="24">
        <f t="shared" si="27"/>
        <v>0.04</v>
      </c>
      <c r="F166" s="717"/>
      <c r="G166" s="24">
        <f t="shared" si="28"/>
        <v>0.1</v>
      </c>
      <c r="H166" s="717"/>
      <c r="I166" s="24">
        <f t="shared" si="29"/>
        <v>0.02</v>
      </c>
      <c r="J166" s="717"/>
      <c r="K166" s="24">
        <f t="shared" si="30"/>
        <v>1</v>
      </c>
      <c r="L166" s="717"/>
      <c r="M166" s="24">
        <f t="shared" si="31"/>
        <v>1</v>
      </c>
      <c r="N166" s="717"/>
      <c r="O166" s="24">
        <f t="shared" si="32"/>
        <v>1</v>
      </c>
      <c r="P166" s="717"/>
      <c r="Q166" s="24">
        <f t="shared" si="33"/>
        <v>0</v>
      </c>
      <c r="R166" s="713">
        <f t="shared" si="34"/>
        <v>0</v>
      </c>
      <c r="S166" s="361">
        <f t="shared" si="25"/>
        <v>0</v>
      </c>
    </row>
    <row r="167" spans="1:19">
      <c r="A167" s="715"/>
      <c r="B167" s="715"/>
      <c r="C167" s="24">
        <f t="shared" si="26"/>
        <v>1</v>
      </c>
      <c r="D167" s="717"/>
      <c r="E167" s="24">
        <f t="shared" si="27"/>
        <v>0.04</v>
      </c>
      <c r="F167" s="717"/>
      <c r="G167" s="24">
        <f t="shared" si="28"/>
        <v>0.1</v>
      </c>
      <c r="H167" s="717"/>
      <c r="I167" s="24">
        <f t="shared" si="29"/>
        <v>0.02</v>
      </c>
      <c r="J167" s="717"/>
      <c r="K167" s="24">
        <f t="shared" si="30"/>
        <v>1</v>
      </c>
      <c r="L167" s="717"/>
      <c r="M167" s="24">
        <f t="shared" si="31"/>
        <v>1</v>
      </c>
      <c r="N167" s="717"/>
      <c r="O167" s="24">
        <f t="shared" si="32"/>
        <v>1</v>
      </c>
      <c r="P167" s="717"/>
      <c r="Q167" s="24">
        <f t="shared" si="33"/>
        <v>0</v>
      </c>
      <c r="R167" s="713">
        <f t="shared" si="34"/>
        <v>0</v>
      </c>
      <c r="S167" s="361">
        <f t="shared" si="25"/>
        <v>0</v>
      </c>
    </row>
    <row r="168" spans="1:19">
      <c r="A168" s="715"/>
      <c r="B168" s="715"/>
      <c r="C168" s="24">
        <f t="shared" si="26"/>
        <v>1</v>
      </c>
      <c r="D168" s="717"/>
      <c r="E168" s="24">
        <f t="shared" si="27"/>
        <v>0.04</v>
      </c>
      <c r="F168" s="717"/>
      <c r="G168" s="24">
        <f t="shared" si="28"/>
        <v>0.1</v>
      </c>
      <c r="H168" s="717"/>
      <c r="I168" s="24">
        <f t="shared" si="29"/>
        <v>0.02</v>
      </c>
      <c r="J168" s="717"/>
      <c r="K168" s="24">
        <f t="shared" si="30"/>
        <v>1</v>
      </c>
      <c r="L168" s="717"/>
      <c r="M168" s="24">
        <f t="shared" si="31"/>
        <v>1</v>
      </c>
      <c r="N168" s="717"/>
      <c r="O168" s="24">
        <f t="shared" si="32"/>
        <v>1</v>
      </c>
      <c r="P168" s="717"/>
      <c r="Q168" s="24">
        <f t="shared" si="33"/>
        <v>0</v>
      </c>
      <c r="R168" s="713">
        <f t="shared" si="34"/>
        <v>0</v>
      </c>
      <c r="S168" s="361">
        <f t="shared" si="25"/>
        <v>0</v>
      </c>
    </row>
    <row r="169" spans="1:19">
      <c r="A169" s="715"/>
      <c r="B169" s="715"/>
      <c r="C169" s="24">
        <f t="shared" si="26"/>
        <v>1</v>
      </c>
      <c r="D169" s="717"/>
      <c r="E169" s="24">
        <f t="shared" si="27"/>
        <v>0.04</v>
      </c>
      <c r="F169" s="717"/>
      <c r="G169" s="24">
        <f t="shared" si="28"/>
        <v>0.1</v>
      </c>
      <c r="H169" s="717"/>
      <c r="I169" s="24">
        <f t="shared" si="29"/>
        <v>0.02</v>
      </c>
      <c r="J169" s="717"/>
      <c r="K169" s="24">
        <f t="shared" si="30"/>
        <v>1</v>
      </c>
      <c r="L169" s="717"/>
      <c r="M169" s="24">
        <f t="shared" si="31"/>
        <v>1</v>
      </c>
      <c r="N169" s="717"/>
      <c r="O169" s="24">
        <f t="shared" si="32"/>
        <v>1</v>
      </c>
      <c r="P169" s="717"/>
      <c r="Q169" s="24">
        <f t="shared" si="33"/>
        <v>0</v>
      </c>
      <c r="R169" s="713">
        <f t="shared" si="34"/>
        <v>0</v>
      </c>
      <c r="S169" s="361">
        <f t="shared" si="25"/>
        <v>0</v>
      </c>
    </row>
    <row r="170" spans="1:19">
      <c r="A170" s="715"/>
      <c r="B170" s="715"/>
      <c r="C170" s="24">
        <f t="shared" si="26"/>
        <v>1</v>
      </c>
      <c r="D170" s="717"/>
      <c r="E170" s="24">
        <f t="shared" si="27"/>
        <v>0.04</v>
      </c>
      <c r="F170" s="717"/>
      <c r="G170" s="24">
        <f t="shared" si="28"/>
        <v>0.1</v>
      </c>
      <c r="H170" s="717"/>
      <c r="I170" s="24">
        <f t="shared" si="29"/>
        <v>0.02</v>
      </c>
      <c r="J170" s="717"/>
      <c r="K170" s="24">
        <f t="shared" si="30"/>
        <v>1</v>
      </c>
      <c r="L170" s="717"/>
      <c r="M170" s="24">
        <f t="shared" si="31"/>
        <v>1</v>
      </c>
      <c r="N170" s="717"/>
      <c r="O170" s="24">
        <f t="shared" si="32"/>
        <v>1</v>
      </c>
      <c r="P170" s="717"/>
      <c r="Q170" s="24">
        <f t="shared" si="33"/>
        <v>0</v>
      </c>
      <c r="R170" s="713">
        <f t="shared" si="34"/>
        <v>0</v>
      </c>
      <c r="S170" s="361">
        <f t="shared" si="25"/>
        <v>0</v>
      </c>
    </row>
    <row r="171" spans="1:19">
      <c r="A171" s="715"/>
      <c r="B171" s="715"/>
      <c r="C171" s="24">
        <f t="shared" si="26"/>
        <v>1</v>
      </c>
      <c r="D171" s="717"/>
      <c r="E171" s="24">
        <f t="shared" si="27"/>
        <v>0.04</v>
      </c>
      <c r="F171" s="717"/>
      <c r="G171" s="24">
        <f t="shared" si="28"/>
        <v>0.1</v>
      </c>
      <c r="H171" s="717"/>
      <c r="I171" s="24">
        <f t="shared" si="29"/>
        <v>0.02</v>
      </c>
      <c r="J171" s="717"/>
      <c r="K171" s="24">
        <f t="shared" si="30"/>
        <v>1</v>
      </c>
      <c r="L171" s="717"/>
      <c r="M171" s="24">
        <f t="shared" si="31"/>
        <v>1</v>
      </c>
      <c r="N171" s="717"/>
      <c r="O171" s="24">
        <f t="shared" si="32"/>
        <v>1</v>
      </c>
      <c r="P171" s="717"/>
      <c r="Q171" s="24">
        <f t="shared" si="33"/>
        <v>0</v>
      </c>
      <c r="R171" s="713">
        <f t="shared" si="34"/>
        <v>0</v>
      </c>
      <c r="S171" s="361">
        <f t="shared" si="25"/>
        <v>0</v>
      </c>
    </row>
    <row r="172" spans="1:19">
      <c r="A172" s="715"/>
      <c r="B172" s="715"/>
      <c r="C172" s="24">
        <f t="shared" si="26"/>
        <v>1</v>
      </c>
      <c r="D172" s="717"/>
      <c r="E172" s="24">
        <f t="shared" si="27"/>
        <v>0.04</v>
      </c>
      <c r="F172" s="717"/>
      <c r="G172" s="24">
        <f t="shared" si="28"/>
        <v>0.1</v>
      </c>
      <c r="H172" s="717"/>
      <c r="I172" s="24">
        <f t="shared" si="29"/>
        <v>0.02</v>
      </c>
      <c r="J172" s="717"/>
      <c r="K172" s="24">
        <f t="shared" si="30"/>
        <v>1</v>
      </c>
      <c r="L172" s="717"/>
      <c r="M172" s="24">
        <f t="shared" si="31"/>
        <v>1</v>
      </c>
      <c r="N172" s="717"/>
      <c r="O172" s="24">
        <f t="shared" si="32"/>
        <v>1</v>
      </c>
      <c r="P172" s="717"/>
      <c r="Q172" s="24">
        <f t="shared" si="33"/>
        <v>0</v>
      </c>
      <c r="R172" s="713">
        <f t="shared" si="34"/>
        <v>0</v>
      </c>
      <c r="S172" s="361">
        <f t="shared" si="25"/>
        <v>0</v>
      </c>
    </row>
    <row r="173" spans="1:19">
      <c r="A173" s="715"/>
      <c r="B173" s="715"/>
      <c r="C173" s="24">
        <f t="shared" si="26"/>
        <v>1</v>
      </c>
      <c r="D173" s="717"/>
      <c r="E173" s="24">
        <f t="shared" si="27"/>
        <v>0.04</v>
      </c>
      <c r="F173" s="717"/>
      <c r="G173" s="24">
        <f t="shared" si="28"/>
        <v>0.1</v>
      </c>
      <c r="H173" s="717"/>
      <c r="I173" s="24">
        <f t="shared" si="29"/>
        <v>0.02</v>
      </c>
      <c r="J173" s="717"/>
      <c r="K173" s="24">
        <f t="shared" si="30"/>
        <v>1</v>
      </c>
      <c r="L173" s="717"/>
      <c r="M173" s="24">
        <f t="shared" si="31"/>
        <v>1</v>
      </c>
      <c r="N173" s="717"/>
      <c r="O173" s="24">
        <f t="shared" si="32"/>
        <v>1</v>
      </c>
      <c r="P173" s="717"/>
      <c r="Q173" s="24">
        <f t="shared" si="33"/>
        <v>0</v>
      </c>
      <c r="R173" s="713">
        <f t="shared" si="34"/>
        <v>0</v>
      </c>
      <c r="S173" s="361">
        <f t="shared" si="25"/>
        <v>0</v>
      </c>
    </row>
    <row r="174" spans="1:19">
      <c r="A174" s="715"/>
      <c r="B174" s="715"/>
      <c r="C174" s="24">
        <f t="shared" si="26"/>
        <v>1</v>
      </c>
      <c r="D174" s="717"/>
      <c r="E174" s="24">
        <f t="shared" si="27"/>
        <v>0.04</v>
      </c>
      <c r="F174" s="717"/>
      <c r="G174" s="24">
        <f t="shared" si="28"/>
        <v>0.1</v>
      </c>
      <c r="H174" s="717"/>
      <c r="I174" s="24">
        <f t="shared" si="29"/>
        <v>0.02</v>
      </c>
      <c r="J174" s="717"/>
      <c r="K174" s="24">
        <f t="shared" si="30"/>
        <v>1</v>
      </c>
      <c r="L174" s="717"/>
      <c r="M174" s="24">
        <f t="shared" si="31"/>
        <v>1</v>
      </c>
      <c r="N174" s="717"/>
      <c r="O174" s="24">
        <f t="shared" si="32"/>
        <v>1</v>
      </c>
      <c r="P174" s="717"/>
      <c r="Q174" s="24">
        <f t="shared" si="33"/>
        <v>0</v>
      </c>
      <c r="R174" s="713">
        <f t="shared" si="34"/>
        <v>0</v>
      </c>
      <c r="S174" s="361">
        <f t="shared" si="25"/>
        <v>0</v>
      </c>
    </row>
    <row r="175" spans="1:19">
      <c r="A175" s="715"/>
      <c r="B175" s="715"/>
      <c r="C175" s="24">
        <f t="shared" si="26"/>
        <v>1</v>
      </c>
      <c r="D175" s="717"/>
      <c r="E175" s="24">
        <f t="shared" si="27"/>
        <v>0.04</v>
      </c>
      <c r="F175" s="717"/>
      <c r="G175" s="24">
        <f t="shared" si="28"/>
        <v>0.1</v>
      </c>
      <c r="H175" s="717"/>
      <c r="I175" s="24">
        <f t="shared" si="29"/>
        <v>0.02</v>
      </c>
      <c r="J175" s="717"/>
      <c r="K175" s="24">
        <f t="shared" si="30"/>
        <v>1</v>
      </c>
      <c r="L175" s="717"/>
      <c r="M175" s="24">
        <f t="shared" si="31"/>
        <v>1</v>
      </c>
      <c r="N175" s="717"/>
      <c r="O175" s="24">
        <f t="shared" si="32"/>
        <v>1</v>
      </c>
      <c r="P175" s="717"/>
      <c r="Q175" s="24">
        <f t="shared" si="33"/>
        <v>0</v>
      </c>
      <c r="R175" s="713">
        <f t="shared" si="34"/>
        <v>0</v>
      </c>
      <c r="S175" s="361">
        <f t="shared" si="25"/>
        <v>0</v>
      </c>
    </row>
    <row r="176" spans="1:19">
      <c r="A176" s="715"/>
      <c r="B176" s="715"/>
      <c r="C176" s="24">
        <f t="shared" si="26"/>
        <v>1</v>
      </c>
      <c r="D176" s="717"/>
      <c r="E176" s="24">
        <f t="shared" si="27"/>
        <v>0.04</v>
      </c>
      <c r="F176" s="717"/>
      <c r="G176" s="24">
        <f t="shared" si="28"/>
        <v>0.1</v>
      </c>
      <c r="H176" s="717"/>
      <c r="I176" s="24">
        <f t="shared" si="29"/>
        <v>0.02</v>
      </c>
      <c r="J176" s="717"/>
      <c r="K176" s="24">
        <f t="shared" si="30"/>
        <v>1</v>
      </c>
      <c r="L176" s="717"/>
      <c r="M176" s="24">
        <f t="shared" si="31"/>
        <v>1</v>
      </c>
      <c r="N176" s="717"/>
      <c r="O176" s="24">
        <f t="shared" si="32"/>
        <v>1</v>
      </c>
      <c r="P176" s="717"/>
      <c r="Q176" s="24">
        <f t="shared" si="33"/>
        <v>0</v>
      </c>
      <c r="R176" s="713">
        <f t="shared" si="34"/>
        <v>0</v>
      </c>
      <c r="S176" s="361">
        <f t="shared" si="25"/>
        <v>0</v>
      </c>
    </row>
    <row r="177" spans="1:19">
      <c r="A177" s="715"/>
      <c r="B177" s="715"/>
      <c r="C177" s="24">
        <f t="shared" si="26"/>
        <v>1</v>
      </c>
      <c r="D177" s="717"/>
      <c r="E177" s="24">
        <f t="shared" si="27"/>
        <v>0.04</v>
      </c>
      <c r="F177" s="717"/>
      <c r="G177" s="24">
        <f t="shared" si="28"/>
        <v>0.1</v>
      </c>
      <c r="H177" s="717"/>
      <c r="I177" s="24">
        <f t="shared" si="29"/>
        <v>0.02</v>
      </c>
      <c r="J177" s="717"/>
      <c r="K177" s="24">
        <f t="shared" si="30"/>
        <v>1</v>
      </c>
      <c r="L177" s="717"/>
      <c r="M177" s="24">
        <f t="shared" si="31"/>
        <v>1</v>
      </c>
      <c r="N177" s="717"/>
      <c r="O177" s="24">
        <f t="shared" si="32"/>
        <v>1</v>
      </c>
      <c r="P177" s="717"/>
      <c r="Q177" s="24">
        <f t="shared" si="33"/>
        <v>0</v>
      </c>
      <c r="R177" s="713">
        <f t="shared" si="34"/>
        <v>0</v>
      </c>
      <c r="S177" s="361">
        <f t="shared" si="25"/>
        <v>0</v>
      </c>
    </row>
    <row r="178" spans="1:19">
      <c r="A178" s="715"/>
      <c r="B178" s="715"/>
      <c r="C178" s="24">
        <f t="shared" si="26"/>
        <v>1</v>
      </c>
      <c r="D178" s="717"/>
      <c r="E178" s="24">
        <f t="shared" si="27"/>
        <v>0.04</v>
      </c>
      <c r="F178" s="717"/>
      <c r="G178" s="24">
        <f t="shared" si="28"/>
        <v>0.1</v>
      </c>
      <c r="H178" s="717"/>
      <c r="I178" s="24">
        <f t="shared" si="29"/>
        <v>0.02</v>
      </c>
      <c r="J178" s="717"/>
      <c r="K178" s="24">
        <f t="shared" si="30"/>
        <v>1</v>
      </c>
      <c r="L178" s="717"/>
      <c r="M178" s="24">
        <f t="shared" si="31"/>
        <v>1</v>
      </c>
      <c r="N178" s="717"/>
      <c r="O178" s="24">
        <f t="shared" si="32"/>
        <v>1</v>
      </c>
      <c r="P178" s="717"/>
      <c r="Q178" s="24">
        <f t="shared" si="33"/>
        <v>0</v>
      </c>
      <c r="R178" s="713">
        <f t="shared" si="34"/>
        <v>0</v>
      </c>
      <c r="S178" s="361">
        <f t="shared" si="25"/>
        <v>0</v>
      </c>
    </row>
    <row r="179" spans="1:19">
      <c r="A179" s="715"/>
      <c r="B179" s="715"/>
      <c r="C179" s="24">
        <f t="shared" si="26"/>
        <v>1</v>
      </c>
      <c r="D179" s="717"/>
      <c r="E179" s="24">
        <f t="shared" si="27"/>
        <v>0.04</v>
      </c>
      <c r="F179" s="717"/>
      <c r="G179" s="24">
        <f t="shared" si="28"/>
        <v>0.1</v>
      </c>
      <c r="H179" s="717"/>
      <c r="I179" s="24">
        <f t="shared" si="29"/>
        <v>0.02</v>
      </c>
      <c r="J179" s="717"/>
      <c r="K179" s="24">
        <f t="shared" si="30"/>
        <v>1</v>
      </c>
      <c r="L179" s="717"/>
      <c r="M179" s="24">
        <f t="shared" si="31"/>
        <v>1</v>
      </c>
      <c r="N179" s="717"/>
      <c r="O179" s="24">
        <f t="shared" si="32"/>
        <v>1</v>
      </c>
      <c r="P179" s="717"/>
      <c r="Q179" s="24">
        <f t="shared" si="33"/>
        <v>0</v>
      </c>
      <c r="R179" s="713">
        <f t="shared" si="34"/>
        <v>0</v>
      </c>
      <c r="S179" s="361">
        <f t="shared" si="25"/>
        <v>0</v>
      </c>
    </row>
    <row r="180" spans="1:19">
      <c r="A180" s="715"/>
      <c r="B180" s="715"/>
      <c r="C180" s="24">
        <f t="shared" si="26"/>
        <v>1</v>
      </c>
      <c r="D180" s="717"/>
      <c r="E180" s="24">
        <f t="shared" si="27"/>
        <v>0.04</v>
      </c>
      <c r="F180" s="717"/>
      <c r="G180" s="24">
        <f t="shared" si="28"/>
        <v>0.1</v>
      </c>
      <c r="H180" s="717"/>
      <c r="I180" s="24">
        <f t="shared" si="29"/>
        <v>0.02</v>
      </c>
      <c r="J180" s="717"/>
      <c r="K180" s="24">
        <f t="shared" si="30"/>
        <v>1</v>
      </c>
      <c r="L180" s="717"/>
      <c r="M180" s="24">
        <f t="shared" si="31"/>
        <v>1</v>
      </c>
      <c r="N180" s="717"/>
      <c r="O180" s="24">
        <f t="shared" si="32"/>
        <v>1</v>
      </c>
      <c r="P180" s="717"/>
      <c r="Q180" s="24">
        <f t="shared" si="33"/>
        <v>0</v>
      </c>
      <c r="R180" s="713">
        <f t="shared" si="34"/>
        <v>0</v>
      </c>
      <c r="S180" s="361">
        <f t="shared" si="25"/>
        <v>0</v>
      </c>
    </row>
    <row r="181" spans="1:19">
      <c r="A181" s="715"/>
      <c r="B181" s="715"/>
      <c r="C181" s="24">
        <f t="shared" si="26"/>
        <v>1</v>
      </c>
      <c r="D181" s="717"/>
      <c r="E181" s="24">
        <f t="shared" si="27"/>
        <v>0.04</v>
      </c>
      <c r="F181" s="717"/>
      <c r="G181" s="24">
        <f t="shared" si="28"/>
        <v>0.1</v>
      </c>
      <c r="H181" s="717"/>
      <c r="I181" s="24">
        <f t="shared" si="29"/>
        <v>0.02</v>
      </c>
      <c r="J181" s="717"/>
      <c r="K181" s="24">
        <f t="shared" si="30"/>
        <v>1</v>
      </c>
      <c r="L181" s="717"/>
      <c r="M181" s="24">
        <f t="shared" si="31"/>
        <v>1</v>
      </c>
      <c r="N181" s="717"/>
      <c r="O181" s="24">
        <f t="shared" si="32"/>
        <v>1</v>
      </c>
      <c r="P181" s="717"/>
      <c r="Q181" s="24">
        <f t="shared" si="33"/>
        <v>0</v>
      </c>
      <c r="R181" s="713">
        <f t="shared" si="34"/>
        <v>0</v>
      </c>
      <c r="S181" s="361">
        <f t="shared" si="25"/>
        <v>0</v>
      </c>
    </row>
    <row r="182" spans="1:19">
      <c r="A182" s="715"/>
      <c r="B182" s="715"/>
      <c r="C182" s="24">
        <f t="shared" si="26"/>
        <v>1</v>
      </c>
      <c r="D182" s="717"/>
      <c r="E182" s="24">
        <f t="shared" si="27"/>
        <v>0.04</v>
      </c>
      <c r="F182" s="717"/>
      <c r="G182" s="24">
        <f t="shared" si="28"/>
        <v>0.1</v>
      </c>
      <c r="H182" s="717"/>
      <c r="I182" s="24">
        <f t="shared" si="29"/>
        <v>0.02</v>
      </c>
      <c r="J182" s="717"/>
      <c r="K182" s="24">
        <f t="shared" si="30"/>
        <v>1</v>
      </c>
      <c r="L182" s="717"/>
      <c r="M182" s="24">
        <f t="shared" si="31"/>
        <v>1</v>
      </c>
      <c r="N182" s="717"/>
      <c r="O182" s="24">
        <f t="shared" si="32"/>
        <v>1</v>
      </c>
      <c r="P182" s="717"/>
      <c r="Q182" s="24">
        <f t="shared" si="33"/>
        <v>0</v>
      </c>
      <c r="R182" s="713">
        <f t="shared" si="34"/>
        <v>0</v>
      </c>
      <c r="S182" s="361">
        <f t="shared" si="25"/>
        <v>0</v>
      </c>
    </row>
    <row r="183" spans="1:19">
      <c r="A183" s="715"/>
      <c r="B183" s="715"/>
      <c r="C183" s="24">
        <f t="shared" si="26"/>
        <v>1</v>
      </c>
      <c r="D183" s="717"/>
      <c r="E183" s="24">
        <f t="shared" si="27"/>
        <v>0.04</v>
      </c>
      <c r="F183" s="717"/>
      <c r="G183" s="24">
        <f t="shared" si="28"/>
        <v>0.1</v>
      </c>
      <c r="H183" s="717"/>
      <c r="I183" s="24">
        <f t="shared" si="29"/>
        <v>0.02</v>
      </c>
      <c r="J183" s="717"/>
      <c r="K183" s="24">
        <f t="shared" si="30"/>
        <v>1</v>
      </c>
      <c r="L183" s="717"/>
      <c r="M183" s="24">
        <f t="shared" si="31"/>
        <v>1</v>
      </c>
      <c r="N183" s="717"/>
      <c r="O183" s="24">
        <f t="shared" si="32"/>
        <v>1</v>
      </c>
      <c r="P183" s="717"/>
      <c r="Q183" s="24">
        <f t="shared" si="33"/>
        <v>0</v>
      </c>
      <c r="R183" s="713">
        <f t="shared" si="34"/>
        <v>0</v>
      </c>
      <c r="S183" s="361">
        <f t="shared" si="25"/>
        <v>0</v>
      </c>
    </row>
    <row r="184" spans="1:19">
      <c r="A184" s="715"/>
      <c r="B184" s="715"/>
      <c r="C184" s="24">
        <f t="shared" si="26"/>
        <v>1</v>
      </c>
      <c r="D184" s="717"/>
      <c r="E184" s="24">
        <f t="shared" si="27"/>
        <v>0.04</v>
      </c>
      <c r="F184" s="717"/>
      <c r="G184" s="24">
        <f t="shared" si="28"/>
        <v>0.1</v>
      </c>
      <c r="H184" s="717"/>
      <c r="I184" s="24">
        <f t="shared" si="29"/>
        <v>0.02</v>
      </c>
      <c r="J184" s="717"/>
      <c r="K184" s="24">
        <f t="shared" si="30"/>
        <v>1</v>
      </c>
      <c r="L184" s="717"/>
      <c r="M184" s="24">
        <f t="shared" si="31"/>
        <v>1</v>
      </c>
      <c r="N184" s="717"/>
      <c r="O184" s="24">
        <f t="shared" si="32"/>
        <v>1</v>
      </c>
      <c r="P184" s="717"/>
      <c r="Q184" s="24">
        <f t="shared" si="33"/>
        <v>0</v>
      </c>
      <c r="R184" s="713">
        <f t="shared" si="34"/>
        <v>0</v>
      </c>
      <c r="S184" s="361">
        <f t="shared" si="25"/>
        <v>0</v>
      </c>
    </row>
    <row r="185" spans="1:19">
      <c r="A185" s="715"/>
      <c r="B185" s="715"/>
      <c r="C185" s="24">
        <f t="shared" si="26"/>
        <v>1</v>
      </c>
      <c r="D185" s="717"/>
      <c r="E185" s="24">
        <f t="shared" si="27"/>
        <v>0.04</v>
      </c>
      <c r="F185" s="717"/>
      <c r="G185" s="24">
        <f t="shared" si="28"/>
        <v>0.1</v>
      </c>
      <c r="H185" s="717"/>
      <c r="I185" s="24">
        <f t="shared" si="29"/>
        <v>0.02</v>
      </c>
      <c r="J185" s="717"/>
      <c r="K185" s="24">
        <f t="shared" si="30"/>
        <v>1</v>
      </c>
      <c r="L185" s="717"/>
      <c r="M185" s="24">
        <f t="shared" si="31"/>
        <v>1</v>
      </c>
      <c r="N185" s="717"/>
      <c r="O185" s="24">
        <f t="shared" si="32"/>
        <v>1</v>
      </c>
      <c r="P185" s="717"/>
      <c r="Q185" s="24">
        <f t="shared" si="33"/>
        <v>0</v>
      </c>
      <c r="R185" s="713">
        <f t="shared" si="34"/>
        <v>0</v>
      </c>
      <c r="S185" s="361">
        <f t="shared" si="25"/>
        <v>0</v>
      </c>
    </row>
    <row r="186" spans="1:19">
      <c r="A186" s="715"/>
      <c r="B186" s="715"/>
      <c r="C186" s="24">
        <f t="shared" si="26"/>
        <v>1</v>
      </c>
      <c r="D186" s="717"/>
      <c r="E186" s="24">
        <f t="shared" si="27"/>
        <v>0.04</v>
      </c>
      <c r="F186" s="717"/>
      <c r="G186" s="24">
        <f t="shared" si="28"/>
        <v>0.1</v>
      </c>
      <c r="H186" s="717"/>
      <c r="I186" s="24">
        <f t="shared" si="29"/>
        <v>0.02</v>
      </c>
      <c r="J186" s="717"/>
      <c r="K186" s="24">
        <f t="shared" si="30"/>
        <v>1</v>
      </c>
      <c r="L186" s="717"/>
      <c r="M186" s="24">
        <f t="shared" si="31"/>
        <v>1</v>
      </c>
      <c r="N186" s="717"/>
      <c r="O186" s="24">
        <f t="shared" si="32"/>
        <v>1</v>
      </c>
      <c r="P186" s="717"/>
      <c r="Q186" s="24">
        <f t="shared" si="33"/>
        <v>0</v>
      </c>
      <c r="R186" s="713">
        <f t="shared" si="34"/>
        <v>0</v>
      </c>
      <c r="S186" s="361">
        <f t="shared" si="25"/>
        <v>0</v>
      </c>
    </row>
    <row r="187" spans="1:19">
      <c r="A187" s="715"/>
      <c r="B187" s="715"/>
      <c r="C187" s="24">
        <f t="shared" si="26"/>
        <v>1</v>
      </c>
      <c r="D187" s="717"/>
      <c r="E187" s="24">
        <f t="shared" si="27"/>
        <v>0.04</v>
      </c>
      <c r="F187" s="717"/>
      <c r="G187" s="24">
        <f t="shared" si="28"/>
        <v>0.1</v>
      </c>
      <c r="H187" s="717"/>
      <c r="I187" s="24">
        <f t="shared" si="29"/>
        <v>0.02</v>
      </c>
      <c r="J187" s="717"/>
      <c r="K187" s="24">
        <f t="shared" si="30"/>
        <v>1</v>
      </c>
      <c r="L187" s="717"/>
      <c r="M187" s="24">
        <f t="shared" si="31"/>
        <v>1</v>
      </c>
      <c r="N187" s="717"/>
      <c r="O187" s="24">
        <f t="shared" si="32"/>
        <v>1</v>
      </c>
      <c r="P187" s="717"/>
      <c r="Q187" s="24">
        <f t="shared" si="33"/>
        <v>0</v>
      </c>
      <c r="R187" s="713">
        <f t="shared" si="34"/>
        <v>0</v>
      </c>
      <c r="S187" s="361">
        <f t="shared" si="25"/>
        <v>0</v>
      </c>
    </row>
    <row r="188" spans="1:19">
      <c r="A188" s="715"/>
      <c r="B188" s="715"/>
      <c r="C188" s="24">
        <f t="shared" si="26"/>
        <v>1</v>
      </c>
      <c r="D188" s="717"/>
      <c r="E188" s="24">
        <f t="shared" si="27"/>
        <v>0.04</v>
      </c>
      <c r="F188" s="717"/>
      <c r="G188" s="24">
        <f t="shared" si="28"/>
        <v>0.1</v>
      </c>
      <c r="H188" s="717"/>
      <c r="I188" s="24">
        <f t="shared" si="29"/>
        <v>0.02</v>
      </c>
      <c r="J188" s="717"/>
      <c r="K188" s="24">
        <f t="shared" si="30"/>
        <v>1</v>
      </c>
      <c r="L188" s="717"/>
      <c r="M188" s="24">
        <f t="shared" si="31"/>
        <v>1</v>
      </c>
      <c r="N188" s="717"/>
      <c r="O188" s="24">
        <f t="shared" si="32"/>
        <v>1</v>
      </c>
      <c r="P188" s="717"/>
      <c r="Q188" s="24">
        <f t="shared" si="33"/>
        <v>0</v>
      </c>
      <c r="R188" s="713">
        <f t="shared" si="34"/>
        <v>0</v>
      </c>
      <c r="S188" s="361">
        <f t="shared" si="25"/>
        <v>0</v>
      </c>
    </row>
    <row r="189" spans="1:19">
      <c r="A189" s="715"/>
      <c r="B189" s="715"/>
      <c r="C189" s="24">
        <f t="shared" si="26"/>
        <v>1</v>
      </c>
      <c r="D189" s="717"/>
      <c r="E189" s="24">
        <f t="shared" si="27"/>
        <v>0.04</v>
      </c>
      <c r="F189" s="717"/>
      <c r="G189" s="24">
        <f t="shared" si="28"/>
        <v>0.1</v>
      </c>
      <c r="H189" s="717"/>
      <c r="I189" s="24">
        <f t="shared" si="29"/>
        <v>0.02</v>
      </c>
      <c r="J189" s="717"/>
      <c r="K189" s="24">
        <f t="shared" si="30"/>
        <v>1</v>
      </c>
      <c r="L189" s="717"/>
      <c r="M189" s="24">
        <f t="shared" si="31"/>
        <v>1</v>
      </c>
      <c r="N189" s="717"/>
      <c r="O189" s="24">
        <f t="shared" si="32"/>
        <v>1</v>
      </c>
      <c r="P189" s="717"/>
      <c r="Q189" s="24">
        <f t="shared" si="33"/>
        <v>0</v>
      </c>
      <c r="R189" s="713">
        <f t="shared" si="34"/>
        <v>0</v>
      </c>
      <c r="S189" s="361">
        <f t="shared" si="25"/>
        <v>0</v>
      </c>
    </row>
    <row r="190" spans="1:19">
      <c r="A190" s="715"/>
      <c r="B190" s="715"/>
      <c r="C190" s="24">
        <f t="shared" si="26"/>
        <v>1</v>
      </c>
      <c r="D190" s="717"/>
      <c r="E190" s="24">
        <f t="shared" si="27"/>
        <v>0.04</v>
      </c>
      <c r="F190" s="717"/>
      <c r="G190" s="24">
        <f t="shared" si="28"/>
        <v>0.1</v>
      </c>
      <c r="H190" s="717"/>
      <c r="I190" s="24">
        <f t="shared" si="29"/>
        <v>0.02</v>
      </c>
      <c r="J190" s="717"/>
      <c r="K190" s="24">
        <f t="shared" si="30"/>
        <v>1</v>
      </c>
      <c r="L190" s="717"/>
      <c r="M190" s="24">
        <f t="shared" si="31"/>
        <v>1</v>
      </c>
      <c r="N190" s="717"/>
      <c r="O190" s="24">
        <f t="shared" si="32"/>
        <v>1</v>
      </c>
      <c r="P190" s="717"/>
      <c r="Q190" s="24">
        <f t="shared" si="33"/>
        <v>0</v>
      </c>
      <c r="R190" s="713">
        <f t="shared" si="34"/>
        <v>0</v>
      </c>
      <c r="S190" s="361">
        <f t="shared" si="25"/>
        <v>0</v>
      </c>
    </row>
    <row r="191" spans="1:19">
      <c r="A191" s="715"/>
      <c r="B191" s="715"/>
      <c r="C191" s="24">
        <f t="shared" si="26"/>
        <v>1</v>
      </c>
      <c r="D191" s="717"/>
      <c r="E191" s="24">
        <f t="shared" si="27"/>
        <v>0.04</v>
      </c>
      <c r="F191" s="717"/>
      <c r="G191" s="24">
        <f t="shared" si="28"/>
        <v>0.1</v>
      </c>
      <c r="H191" s="717"/>
      <c r="I191" s="24">
        <f t="shared" si="29"/>
        <v>0.02</v>
      </c>
      <c r="J191" s="717"/>
      <c r="K191" s="24">
        <f t="shared" si="30"/>
        <v>1</v>
      </c>
      <c r="L191" s="717"/>
      <c r="M191" s="24">
        <f t="shared" si="31"/>
        <v>1</v>
      </c>
      <c r="N191" s="717"/>
      <c r="O191" s="24">
        <f t="shared" si="32"/>
        <v>1</v>
      </c>
      <c r="P191" s="717"/>
      <c r="Q191" s="24">
        <f t="shared" si="33"/>
        <v>0</v>
      </c>
      <c r="R191" s="713">
        <f t="shared" si="34"/>
        <v>0</v>
      </c>
      <c r="S191" s="361">
        <f t="shared" si="25"/>
        <v>0</v>
      </c>
    </row>
    <row r="192" spans="1:19">
      <c r="A192" s="715"/>
      <c r="B192" s="715"/>
      <c r="C192" s="24">
        <f t="shared" si="26"/>
        <v>1</v>
      </c>
      <c r="D192" s="717"/>
      <c r="E192" s="24">
        <f t="shared" si="27"/>
        <v>0.04</v>
      </c>
      <c r="F192" s="717"/>
      <c r="G192" s="24">
        <f t="shared" si="28"/>
        <v>0.1</v>
      </c>
      <c r="H192" s="717"/>
      <c r="I192" s="24">
        <f t="shared" si="29"/>
        <v>0.02</v>
      </c>
      <c r="J192" s="717"/>
      <c r="K192" s="24">
        <f t="shared" si="30"/>
        <v>1</v>
      </c>
      <c r="L192" s="717"/>
      <c r="M192" s="24">
        <f t="shared" si="31"/>
        <v>1</v>
      </c>
      <c r="N192" s="717"/>
      <c r="O192" s="24">
        <f t="shared" si="32"/>
        <v>1</v>
      </c>
      <c r="P192" s="717"/>
      <c r="Q192" s="24">
        <f t="shared" si="33"/>
        <v>0</v>
      </c>
      <c r="R192" s="713">
        <f t="shared" si="34"/>
        <v>0</v>
      </c>
      <c r="S192" s="361">
        <f t="shared" si="25"/>
        <v>0</v>
      </c>
    </row>
    <row r="193" spans="1:19">
      <c r="A193" s="715"/>
      <c r="B193" s="715"/>
      <c r="C193" s="24">
        <f t="shared" si="26"/>
        <v>1</v>
      </c>
      <c r="D193" s="717"/>
      <c r="E193" s="24">
        <f t="shared" si="27"/>
        <v>0.04</v>
      </c>
      <c r="F193" s="717"/>
      <c r="G193" s="24">
        <f t="shared" si="28"/>
        <v>0.1</v>
      </c>
      <c r="H193" s="717"/>
      <c r="I193" s="24">
        <f t="shared" si="29"/>
        <v>0.02</v>
      </c>
      <c r="J193" s="717"/>
      <c r="K193" s="24">
        <f t="shared" si="30"/>
        <v>1</v>
      </c>
      <c r="L193" s="717"/>
      <c r="M193" s="24">
        <f t="shared" si="31"/>
        <v>1</v>
      </c>
      <c r="N193" s="717"/>
      <c r="O193" s="24">
        <f t="shared" si="32"/>
        <v>1</v>
      </c>
      <c r="P193" s="717"/>
      <c r="Q193" s="24">
        <f t="shared" si="33"/>
        <v>0</v>
      </c>
      <c r="R193" s="713">
        <f t="shared" si="34"/>
        <v>0</v>
      </c>
      <c r="S193" s="361">
        <f t="shared" si="25"/>
        <v>0</v>
      </c>
    </row>
    <row r="194" spans="1:19">
      <c r="A194" s="715"/>
      <c r="B194" s="715"/>
      <c r="C194" s="24">
        <f t="shared" si="26"/>
        <v>1</v>
      </c>
      <c r="D194" s="717"/>
      <c r="E194" s="24">
        <f t="shared" si="27"/>
        <v>0.04</v>
      </c>
      <c r="F194" s="717"/>
      <c r="G194" s="24">
        <f t="shared" si="28"/>
        <v>0.1</v>
      </c>
      <c r="H194" s="717"/>
      <c r="I194" s="24">
        <f t="shared" si="29"/>
        <v>0.02</v>
      </c>
      <c r="J194" s="717"/>
      <c r="K194" s="24">
        <f t="shared" si="30"/>
        <v>1</v>
      </c>
      <c r="L194" s="717"/>
      <c r="M194" s="24">
        <f t="shared" si="31"/>
        <v>1</v>
      </c>
      <c r="N194" s="717"/>
      <c r="O194" s="24">
        <f t="shared" si="32"/>
        <v>1</v>
      </c>
      <c r="P194" s="717"/>
      <c r="Q194" s="24">
        <f t="shared" si="33"/>
        <v>0</v>
      </c>
      <c r="R194" s="713">
        <f t="shared" si="34"/>
        <v>0</v>
      </c>
      <c r="S194" s="361">
        <f t="shared" si="25"/>
        <v>0</v>
      </c>
    </row>
    <row r="195" spans="1:19">
      <c r="A195" s="715"/>
      <c r="B195" s="715"/>
      <c r="C195" s="24">
        <f t="shared" si="26"/>
        <v>1</v>
      </c>
      <c r="D195" s="717"/>
      <c r="E195" s="24">
        <f t="shared" si="27"/>
        <v>0.04</v>
      </c>
      <c r="F195" s="717"/>
      <c r="G195" s="24">
        <f t="shared" si="28"/>
        <v>0.1</v>
      </c>
      <c r="H195" s="717"/>
      <c r="I195" s="24">
        <f t="shared" si="29"/>
        <v>0.02</v>
      </c>
      <c r="J195" s="717"/>
      <c r="K195" s="24">
        <f t="shared" si="30"/>
        <v>1</v>
      </c>
      <c r="L195" s="717"/>
      <c r="M195" s="24">
        <f t="shared" si="31"/>
        <v>1</v>
      </c>
      <c r="N195" s="717"/>
      <c r="O195" s="24">
        <f t="shared" si="32"/>
        <v>1</v>
      </c>
      <c r="P195" s="717"/>
      <c r="Q195" s="24">
        <f t="shared" si="33"/>
        <v>0</v>
      </c>
      <c r="R195" s="713">
        <f t="shared" si="34"/>
        <v>0</v>
      </c>
      <c r="S195" s="361">
        <f t="shared" si="25"/>
        <v>0</v>
      </c>
    </row>
    <row r="196" spans="1:19">
      <c r="A196" s="715"/>
      <c r="B196" s="715"/>
      <c r="C196" s="24">
        <f t="shared" si="26"/>
        <v>1</v>
      </c>
      <c r="D196" s="717"/>
      <c r="E196" s="24">
        <f t="shared" si="27"/>
        <v>0.04</v>
      </c>
      <c r="F196" s="717"/>
      <c r="G196" s="24">
        <f t="shared" si="28"/>
        <v>0.1</v>
      </c>
      <c r="H196" s="717"/>
      <c r="I196" s="24">
        <f t="shared" si="29"/>
        <v>0.02</v>
      </c>
      <c r="J196" s="717"/>
      <c r="K196" s="24">
        <f t="shared" si="30"/>
        <v>1</v>
      </c>
      <c r="L196" s="717"/>
      <c r="M196" s="24">
        <f t="shared" si="31"/>
        <v>1</v>
      </c>
      <c r="N196" s="717"/>
      <c r="O196" s="24">
        <f t="shared" si="32"/>
        <v>1</v>
      </c>
      <c r="P196" s="717"/>
      <c r="Q196" s="24">
        <f t="shared" si="33"/>
        <v>0</v>
      </c>
      <c r="R196" s="713">
        <f t="shared" si="34"/>
        <v>0</v>
      </c>
      <c r="S196" s="361">
        <f t="shared" si="25"/>
        <v>0</v>
      </c>
    </row>
    <row r="197" spans="1:19">
      <c r="A197" s="715"/>
      <c r="B197" s="715"/>
      <c r="C197" s="24">
        <f t="shared" si="26"/>
        <v>1</v>
      </c>
      <c r="D197" s="717"/>
      <c r="E197" s="24">
        <f t="shared" si="27"/>
        <v>0.04</v>
      </c>
      <c r="F197" s="717"/>
      <c r="G197" s="24">
        <f t="shared" si="28"/>
        <v>0.1</v>
      </c>
      <c r="H197" s="717"/>
      <c r="I197" s="24">
        <f t="shared" si="29"/>
        <v>0.02</v>
      </c>
      <c r="J197" s="717"/>
      <c r="K197" s="24">
        <f t="shared" si="30"/>
        <v>1</v>
      </c>
      <c r="L197" s="717"/>
      <c r="M197" s="24">
        <f t="shared" si="31"/>
        <v>1</v>
      </c>
      <c r="N197" s="717"/>
      <c r="O197" s="24">
        <f t="shared" si="32"/>
        <v>1</v>
      </c>
      <c r="P197" s="717"/>
      <c r="Q197" s="24">
        <f t="shared" si="33"/>
        <v>0</v>
      </c>
      <c r="R197" s="713">
        <f t="shared" si="34"/>
        <v>0</v>
      </c>
      <c r="S197" s="361">
        <f t="shared" si="25"/>
        <v>0</v>
      </c>
    </row>
    <row r="198" spans="1:19">
      <c r="A198" s="715"/>
      <c r="B198" s="715"/>
      <c r="C198" s="24">
        <f t="shared" si="26"/>
        <v>1</v>
      </c>
      <c r="D198" s="717"/>
      <c r="E198" s="24">
        <f t="shared" si="27"/>
        <v>0.04</v>
      </c>
      <c r="F198" s="717"/>
      <c r="G198" s="24">
        <f t="shared" si="28"/>
        <v>0.1</v>
      </c>
      <c r="H198" s="717"/>
      <c r="I198" s="24">
        <f t="shared" si="29"/>
        <v>0.02</v>
      </c>
      <c r="J198" s="717"/>
      <c r="K198" s="24">
        <f t="shared" si="30"/>
        <v>1</v>
      </c>
      <c r="L198" s="717"/>
      <c r="M198" s="24">
        <f t="shared" si="31"/>
        <v>1</v>
      </c>
      <c r="N198" s="717"/>
      <c r="O198" s="24">
        <f t="shared" si="32"/>
        <v>1</v>
      </c>
      <c r="P198" s="717"/>
      <c r="Q198" s="24">
        <f t="shared" si="33"/>
        <v>0</v>
      </c>
      <c r="R198" s="713">
        <f t="shared" si="34"/>
        <v>0</v>
      </c>
      <c r="S198" s="361">
        <f t="shared" si="25"/>
        <v>0</v>
      </c>
    </row>
    <row r="199" spans="1:19">
      <c r="A199" s="715"/>
      <c r="B199" s="715"/>
      <c r="C199" s="24">
        <f t="shared" si="26"/>
        <v>1</v>
      </c>
      <c r="D199" s="717"/>
      <c r="E199" s="24">
        <f t="shared" si="27"/>
        <v>0.04</v>
      </c>
      <c r="F199" s="717"/>
      <c r="G199" s="24">
        <f t="shared" si="28"/>
        <v>0.1</v>
      </c>
      <c r="H199" s="717"/>
      <c r="I199" s="24">
        <f t="shared" si="29"/>
        <v>0.02</v>
      </c>
      <c r="J199" s="717"/>
      <c r="K199" s="24">
        <f t="shared" si="30"/>
        <v>1</v>
      </c>
      <c r="L199" s="717"/>
      <c r="M199" s="24">
        <f t="shared" si="31"/>
        <v>1</v>
      </c>
      <c r="N199" s="717"/>
      <c r="O199" s="24">
        <f t="shared" si="32"/>
        <v>1</v>
      </c>
      <c r="P199" s="717"/>
      <c r="Q199" s="24">
        <f t="shared" si="33"/>
        <v>0</v>
      </c>
      <c r="R199" s="713">
        <f t="shared" si="34"/>
        <v>0</v>
      </c>
      <c r="S199" s="361">
        <f t="shared" si="25"/>
        <v>0</v>
      </c>
    </row>
    <row r="200" spans="1:19">
      <c r="A200" s="715"/>
      <c r="B200" s="715"/>
      <c r="C200" s="24">
        <f t="shared" si="26"/>
        <v>1</v>
      </c>
      <c r="D200" s="717"/>
      <c r="E200" s="24">
        <f t="shared" si="27"/>
        <v>0.04</v>
      </c>
      <c r="F200" s="717"/>
      <c r="G200" s="24">
        <f t="shared" si="28"/>
        <v>0.1</v>
      </c>
      <c r="H200" s="717"/>
      <c r="I200" s="24">
        <f t="shared" si="29"/>
        <v>0.02</v>
      </c>
      <c r="J200" s="717"/>
      <c r="K200" s="24">
        <f t="shared" si="30"/>
        <v>1</v>
      </c>
      <c r="L200" s="717"/>
      <c r="M200" s="24">
        <f t="shared" si="31"/>
        <v>1</v>
      </c>
      <c r="N200" s="717"/>
      <c r="O200" s="24">
        <f t="shared" si="32"/>
        <v>1</v>
      </c>
      <c r="P200" s="717"/>
      <c r="Q200" s="24">
        <f t="shared" si="33"/>
        <v>0</v>
      </c>
      <c r="R200" s="713">
        <f t="shared" si="34"/>
        <v>0</v>
      </c>
      <c r="S200" s="361">
        <f t="shared" si="25"/>
        <v>0</v>
      </c>
    </row>
    <row r="201" spans="1:19">
      <c r="A201" s="715"/>
      <c r="B201" s="715"/>
      <c r="C201" s="24">
        <f t="shared" si="26"/>
        <v>1</v>
      </c>
      <c r="D201" s="717"/>
      <c r="E201" s="24">
        <f t="shared" si="27"/>
        <v>0.04</v>
      </c>
      <c r="F201" s="717"/>
      <c r="G201" s="24">
        <f t="shared" si="28"/>
        <v>0.1</v>
      </c>
      <c r="H201" s="717"/>
      <c r="I201" s="24">
        <f t="shared" si="29"/>
        <v>0.02</v>
      </c>
      <c r="J201" s="717"/>
      <c r="K201" s="24">
        <f t="shared" si="30"/>
        <v>1</v>
      </c>
      <c r="L201" s="717"/>
      <c r="M201" s="24">
        <f t="shared" si="31"/>
        <v>1</v>
      </c>
      <c r="N201" s="717"/>
      <c r="O201" s="24">
        <f t="shared" si="32"/>
        <v>1</v>
      </c>
      <c r="P201" s="717"/>
      <c r="Q201" s="24">
        <f t="shared" si="33"/>
        <v>0</v>
      </c>
      <c r="R201" s="713">
        <f t="shared" si="34"/>
        <v>0</v>
      </c>
      <c r="S201" s="361">
        <f t="shared" si="25"/>
        <v>0</v>
      </c>
    </row>
    <row r="202" spans="1:19">
      <c r="A202" s="715"/>
      <c r="B202" s="715"/>
      <c r="C202" s="24">
        <f t="shared" si="26"/>
        <v>1</v>
      </c>
      <c r="D202" s="717"/>
      <c r="E202" s="24">
        <f t="shared" si="27"/>
        <v>0.04</v>
      </c>
      <c r="F202" s="717"/>
      <c r="G202" s="24">
        <f t="shared" si="28"/>
        <v>0.1</v>
      </c>
      <c r="H202" s="717"/>
      <c r="I202" s="24">
        <f t="shared" si="29"/>
        <v>0.02</v>
      </c>
      <c r="J202" s="717"/>
      <c r="K202" s="24">
        <f t="shared" si="30"/>
        <v>1</v>
      </c>
      <c r="L202" s="717"/>
      <c r="M202" s="24">
        <f t="shared" si="31"/>
        <v>1</v>
      </c>
      <c r="N202" s="717"/>
      <c r="O202" s="24">
        <f t="shared" si="32"/>
        <v>1</v>
      </c>
      <c r="P202" s="717"/>
      <c r="Q202" s="24">
        <f t="shared" si="33"/>
        <v>0</v>
      </c>
      <c r="R202" s="713">
        <f t="shared" si="34"/>
        <v>0</v>
      </c>
      <c r="S202" s="361">
        <f t="shared" si="25"/>
        <v>0</v>
      </c>
    </row>
    <row r="203" spans="1:19">
      <c r="A203" s="715"/>
      <c r="B203" s="715"/>
      <c r="C203" s="24">
        <f t="shared" si="26"/>
        <v>1</v>
      </c>
      <c r="D203" s="717"/>
      <c r="E203" s="24">
        <f t="shared" si="27"/>
        <v>0.04</v>
      </c>
      <c r="F203" s="717"/>
      <c r="G203" s="24">
        <f t="shared" si="28"/>
        <v>0.1</v>
      </c>
      <c r="H203" s="717"/>
      <c r="I203" s="24">
        <f t="shared" si="29"/>
        <v>0.02</v>
      </c>
      <c r="J203" s="717"/>
      <c r="K203" s="24">
        <f t="shared" si="30"/>
        <v>1</v>
      </c>
      <c r="L203" s="717"/>
      <c r="M203" s="24">
        <f t="shared" si="31"/>
        <v>1</v>
      </c>
      <c r="N203" s="717"/>
      <c r="O203" s="24">
        <f t="shared" si="32"/>
        <v>1</v>
      </c>
      <c r="P203" s="717"/>
      <c r="Q203" s="24">
        <f t="shared" si="33"/>
        <v>0</v>
      </c>
      <c r="R203" s="713">
        <f t="shared" si="34"/>
        <v>0</v>
      </c>
      <c r="S203" s="361">
        <f t="shared" si="25"/>
        <v>0</v>
      </c>
    </row>
    <row r="204" spans="1:19">
      <c r="A204" s="715"/>
      <c r="B204" s="715"/>
      <c r="C204" s="24">
        <f t="shared" si="26"/>
        <v>1</v>
      </c>
      <c r="D204" s="717"/>
      <c r="E204" s="24">
        <f t="shared" si="27"/>
        <v>0.04</v>
      </c>
      <c r="F204" s="717"/>
      <c r="G204" s="24">
        <f t="shared" si="28"/>
        <v>0.1</v>
      </c>
      <c r="H204" s="717"/>
      <c r="I204" s="24">
        <f t="shared" si="29"/>
        <v>0.02</v>
      </c>
      <c r="J204" s="717"/>
      <c r="K204" s="24">
        <f t="shared" si="30"/>
        <v>1</v>
      </c>
      <c r="L204" s="717"/>
      <c r="M204" s="24">
        <f t="shared" si="31"/>
        <v>1</v>
      </c>
      <c r="N204" s="717"/>
      <c r="O204" s="24">
        <f t="shared" si="32"/>
        <v>1</v>
      </c>
      <c r="P204" s="717"/>
      <c r="Q204" s="24">
        <f t="shared" si="33"/>
        <v>0</v>
      </c>
      <c r="R204" s="713">
        <f t="shared" si="34"/>
        <v>0</v>
      </c>
      <c r="S204" s="361">
        <f t="shared" si="25"/>
        <v>0</v>
      </c>
    </row>
    <row r="205" spans="1:19">
      <c r="A205" s="715"/>
      <c r="B205" s="715"/>
      <c r="C205" s="24">
        <f t="shared" si="26"/>
        <v>1</v>
      </c>
      <c r="D205" s="717"/>
      <c r="E205" s="24">
        <f t="shared" si="27"/>
        <v>0.04</v>
      </c>
      <c r="F205" s="717"/>
      <c r="G205" s="24">
        <f t="shared" si="28"/>
        <v>0.1</v>
      </c>
      <c r="H205" s="717"/>
      <c r="I205" s="24">
        <f t="shared" si="29"/>
        <v>0.02</v>
      </c>
      <c r="J205" s="717"/>
      <c r="K205" s="24">
        <f t="shared" si="30"/>
        <v>1</v>
      </c>
      <c r="L205" s="717"/>
      <c r="M205" s="24">
        <f t="shared" si="31"/>
        <v>1</v>
      </c>
      <c r="N205" s="717"/>
      <c r="O205" s="24">
        <f t="shared" si="32"/>
        <v>1</v>
      </c>
      <c r="P205" s="717"/>
      <c r="Q205" s="24">
        <f t="shared" si="33"/>
        <v>0</v>
      </c>
      <c r="R205" s="713">
        <f t="shared" si="34"/>
        <v>0</v>
      </c>
      <c r="S205" s="361">
        <f t="shared" si="25"/>
        <v>0</v>
      </c>
    </row>
    <row r="206" spans="1:19">
      <c r="A206" s="715"/>
      <c r="B206" s="715"/>
      <c r="C206" s="24">
        <f t="shared" si="26"/>
        <v>1</v>
      </c>
      <c r="D206" s="717"/>
      <c r="E206" s="24">
        <f t="shared" si="27"/>
        <v>0.04</v>
      </c>
      <c r="F206" s="717"/>
      <c r="G206" s="24">
        <f t="shared" si="28"/>
        <v>0.1</v>
      </c>
      <c r="H206" s="717"/>
      <c r="I206" s="24">
        <f t="shared" si="29"/>
        <v>0.02</v>
      </c>
      <c r="J206" s="717"/>
      <c r="K206" s="24">
        <f t="shared" si="30"/>
        <v>1</v>
      </c>
      <c r="L206" s="717"/>
      <c r="M206" s="24">
        <f t="shared" si="31"/>
        <v>1</v>
      </c>
      <c r="N206" s="717"/>
      <c r="O206" s="24">
        <f t="shared" si="32"/>
        <v>1</v>
      </c>
      <c r="P206" s="717"/>
      <c r="Q206" s="24">
        <f t="shared" si="33"/>
        <v>0</v>
      </c>
      <c r="R206" s="713">
        <f t="shared" si="34"/>
        <v>0</v>
      </c>
      <c r="S206" s="361">
        <f t="shared" si="25"/>
        <v>0</v>
      </c>
    </row>
    <row r="207" spans="1:19">
      <c r="A207" s="715"/>
      <c r="B207" s="715"/>
      <c r="C207" s="24">
        <f t="shared" si="26"/>
        <v>1</v>
      </c>
      <c r="D207" s="717"/>
      <c r="E207" s="24">
        <f t="shared" si="27"/>
        <v>0.04</v>
      </c>
      <c r="F207" s="717"/>
      <c r="G207" s="24">
        <f t="shared" si="28"/>
        <v>0.1</v>
      </c>
      <c r="H207" s="717"/>
      <c r="I207" s="24">
        <f t="shared" si="29"/>
        <v>0.02</v>
      </c>
      <c r="J207" s="717"/>
      <c r="K207" s="24">
        <f t="shared" si="30"/>
        <v>1</v>
      </c>
      <c r="L207" s="717"/>
      <c r="M207" s="24">
        <f t="shared" si="31"/>
        <v>1</v>
      </c>
      <c r="N207" s="717"/>
      <c r="O207" s="24">
        <f t="shared" si="32"/>
        <v>1</v>
      </c>
      <c r="P207" s="717"/>
      <c r="Q207" s="24">
        <f t="shared" si="33"/>
        <v>0</v>
      </c>
      <c r="R207" s="713">
        <f t="shared" si="34"/>
        <v>0</v>
      </c>
      <c r="S207" s="361">
        <f t="shared" si="25"/>
        <v>0</v>
      </c>
    </row>
    <row r="208" spans="1:19">
      <c r="A208" s="715"/>
      <c r="B208" s="715"/>
      <c r="C208" s="24">
        <f t="shared" si="26"/>
        <v>1</v>
      </c>
      <c r="D208" s="717"/>
      <c r="E208" s="24">
        <f t="shared" si="27"/>
        <v>0.04</v>
      </c>
      <c r="F208" s="717"/>
      <c r="G208" s="24">
        <f t="shared" si="28"/>
        <v>0.1</v>
      </c>
      <c r="H208" s="717"/>
      <c r="I208" s="24">
        <f t="shared" si="29"/>
        <v>0.02</v>
      </c>
      <c r="J208" s="717"/>
      <c r="K208" s="24">
        <f t="shared" si="30"/>
        <v>1</v>
      </c>
      <c r="L208" s="717"/>
      <c r="M208" s="24">
        <f t="shared" si="31"/>
        <v>1</v>
      </c>
      <c r="N208" s="717"/>
      <c r="O208" s="24">
        <f t="shared" si="32"/>
        <v>1</v>
      </c>
      <c r="P208" s="717"/>
      <c r="Q208" s="24">
        <f t="shared" si="33"/>
        <v>0</v>
      </c>
      <c r="R208" s="713">
        <f t="shared" si="34"/>
        <v>0</v>
      </c>
      <c r="S208" s="361">
        <f t="shared" si="25"/>
        <v>0</v>
      </c>
    </row>
    <row r="209" spans="1:19">
      <c r="A209" s="715"/>
      <c r="B209" s="715"/>
      <c r="C209" s="24">
        <f t="shared" si="26"/>
        <v>1</v>
      </c>
      <c r="D209" s="717"/>
      <c r="E209" s="24">
        <f t="shared" si="27"/>
        <v>0.04</v>
      </c>
      <c r="F209" s="717"/>
      <c r="G209" s="24">
        <f t="shared" si="28"/>
        <v>0.1</v>
      </c>
      <c r="H209" s="717"/>
      <c r="I209" s="24">
        <f t="shared" si="29"/>
        <v>0.02</v>
      </c>
      <c r="J209" s="717"/>
      <c r="K209" s="24">
        <f t="shared" si="30"/>
        <v>1</v>
      </c>
      <c r="L209" s="717"/>
      <c r="M209" s="24">
        <f t="shared" si="31"/>
        <v>1</v>
      </c>
      <c r="N209" s="717"/>
      <c r="O209" s="24">
        <f t="shared" si="32"/>
        <v>1</v>
      </c>
      <c r="P209" s="717"/>
      <c r="Q209" s="24">
        <f t="shared" si="33"/>
        <v>0</v>
      </c>
      <c r="R209" s="713">
        <f t="shared" si="34"/>
        <v>0</v>
      </c>
      <c r="S209" s="361">
        <f t="shared" si="25"/>
        <v>0</v>
      </c>
    </row>
    <row r="210" spans="1:19">
      <c r="A210" s="715"/>
      <c r="B210" s="715"/>
      <c r="C210" s="24">
        <f t="shared" si="26"/>
        <v>1</v>
      </c>
      <c r="D210" s="717"/>
      <c r="E210" s="24">
        <f t="shared" si="27"/>
        <v>0.04</v>
      </c>
      <c r="F210" s="717"/>
      <c r="G210" s="24">
        <f t="shared" si="28"/>
        <v>0.1</v>
      </c>
      <c r="H210" s="717"/>
      <c r="I210" s="24">
        <f t="shared" si="29"/>
        <v>0.02</v>
      </c>
      <c r="J210" s="717"/>
      <c r="K210" s="24">
        <f t="shared" si="30"/>
        <v>1</v>
      </c>
      <c r="L210" s="717"/>
      <c r="M210" s="24">
        <f t="shared" si="31"/>
        <v>1</v>
      </c>
      <c r="N210" s="717"/>
      <c r="O210" s="24">
        <f t="shared" si="32"/>
        <v>1</v>
      </c>
      <c r="P210" s="717"/>
      <c r="Q210" s="24">
        <f t="shared" si="33"/>
        <v>0</v>
      </c>
      <c r="R210" s="713">
        <f t="shared" si="34"/>
        <v>0</v>
      </c>
      <c r="S210" s="361">
        <f t="shared" si="25"/>
        <v>0</v>
      </c>
    </row>
    <row r="211" spans="1:19">
      <c r="A211" s="715"/>
      <c r="B211" s="715"/>
      <c r="C211" s="24">
        <f t="shared" si="26"/>
        <v>1</v>
      </c>
      <c r="D211" s="717"/>
      <c r="E211" s="24">
        <f t="shared" si="27"/>
        <v>0.04</v>
      </c>
      <c r="F211" s="717"/>
      <c r="G211" s="24">
        <f t="shared" si="28"/>
        <v>0.1</v>
      </c>
      <c r="H211" s="717"/>
      <c r="I211" s="24">
        <f t="shared" si="29"/>
        <v>0.02</v>
      </c>
      <c r="J211" s="717"/>
      <c r="K211" s="24">
        <f t="shared" si="30"/>
        <v>1</v>
      </c>
      <c r="L211" s="717"/>
      <c r="M211" s="24">
        <f t="shared" si="31"/>
        <v>1</v>
      </c>
      <c r="N211" s="717"/>
      <c r="O211" s="24">
        <f t="shared" si="32"/>
        <v>1</v>
      </c>
      <c r="P211" s="717"/>
      <c r="Q211" s="24">
        <f t="shared" si="33"/>
        <v>0</v>
      </c>
      <c r="R211" s="713">
        <f t="shared" si="34"/>
        <v>0</v>
      </c>
      <c r="S211" s="361">
        <f t="shared" si="25"/>
        <v>0</v>
      </c>
    </row>
    <row r="212" spans="1:19">
      <c r="A212" s="715"/>
      <c r="B212" s="715"/>
      <c r="C212" s="24">
        <f t="shared" si="26"/>
        <v>1</v>
      </c>
      <c r="D212" s="717"/>
      <c r="E212" s="24">
        <f t="shared" si="27"/>
        <v>0.04</v>
      </c>
      <c r="F212" s="717"/>
      <c r="G212" s="24">
        <f t="shared" si="28"/>
        <v>0.1</v>
      </c>
      <c r="H212" s="717"/>
      <c r="I212" s="24">
        <f t="shared" si="29"/>
        <v>0.02</v>
      </c>
      <c r="J212" s="717"/>
      <c r="K212" s="24">
        <f t="shared" si="30"/>
        <v>1</v>
      </c>
      <c r="L212" s="717"/>
      <c r="M212" s="24">
        <f t="shared" si="31"/>
        <v>1</v>
      </c>
      <c r="N212" s="717"/>
      <c r="O212" s="24">
        <f t="shared" si="32"/>
        <v>1</v>
      </c>
      <c r="P212" s="717"/>
      <c r="Q212" s="24">
        <f t="shared" si="33"/>
        <v>0</v>
      </c>
      <c r="R212" s="713">
        <f t="shared" si="34"/>
        <v>0</v>
      </c>
      <c r="S212" s="361">
        <f t="shared" si="25"/>
        <v>0</v>
      </c>
    </row>
    <row r="213" spans="1:19">
      <c r="A213" s="715"/>
      <c r="B213" s="715"/>
      <c r="C213" s="24">
        <f t="shared" si="26"/>
        <v>1</v>
      </c>
      <c r="D213" s="717"/>
      <c r="E213" s="24">
        <f t="shared" si="27"/>
        <v>0.04</v>
      </c>
      <c r="F213" s="717"/>
      <c r="G213" s="24">
        <f t="shared" si="28"/>
        <v>0.1</v>
      </c>
      <c r="H213" s="717"/>
      <c r="I213" s="24">
        <f t="shared" si="29"/>
        <v>0.02</v>
      </c>
      <c r="J213" s="717"/>
      <c r="K213" s="24">
        <f t="shared" si="30"/>
        <v>1</v>
      </c>
      <c r="L213" s="717"/>
      <c r="M213" s="24">
        <f t="shared" si="31"/>
        <v>1</v>
      </c>
      <c r="N213" s="717"/>
      <c r="O213" s="24">
        <f t="shared" si="32"/>
        <v>1</v>
      </c>
      <c r="P213" s="717"/>
      <c r="Q213" s="24">
        <f t="shared" si="33"/>
        <v>0</v>
      </c>
      <c r="R213" s="713">
        <f t="shared" si="34"/>
        <v>0</v>
      </c>
      <c r="S213" s="361">
        <f t="shared" si="25"/>
        <v>0</v>
      </c>
    </row>
    <row r="214" spans="1:19">
      <c r="A214" s="715"/>
      <c r="B214" s="715"/>
      <c r="C214" s="24">
        <f t="shared" si="26"/>
        <v>1</v>
      </c>
      <c r="D214" s="717"/>
      <c r="E214" s="24">
        <f t="shared" si="27"/>
        <v>0.04</v>
      </c>
      <c r="F214" s="717"/>
      <c r="G214" s="24">
        <f t="shared" si="28"/>
        <v>0.1</v>
      </c>
      <c r="H214" s="717"/>
      <c r="I214" s="24">
        <f t="shared" si="29"/>
        <v>0.02</v>
      </c>
      <c r="J214" s="717"/>
      <c r="K214" s="24">
        <f t="shared" si="30"/>
        <v>1</v>
      </c>
      <c r="L214" s="717"/>
      <c r="M214" s="24">
        <f t="shared" si="31"/>
        <v>1</v>
      </c>
      <c r="N214" s="717"/>
      <c r="O214" s="24">
        <f t="shared" si="32"/>
        <v>1</v>
      </c>
      <c r="P214" s="717"/>
      <c r="Q214" s="24">
        <f t="shared" si="33"/>
        <v>0</v>
      </c>
      <c r="R214" s="713">
        <f t="shared" si="34"/>
        <v>0</v>
      </c>
      <c r="S214" s="361">
        <f t="shared" si="25"/>
        <v>0</v>
      </c>
    </row>
    <row r="215" spans="1:19">
      <c r="A215" s="715"/>
      <c r="B215" s="715"/>
      <c r="C215" s="24">
        <f t="shared" si="26"/>
        <v>1</v>
      </c>
      <c r="D215" s="717"/>
      <c r="E215" s="24">
        <f t="shared" si="27"/>
        <v>0.04</v>
      </c>
      <c r="F215" s="717"/>
      <c r="G215" s="24">
        <f t="shared" si="28"/>
        <v>0.1</v>
      </c>
      <c r="H215" s="717"/>
      <c r="I215" s="24">
        <f t="shared" si="29"/>
        <v>0.02</v>
      </c>
      <c r="J215" s="717"/>
      <c r="K215" s="24">
        <f t="shared" si="30"/>
        <v>1</v>
      </c>
      <c r="L215" s="717"/>
      <c r="M215" s="24">
        <f t="shared" si="31"/>
        <v>1</v>
      </c>
      <c r="N215" s="717"/>
      <c r="O215" s="24">
        <f t="shared" si="32"/>
        <v>1</v>
      </c>
      <c r="P215" s="717"/>
      <c r="Q215" s="24">
        <f t="shared" si="33"/>
        <v>0</v>
      </c>
      <c r="R215" s="713">
        <f t="shared" si="34"/>
        <v>0</v>
      </c>
      <c r="S215" s="361">
        <f t="shared" si="25"/>
        <v>0</v>
      </c>
    </row>
    <row r="216" spans="1:19">
      <c r="A216" s="715"/>
      <c r="B216" s="715"/>
      <c r="C216" s="24">
        <f t="shared" si="26"/>
        <v>1</v>
      </c>
      <c r="D216" s="717"/>
      <c r="E216" s="24">
        <f t="shared" si="27"/>
        <v>0.04</v>
      </c>
      <c r="F216" s="717"/>
      <c r="G216" s="24">
        <f t="shared" si="28"/>
        <v>0.1</v>
      </c>
      <c r="H216" s="717"/>
      <c r="I216" s="24">
        <f t="shared" si="29"/>
        <v>0.02</v>
      </c>
      <c r="J216" s="717"/>
      <c r="K216" s="24">
        <f t="shared" si="30"/>
        <v>1</v>
      </c>
      <c r="L216" s="717"/>
      <c r="M216" s="24">
        <f t="shared" si="31"/>
        <v>1</v>
      </c>
      <c r="N216" s="717"/>
      <c r="O216" s="24">
        <f t="shared" si="32"/>
        <v>1</v>
      </c>
      <c r="P216" s="717"/>
      <c r="Q216" s="24">
        <f t="shared" si="33"/>
        <v>0</v>
      </c>
      <c r="R216" s="713">
        <f t="shared" si="34"/>
        <v>0</v>
      </c>
      <c r="S216" s="361">
        <f t="shared" ref="S216:S279" si="35">ROUND(R216*B216/10000,0)</f>
        <v>0</v>
      </c>
    </row>
    <row r="217" spans="1:19">
      <c r="A217" s="715"/>
      <c r="B217" s="715"/>
      <c r="C217" s="24">
        <f t="shared" si="26"/>
        <v>1</v>
      </c>
      <c r="D217" s="717"/>
      <c r="E217" s="24">
        <f t="shared" si="27"/>
        <v>0.04</v>
      </c>
      <c r="F217" s="717"/>
      <c r="G217" s="24">
        <f t="shared" si="28"/>
        <v>0.1</v>
      </c>
      <c r="H217" s="717"/>
      <c r="I217" s="24">
        <f t="shared" si="29"/>
        <v>0.02</v>
      </c>
      <c r="J217" s="717"/>
      <c r="K217" s="24">
        <f t="shared" si="30"/>
        <v>1</v>
      </c>
      <c r="L217" s="717"/>
      <c r="M217" s="24">
        <f t="shared" si="31"/>
        <v>1</v>
      </c>
      <c r="N217" s="717"/>
      <c r="O217" s="24">
        <f t="shared" si="32"/>
        <v>1</v>
      </c>
      <c r="P217" s="717"/>
      <c r="Q217" s="24">
        <f t="shared" si="33"/>
        <v>0</v>
      </c>
      <c r="R217" s="713">
        <f t="shared" si="34"/>
        <v>0</v>
      </c>
      <c r="S217" s="361">
        <f t="shared" si="35"/>
        <v>0</v>
      </c>
    </row>
    <row r="218" spans="1:19">
      <c r="A218" s="715"/>
      <c r="B218" s="715"/>
      <c r="C218" s="24">
        <f t="shared" ref="C218:C281" si="36">IF(B218="",1,(LOOKUP(B218,$3:$3,$4:$4)-LOOKUP($B$24,$3:$3,$4:$4)+100)/100)</f>
        <v>1</v>
      </c>
      <c r="D218" s="717"/>
      <c r="E218" s="24">
        <f t="shared" ref="E218:E281" si="37">(SUMIF($5:$5,D218,$6:$6)-SUMIF($5:$5,$D$24,$6:$6)+100)/100</f>
        <v>0.04</v>
      </c>
      <c r="F218" s="717"/>
      <c r="G218" s="24">
        <f t="shared" ref="G218:G281" si="38">(SUMIF($7:$7,F218,$8:$8)-SUMIF($7:$7,$F$24,$8:$8)+100)/100</f>
        <v>0.1</v>
      </c>
      <c r="H218" s="717"/>
      <c r="I218" s="24">
        <f t="shared" ref="I218:I281" si="39">(SUMIF($9:$9,H218,$10:$10)-SUMIF($9:$9,$H$24,$10:$10)+100)/100</f>
        <v>0.02</v>
      </c>
      <c r="J218" s="717"/>
      <c r="K218" s="24">
        <f t="shared" ref="K218:K281" si="40">(SUMIF($11:$11,J218,$12:$12)-SUMIF($11:$11,$J$24,$12:$12)+100)/100</f>
        <v>1</v>
      </c>
      <c r="L218" s="717"/>
      <c r="M218" s="24">
        <f t="shared" ref="M218:M281" si="41">(SUMIF($13:$13,L218,$14:$14)-SUMIF($13:$13,$L$24,$14:$14)+100)/100</f>
        <v>1</v>
      </c>
      <c r="N218" s="717"/>
      <c r="O218" s="24">
        <f t="shared" ref="O218:O281" si="42">(SUMIF($15:$15,N218,$16:$16)-SUMIF($15:$15,$N$24,$16:$16)+100)/100</f>
        <v>1</v>
      </c>
      <c r="P218" s="717"/>
      <c r="Q218" s="24">
        <f t="shared" ref="Q218:Q281" si="43">(SUMIF($17:$17,P218,$18:$18)-SUMIF($17:$17,$P$24,$18:$18)+100)/100</f>
        <v>0</v>
      </c>
      <c r="R218" s="713">
        <f t="shared" ref="R218:R281" si="44">IF(B218="",0,ROUND($R$24*C218*E218*G218*I218*K218*M218*O218*Q218,0))</f>
        <v>0</v>
      </c>
      <c r="S218" s="361">
        <f t="shared" si="35"/>
        <v>0</v>
      </c>
    </row>
    <row r="219" spans="1:19">
      <c r="A219" s="715"/>
      <c r="B219" s="715"/>
      <c r="C219" s="24">
        <f t="shared" si="36"/>
        <v>1</v>
      </c>
      <c r="D219" s="717"/>
      <c r="E219" s="24">
        <f t="shared" si="37"/>
        <v>0.04</v>
      </c>
      <c r="F219" s="717"/>
      <c r="G219" s="24">
        <f t="shared" si="38"/>
        <v>0.1</v>
      </c>
      <c r="H219" s="717"/>
      <c r="I219" s="24">
        <f t="shared" si="39"/>
        <v>0.02</v>
      </c>
      <c r="J219" s="717"/>
      <c r="K219" s="24">
        <f t="shared" si="40"/>
        <v>1</v>
      </c>
      <c r="L219" s="717"/>
      <c r="M219" s="24">
        <f t="shared" si="41"/>
        <v>1</v>
      </c>
      <c r="N219" s="717"/>
      <c r="O219" s="24">
        <f t="shared" si="42"/>
        <v>1</v>
      </c>
      <c r="P219" s="717"/>
      <c r="Q219" s="24">
        <f t="shared" si="43"/>
        <v>0</v>
      </c>
      <c r="R219" s="713">
        <f t="shared" si="44"/>
        <v>0</v>
      </c>
      <c r="S219" s="361">
        <f t="shared" si="35"/>
        <v>0</v>
      </c>
    </row>
    <row r="220" spans="1:19">
      <c r="A220" s="715"/>
      <c r="B220" s="715"/>
      <c r="C220" s="24">
        <f t="shared" si="36"/>
        <v>1</v>
      </c>
      <c r="D220" s="717"/>
      <c r="E220" s="24">
        <f t="shared" si="37"/>
        <v>0.04</v>
      </c>
      <c r="F220" s="717"/>
      <c r="G220" s="24">
        <f t="shared" si="38"/>
        <v>0.1</v>
      </c>
      <c r="H220" s="717"/>
      <c r="I220" s="24">
        <f t="shared" si="39"/>
        <v>0.02</v>
      </c>
      <c r="J220" s="717"/>
      <c r="K220" s="24">
        <f t="shared" si="40"/>
        <v>1</v>
      </c>
      <c r="L220" s="717"/>
      <c r="M220" s="24">
        <f t="shared" si="41"/>
        <v>1</v>
      </c>
      <c r="N220" s="717"/>
      <c r="O220" s="24">
        <f t="shared" si="42"/>
        <v>1</v>
      </c>
      <c r="P220" s="717"/>
      <c r="Q220" s="24">
        <f t="shared" si="43"/>
        <v>0</v>
      </c>
      <c r="R220" s="713">
        <f t="shared" si="44"/>
        <v>0</v>
      </c>
      <c r="S220" s="361">
        <f t="shared" si="35"/>
        <v>0</v>
      </c>
    </row>
    <row r="221" spans="1:19">
      <c r="A221" s="715"/>
      <c r="B221" s="715"/>
      <c r="C221" s="24">
        <f t="shared" si="36"/>
        <v>1</v>
      </c>
      <c r="D221" s="717"/>
      <c r="E221" s="24">
        <f t="shared" si="37"/>
        <v>0.04</v>
      </c>
      <c r="F221" s="717"/>
      <c r="G221" s="24">
        <f t="shared" si="38"/>
        <v>0.1</v>
      </c>
      <c r="H221" s="717"/>
      <c r="I221" s="24">
        <f t="shared" si="39"/>
        <v>0.02</v>
      </c>
      <c r="J221" s="717"/>
      <c r="K221" s="24">
        <f t="shared" si="40"/>
        <v>1</v>
      </c>
      <c r="L221" s="717"/>
      <c r="M221" s="24">
        <f t="shared" si="41"/>
        <v>1</v>
      </c>
      <c r="N221" s="717"/>
      <c r="O221" s="24">
        <f t="shared" si="42"/>
        <v>1</v>
      </c>
      <c r="P221" s="717"/>
      <c r="Q221" s="24">
        <f t="shared" si="43"/>
        <v>0</v>
      </c>
      <c r="R221" s="713">
        <f t="shared" si="44"/>
        <v>0</v>
      </c>
      <c r="S221" s="361">
        <f t="shared" si="35"/>
        <v>0</v>
      </c>
    </row>
    <row r="222" spans="1:19">
      <c r="A222" s="715"/>
      <c r="B222" s="715"/>
      <c r="C222" s="24">
        <f t="shared" si="36"/>
        <v>1</v>
      </c>
      <c r="D222" s="717"/>
      <c r="E222" s="24">
        <f t="shared" si="37"/>
        <v>0.04</v>
      </c>
      <c r="F222" s="717"/>
      <c r="G222" s="24">
        <f t="shared" si="38"/>
        <v>0.1</v>
      </c>
      <c r="H222" s="717"/>
      <c r="I222" s="24">
        <f t="shared" si="39"/>
        <v>0.02</v>
      </c>
      <c r="J222" s="717"/>
      <c r="K222" s="24">
        <f t="shared" si="40"/>
        <v>1</v>
      </c>
      <c r="L222" s="717"/>
      <c r="M222" s="24">
        <f t="shared" si="41"/>
        <v>1</v>
      </c>
      <c r="N222" s="717"/>
      <c r="O222" s="24">
        <f t="shared" si="42"/>
        <v>1</v>
      </c>
      <c r="P222" s="717"/>
      <c r="Q222" s="24">
        <f t="shared" si="43"/>
        <v>0</v>
      </c>
      <c r="R222" s="713">
        <f t="shared" si="44"/>
        <v>0</v>
      </c>
      <c r="S222" s="361">
        <f t="shared" si="35"/>
        <v>0</v>
      </c>
    </row>
    <row r="223" spans="1:19">
      <c r="A223" s="715"/>
      <c r="B223" s="715"/>
      <c r="C223" s="24">
        <f t="shared" si="36"/>
        <v>1</v>
      </c>
      <c r="D223" s="717"/>
      <c r="E223" s="24">
        <f t="shared" si="37"/>
        <v>0.04</v>
      </c>
      <c r="F223" s="717"/>
      <c r="G223" s="24">
        <f t="shared" si="38"/>
        <v>0.1</v>
      </c>
      <c r="H223" s="717"/>
      <c r="I223" s="24">
        <f t="shared" si="39"/>
        <v>0.02</v>
      </c>
      <c r="J223" s="717"/>
      <c r="K223" s="24">
        <f t="shared" si="40"/>
        <v>1</v>
      </c>
      <c r="L223" s="717"/>
      <c r="M223" s="24">
        <f t="shared" si="41"/>
        <v>1</v>
      </c>
      <c r="N223" s="717"/>
      <c r="O223" s="24">
        <f t="shared" si="42"/>
        <v>1</v>
      </c>
      <c r="P223" s="717"/>
      <c r="Q223" s="24">
        <f t="shared" si="43"/>
        <v>0</v>
      </c>
      <c r="R223" s="713">
        <f t="shared" si="44"/>
        <v>0</v>
      </c>
      <c r="S223" s="361">
        <f t="shared" si="35"/>
        <v>0</v>
      </c>
    </row>
    <row r="224" spans="1:19">
      <c r="A224" s="715"/>
      <c r="B224" s="715"/>
      <c r="C224" s="24">
        <f t="shared" si="36"/>
        <v>1</v>
      </c>
      <c r="D224" s="717"/>
      <c r="E224" s="24">
        <f t="shared" si="37"/>
        <v>0.04</v>
      </c>
      <c r="F224" s="717"/>
      <c r="G224" s="24">
        <f t="shared" si="38"/>
        <v>0.1</v>
      </c>
      <c r="H224" s="717"/>
      <c r="I224" s="24">
        <f t="shared" si="39"/>
        <v>0.02</v>
      </c>
      <c r="J224" s="717"/>
      <c r="K224" s="24">
        <f t="shared" si="40"/>
        <v>1</v>
      </c>
      <c r="L224" s="717"/>
      <c r="M224" s="24">
        <f t="shared" si="41"/>
        <v>1</v>
      </c>
      <c r="N224" s="717"/>
      <c r="O224" s="24">
        <f t="shared" si="42"/>
        <v>1</v>
      </c>
      <c r="P224" s="717"/>
      <c r="Q224" s="24">
        <f t="shared" si="43"/>
        <v>0</v>
      </c>
      <c r="R224" s="713">
        <f t="shared" si="44"/>
        <v>0</v>
      </c>
      <c r="S224" s="361">
        <f t="shared" si="35"/>
        <v>0</v>
      </c>
    </row>
    <row r="225" spans="1:19">
      <c r="A225" s="715"/>
      <c r="B225" s="715"/>
      <c r="C225" s="24">
        <f t="shared" si="36"/>
        <v>1</v>
      </c>
      <c r="D225" s="717"/>
      <c r="E225" s="24">
        <f t="shared" si="37"/>
        <v>0.04</v>
      </c>
      <c r="F225" s="717"/>
      <c r="G225" s="24">
        <f t="shared" si="38"/>
        <v>0.1</v>
      </c>
      <c r="H225" s="717"/>
      <c r="I225" s="24">
        <f t="shared" si="39"/>
        <v>0.02</v>
      </c>
      <c r="J225" s="717"/>
      <c r="K225" s="24">
        <f t="shared" si="40"/>
        <v>1</v>
      </c>
      <c r="L225" s="717"/>
      <c r="M225" s="24">
        <f t="shared" si="41"/>
        <v>1</v>
      </c>
      <c r="N225" s="717"/>
      <c r="O225" s="24">
        <f t="shared" si="42"/>
        <v>1</v>
      </c>
      <c r="P225" s="717"/>
      <c r="Q225" s="24">
        <f t="shared" si="43"/>
        <v>0</v>
      </c>
      <c r="R225" s="713">
        <f t="shared" si="44"/>
        <v>0</v>
      </c>
      <c r="S225" s="361">
        <f t="shared" si="35"/>
        <v>0</v>
      </c>
    </row>
    <row r="226" spans="1:19">
      <c r="A226" s="715"/>
      <c r="B226" s="715"/>
      <c r="C226" s="24">
        <f t="shared" si="36"/>
        <v>1</v>
      </c>
      <c r="D226" s="717"/>
      <c r="E226" s="24">
        <f t="shared" si="37"/>
        <v>0.04</v>
      </c>
      <c r="F226" s="717"/>
      <c r="G226" s="24">
        <f t="shared" si="38"/>
        <v>0.1</v>
      </c>
      <c r="H226" s="717"/>
      <c r="I226" s="24">
        <f t="shared" si="39"/>
        <v>0.02</v>
      </c>
      <c r="J226" s="717"/>
      <c r="K226" s="24">
        <f t="shared" si="40"/>
        <v>1</v>
      </c>
      <c r="L226" s="717"/>
      <c r="M226" s="24">
        <f t="shared" si="41"/>
        <v>1</v>
      </c>
      <c r="N226" s="717"/>
      <c r="O226" s="24">
        <f t="shared" si="42"/>
        <v>1</v>
      </c>
      <c r="P226" s="717"/>
      <c r="Q226" s="24">
        <f t="shared" si="43"/>
        <v>0</v>
      </c>
      <c r="R226" s="713">
        <f t="shared" si="44"/>
        <v>0</v>
      </c>
      <c r="S226" s="361">
        <f t="shared" si="35"/>
        <v>0</v>
      </c>
    </row>
    <row r="227" spans="1:19">
      <c r="A227" s="715"/>
      <c r="B227" s="715"/>
      <c r="C227" s="24">
        <f t="shared" si="36"/>
        <v>1</v>
      </c>
      <c r="D227" s="717"/>
      <c r="E227" s="24">
        <f t="shared" si="37"/>
        <v>0.04</v>
      </c>
      <c r="F227" s="717"/>
      <c r="G227" s="24">
        <f t="shared" si="38"/>
        <v>0.1</v>
      </c>
      <c r="H227" s="717"/>
      <c r="I227" s="24">
        <f t="shared" si="39"/>
        <v>0.02</v>
      </c>
      <c r="J227" s="717"/>
      <c r="K227" s="24">
        <f t="shared" si="40"/>
        <v>1</v>
      </c>
      <c r="L227" s="717"/>
      <c r="M227" s="24">
        <f t="shared" si="41"/>
        <v>1</v>
      </c>
      <c r="N227" s="717"/>
      <c r="O227" s="24">
        <f t="shared" si="42"/>
        <v>1</v>
      </c>
      <c r="P227" s="717"/>
      <c r="Q227" s="24">
        <f t="shared" si="43"/>
        <v>0</v>
      </c>
      <c r="R227" s="713">
        <f t="shared" si="44"/>
        <v>0</v>
      </c>
      <c r="S227" s="361">
        <f t="shared" si="35"/>
        <v>0</v>
      </c>
    </row>
    <row r="228" spans="1:19">
      <c r="A228" s="715"/>
      <c r="B228" s="715"/>
      <c r="C228" s="24">
        <f t="shared" si="36"/>
        <v>1</v>
      </c>
      <c r="D228" s="717"/>
      <c r="E228" s="24">
        <f t="shared" si="37"/>
        <v>0.04</v>
      </c>
      <c r="F228" s="717"/>
      <c r="G228" s="24">
        <f t="shared" si="38"/>
        <v>0.1</v>
      </c>
      <c r="H228" s="717"/>
      <c r="I228" s="24">
        <f t="shared" si="39"/>
        <v>0.02</v>
      </c>
      <c r="J228" s="717"/>
      <c r="K228" s="24">
        <f t="shared" si="40"/>
        <v>1</v>
      </c>
      <c r="L228" s="717"/>
      <c r="M228" s="24">
        <f t="shared" si="41"/>
        <v>1</v>
      </c>
      <c r="N228" s="717"/>
      <c r="O228" s="24">
        <f t="shared" si="42"/>
        <v>1</v>
      </c>
      <c r="P228" s="717"/>
      <c r="Q228" s="24">
        <f t="shared" si="43"/>
        <v>0</v>
      </c>
      <c r="R228" s="713">
        <f t="shared" si="44"/>
        <v>0</v>
      </c>
      <c r="S228" s="361">
        <f t="shared" si="35"/>
        <v>0</v>
      </c>
    </row>
    <row r="229" spans="1:19">
      <c r="A229" s="715"/>
      <c r="B229" s="715"/>
      <c r="C229" s="24">
        <f t="shared" si="36"/>
        <v>1</v>
      </c>
      <c r="D229" s="717"/>
      <c r="E229" s="24">
        <f t="shared" si="37"/>
        <v>0.04</v>
      </c>
      <c r="F229" s="717"/>
      <c r="G229" s="24">
        <f t="shared" si="38"/>
        <v>0.1</v>
      </c>
      <c r="H229" s="717"/>
      <c r="I229" s="24">
        <f t="shared" si="39"/>
        <v>0.02</v>
      </c>
      <c r="J229" s="717"/>
      <c r="K229" s="24">
        <f t="shared" si="40"/>
        <v>1</v>
      </c>
      <c r="L229" s="717"/>
      <c r="M229" s="24">
        <f t="shared" si="41"/>
        <v>1</v>
      </c>
      <c r="N229" s="717"/>
      <c r="O229" s="24">
        <f t="shared" si="42"/>
        <v>1</v>
      </c>
      <c r="P229" s="717"/>
      <c r="Q229" s="24">
        <f t="shared" si="43"/>
        <v>0</v>
      </c>
      <c r="R229" s="713">
        <f t="shared" si="44"/>
        <v>0</v>
      </c>
      <c r="S229" s="361">
        <f t="shared" si="35"/>
        <v>0</v>
      </c>
    </row>
    <row r="230" spans="1:19">
      <c r="A230" s="715"/>
      <c r="B230" s="715"/>
      <c r="C230" s="24">
        <f t="shared" si="36"/>
        <v>1</v>
      </c>
      <c r="D230" s="717"/>
      <c r="E230" s="24">
        <f t="shared" si="37"/>
        <v>0.04</v>
      </c>
      <c r="F230" s="717"/>
      <c r="G230" s="24">
        <f t="shared" si="38"/>
        <v>0.1</v>
      </c>
      <c r="H230" s="717"/>
      <c r="I230" s="24">
        <f t="shared" si="39"/>
        <v>0.02</v>
      </c>
      <c r="J230" s="717"/>
      <c r="K230" s="24">
        <f t="shared" si="40"/>
        <v>1</v>
      </c>
      <c r="L230" s="717"/>
      <c r="M230" s="24">
        <f t="shared" si="41"/>
        <v>1</v>
      </c>
      <c r="N230" s="717"/>
      <c r="O230" s="24">
        <f t="shared" si="42"/>
        <v>1</v>
      </c>
      <c r="P230" s="717"/>
      <c r="Q230" s="24">
        <f t="shared" si="43"/>
        <v>0</v>
      </c>
      <c r="R230" s="713">
        <f t="shared" si="44"/>
        <v>0</v>
      </c>
      <c r="S230" s="361">
        <f t="shared" si="35"/>
        <v>0</v>
      </c>
    </row>
    <row r="231" spans="1:19">
      <c r="A231" s="715"/>
      <c r="B231" s="715"/>
      <c r="C231" s="24">
        <f t="shared" si="36"/>
        <v>1</v>
      </c>
      <c r="D231" s="717"/>
      <c r="E231" s="24">
        <f t="shared" si="37"/>
        <v>0.04</v>
      </c>
      <c r="F231" s="717"/>
      <c r="G231" s="24">
        <f t="shared" si="38"/>
        <v>0.1</v>
      </c>
      <c r="H231" s="717"/>
      <c r="I231" s="24">
        <f t="shared" si="39"/>
        <v>0.02</v>
      </c>
      <c r="J231" s="717"/>
      <c r="K231" s="24">
        <f t="shared" si="40"/>
        <v>1</v>
      </c>
      <c r="L231" s="717"/>
      <c r="M231" s="24">
        <f t="shared" si="41"/>
        <v>1</v>
      </c>
      <c r="N231" s="717"/>
      <c r="O231" s="24">
        <f t="shared" si="42"/>
        <v>1</v>
      </c>
      <c r="P231" s="717"/>
      <c r="Q231" s="24">
        <f t="shared" si="43"/>
        <v>0</v>
      </c>
      <c r="R231" s="713">
        <f t="shared" si="44"/>
        <v>0</v>
      </c>
      <c r="S231" s="361">
        <f t="shared" si="35"/>
        <v>0</v>
      </c>
    </row>
    <row r="232" spans="1:19">
      <c r="A232" s="715"/>
      <c r="B232" s="715"/>
      <c r="C232" s="24">
        <f t="shared" si="36"/>
        <v>1</v>
      </c>
      <c r="D232" s="717"/>
      <c r="E232" s="24">
        <f t="shared" si="37"/>
        <v>0.04</v>
      </c>
      <c r="F232" s="717"/>
      <c r="G232" s="24">
        <f t="shared" si="38"/>
        <v>0.1</v>
      </c>
      <c r="H232" s="717"/>
      <c r="I232" s="24">
        <f t="shared" si="39"/>
        <v>0.02</v>
      </c>
      <c r="J232" s="717"/>
      <c r="K232" s="24">
        <f t="shared" si="40"/>
        <v>1</v>
      </c>
      <c r="L232" s="717"/>
      <c r="M232" s="24">
        <f t="shared" si="41"/>
        <v>1</v>
      </c>
      <c r="N232" s="717"/>
      <c r="O232" s="24">
        <f t="shared" si="42"/>
        <v>1</v>
      </c>
      <c r="P232" s="717"/>
      <c r="Q232" s="24">
        <f t="shared" si="43"/>
        <v>0</v>
      </c>
      <c r="R232" s="713">
        <f t="shared" si="44"/>
        <v>0</v>
      </c>
      <c r="S232" s="361">
        <f t="shared" si="35"/>
        <v>0</v>
      </c>
    </row>
    <row r="233" spans="1:19">
      <c r="A233" s="715"/>
      <c r="B233" s="715"/>
      <c r="C233" s="24">
        <f t="shared" si="36"/>
        <v>1</v>
      </c>
      <c r="D233" s="717"/>
      <c r="E233" s="24">
        <f t="shared" si="37"/>
        <v>0.04</v>
      </c>
      <c r="F233" s="717"/>
      <c r="G233" s="24">
        <f t="shared" si="38"/>
        <v>0.1</v>
      </c>
      <c r="H233" s="717"/>
      <c r="I233" s="24">
        <f t="shared" si="39"/>
        <v>0.02</v>
      </c>
      <c r="J233" s="717"/>
      <c r="K233" s="24">
        <f t="shared" si="40"/>
        <v>1</v>
      </c>
      <c r="L233" s="717"/>
      <c r="M233" s="24">
        <f t="shared" si="41"/>
        <v>1</v>
      </c>
      <c r="N233" s="717"/>
      <c r="O233" s="24">
        <f t="shared" si="42"/>
        <v>1</v>
      </c>
      <c r="P233" s="717"/>
      <c r="Q233" s="24">
        <f t="shared" si="43"/>
        <v>0</v>
      </c>
      <c r="R233" s="713">
        <f t="shared" si="44"/>
        <v>0</v>
      </c>
      <c r="S233" s="361">
        <f t="shared" si="35"/>
        <v>0</v>
      </c>
    </row>
    <row r="234" spans="1:19">
      <c r="A234" s="715"/>
      <c r="B234" s="715"/>
      <c r="C234" s="24">
        <f t="shared" si="36"/>
        <v>1</v>
      </c>
      <c r="D234" s="717"/>
      <c r="E234" s="24">
        <f t="shared" si="37"/>
        <v>0.04</v>
      </c>
      <c r="F234" s="717"/>
      <c r="G234" s="24">
        <f t="shared" si="38"/>
        <v>0.1</v>
      </c>
      <c r="H234" s="717"/>
      <c r="I234" s="24">
        <f t="shared" si="39"/>
        <v>0.02</v>
      </c>
      <c r="J234" s="717"/>
      <c r="K234" s="24">
        <f t="shared" si="40"/>
        <v>1</v>
      </c>
      <c r="L234" s="717"/>
      <c r="M234" s="24">
        <f t="shared" si="41"/>
        <v>1</v>
      </c>
      <c r="N234" s="717"/>
      <c r="O234" s="24">
        <f t="shared" si="42"/>
        <v>1</v>
      </c>
      <c r="P234" s="717"/>
      <c r="Q234" s="24">
        <f t="shared" si="43"/>
        <v>0</v>
      </c>
      <c r="R234" s="713">
        <f t="shared" si="44"/>
        <v>0</v>
      </c>
      <c r="S234" s="361">
        <f t="shared" si="35"/>
        <v>0</v>
      </c>
    </row>
    <row r="235" spans="1:19">
      <c r="A235" s="715"/>
      <c r="B235" s="715"/>
      <c r="C235" s="24">
        <f t="shared" si="36"/>
        <v>1</v>
      </c>
      <c r="D235" s="717"/>
      <c r="E235" s="24">
        <f t="shared" si="37"/>
        <v>0.04</v>
      </c>
      <c r="F235" s="717"/>
      <c r="G235" s="24">
        <f t="shared" si="38"/>
        <v>0.1</v>
      </c>
      <c r="H235" s="717"/>
      <c r="I235" s="24">
        <f t="shared" si="39"/>
        <v>0.02</v>
      </c>
      <c r="J235" s="717"/>
      <c r="K235" s="24">
        <f t="shared" si="40"/>
        <v>1</v>
      </c>
      <c r="L235" s="717"/>
      <c r="M235" s="24">
        <f t="shared" si="41"/>
        <v>1</v>
      </c>
      <c r="N235" s="717"/>
      <c r="O235" s="24">
        <f t="shared" si="42"/>
        <v>1</v>
      </c>
      <c r="P235" s="717"/>
      <c r="Q235" s="24">
        <f t="shared" si="43"/>
        <v>0</v>
      </c>
      <c r="R235" s="713">
        <f t="shared" si="44"/>
        <v>0</v>
      </c>
      <c r="S235" s="361">
        <f t="shared" si="35"/>
        <v>0</v>
      </c>
    </row>
    <row r="236" spans="1:19">
      <c r="A236" s="715"/>
      <c r="B236" s="715"/>
      <c r="C236" s="24">
        <f t="shared" si="36"/>
        <v>1</v>
      </c>
      <c r="D236" s="717"/>
      <c r="E236" s="24">
        <f t="shared" si="37"/>
        <v>0.04</v>
      </c>
      <c r="F236" s="717"/>
      <c r="G236" s="24">
        <f t="shared" si="38"/>
        <v>0.1</v>
      </c>
      <c r="H236" s="717"/>
      <c r="I236" s="24">
        <f t="shared" si="39"/>
        <v>0.02</v>
      </c>
      <c r="J236" s="717"/>
      <c r="K236" s="24">
        <f t="shared" si="40"/>
        <v>1</v>
      </c>
      <c r="L236" s="717"/>
      <c r="M236" s="24">
        <f t="shared" si="41"/>
        <v>1</v>
      </c>
      <c r="N236" s="717"/>
      <c r="O236" s="24">
        <f t="shared" si="42"/>
        <v>1</v>
      </c>
      <c r="P236" s="717"/>
      <c r="Q236" s="24">
        <f t="shared" si="43"/>
        <v>0</v>
      </c>
      <c r="R236" s="713">
        <f t="shared" si="44"/>
        <v>0</v>
      </c>
      <c r="S236" s="361">
        <f t="shared" si="35"/>
        <v>0</v>
      </c>
    </row>
    <row r="237" spans="1:19">
      <c r="A237" s="715"/>
      <c r="B237" s="715"/>
      <c r="C237" s="24">
        <f t="shared" si="36"/>
        <v>1</v>
      </c>
      <c r="D237" s="717"/>
      <c r="E237" s="24">
        <f t="shared" si="37"/>
        <v>0.04</v>
      </c>
      <c r="F237" s="717"/>
      <c r="G237" s="24">
        <f t="shared" si="38"/>
        <v>0.1</v>
      </c>
      <c r="H237" s="717"/>
      <c r="I237" s="24">
        <f t="shared" si="39"/>
        <v>0.02</v>
      </c>
      <c r="J237" s="717"/>
      <c r="K237" s="24">
        <f t="shared" si="40"/>
        <v>1</v>
      </c>
      <c r="L237" s="717"/>
      <c r="M237" s="24">
        <f t="shared" si="41"/>
        <v>1</v>
      </c>
      <c r="N237" s="717"/>
      <c r="O237" s="24">
        <f t="shared" si="42"/>
        <v>1</v>
      </c>
      <c r="P237" s="717"/>
      <c r="Q237" s="24">
        <f t="shared" si="43"/>
        <v>0</v>
      </c>
      <c r="R237" s="713">
        <f t="shared" si="44"/>
        <v>0</v>
      </c>
      <c r="S237" s="361">
        <f t="shared" si="35"/>
        <v>0</v>
      </c>
    </row>
    <row r="238" spans="1:19">
      <c r="A238" s="715"/>
      <c r="B238" s="715"/>
      <c r="C238" s="24">
        <f t="shared" si="36"/>
        <v>1</v>
      </c>
      <c r="D238" s="717"/>
      <c r="E238" s="24">
        <f t="shared" si="37"/>
        <v>0.04</v>
      </c>
      <c r="F238" s="717"/>
      <c r="G238" s="24">
        <f t="shared" si="38"/>
        <v>0.1</v>
      </c>
      <c r="H238" s="717"/>
      <c r="I238" s="24">
        <f t="shared" si="39"/>
        <v>0.02</v>
      </c>
      <c r="J238" s="717"/>
      <c r="K238" s="24">
        <f t="shared" si="40"/>
        <v>1</v>
      </c>
      <c r="L238" s="717"/>
      <c r="M238" s="24">
        <f t="shared" si="41"/>
        <v>1</v>
      </c>
      <c r="N238" s="717"/>
      <c r="O238" s="24">
        <f t="shared" si="42"/>
        <v>1</v>
      </c>
      <c r="P238" s="717"/>
      <c r="Q238" s="24">
        <f t="shared" si="43"/>
        <v>0</v>
      </c>
      <c r="R238" s="713">
        <f t="shared" si="44"/>
        <v>0</v>
      </c>
      <c r="S238" s="361">
        <f t="shared" si="35"/>
        <v>0</v>
      </c>
    </row>
    <row r="239" spans="1:19">
      <c r="A239" s="715"/>
      <c r="B239" s="715"/>
      <c r="C239" s="24">
        <f t="shared" si="36"/>
        <v>1</v>
      </c>
      <c r="D239" s="717"/>
      <c r="E239" s="24">
        <f t="shared" si="37"/>
        <v>0.04</v>
      </c>
      <c r="F239" s="717"/>
      <c r="G239" s="24">
        <f t="shared" si="38"/>
        <v>0.1</v>
      </c>
      <c r="H239" s="717"/>
      <c r="I239" s="24">
        <f t="shared" si="39"/>
        <v>0.02</v>
      </c>
      <c r="J239" s="717"/>
      <c r="K239" s="24">
        <f t="shared" si="40"/>
        <v>1</v>
      </c>
      <c r="L239" s="717"/>
      <c r="M239" s="24">
        <f t="shared" si="41"/>
        <v>1</v>
      </c>
      <c r="N239" s="717"/>
      <c r="O239" s="24">
        <f t="shared" si="42"/>
        <v>1</v>
      </c>
      <c r="P239" s="717"/>
      <c r="Q239" s="24">
        <f t="shared" si="43"/>
        <v>0</v>
      </c>
      <c r="R239" s="713">
        <f t="shared" si="44"/>
        <v>0</v>
      </c>
      <c r="S239" s="361">
        <f t="shared" si="35"/>
        <v>0</v>
      </c>
    </row>
    <row r="240" spans="1:19">
      <c r="A240" s="715"/>
      <c r="B240" s="715"/>
      <c r="C240" s="24">
        <f t="shared" si="36"/>
        <v>1</v>
      </c>
      <c r="D240" s="717"/>
      <c r="E240" s="24">
        <f t="shared" si="37"/>
        <v>0.04</v>
      </c>
      <c r="F240" s="717"/>
      <c r="G240" s="24">
        <f t="shared" si="38"/>
        <v>0.1</v>
      </c>
      <c r="H240" s="717"/>
      <c r="I240" s="24">
        <f t="shared" si="39"/>
        <v>0.02</v>
      </c>
      <c r="J240" s="717"/>
      <c r="K240" s="24">
        <f t="shared" si="40"/>
        <v>1</v>
      </c>
      <c r="L240" s="717"/>
      <c r="M240" s="24">
        <f t="shared" si="41"/>
        <v>1</v>
      </c>
      <c r="N240" s="717"/>
      <c r="O240" s="24">
        <f t="shared" si="42"/>
        <v>1</v>
      </c>
      <c r="P240" s="717"/>
      <c r="Q240" s="24">
        <f t="shared" si="43"/>
        <v>0</v>
      </c>
      <c r="R240" s="713">
        <f t="shared" si="44"/>
        <v>0</v>
      </c>
      <c r="S240" s="361">
        <f t="shared" si="35"/>
        <v>0</v>
      </c>
    </row>
    <row r="241" spans="1:19">
      <c r="A241" s="715"/>
      <c r="B241" s="715"/>
      <c r="C241" s="24">
        <f t="shared" si="36"/>
        <v>1</v>
      </c>
      <c r="D241" s="717"/>
      <c r="E241" s="24">
        <f t="shared" si="37"/>
        <v>0.04</v>
      </c>
      <c r="F241" s="717"/>
      <c r="G241" s="24">
        <f t="shared" si="38"/>
        <v>0.1</v>
      </c>
      <c r="H241" s="717"/>
      <c r="I241" s="24">
        <f t="shared" si="39"/>
        <v>0.02</v>
      </c>
      <c r="J241" s="717"/>
      <c r="K241" s="24">
        <f t="shared" si="40"/>
        <v>1</v>
      </c>
      <c r="L241" s="717"/>
      <c r="M241" s="24">
        <f t="shared" si="41"/>
        <v>1</v>
      </c>
      <c r="N241" s="717"/>
      <c r="O241" s="24">
        <f t="shared" si="42"/>
        <v>1</v>
      </c>
      <c r="P241" s="717"/>
      <c r="Q241" s="24">
        <f t="shared" si="43"/>
        <v>0</v>
      </c>
      <c r="R241" s="713">
        <f t="shared" si="44"/>
        <v>0</v>
      </c>
      <c r="S241" s="361">
        <f t="shared" si="35"/>
        <v>0</v>
      </c>
    </row>
    <row r="242" spans="1:19">
      <c r="A242" s="715"/>
      <c r="B242" s="715"/>
      <c r="C242" s="24">
        <f t="shared" si="36"/>
        <v>1</v>
      </c>
      <c r="D242" s="717"/>
      <c r="E242" s="24">
        <f t="shared" si="37"/>
        <v>0.04</v>
      </c>
      <c r="F242" s="717"/>
      <c r="G242" s="24">
        <f t="shared" si="38"/>
        <v>0.1</v>
      </c>
      <c r="H242" s="717"/>
      <c r="I242" s="24">
        <f t="shared" si="39"/>
        <v>0.02</v>
      </c>
      <c r="J242" s="717"/>
      <c r="K242" s="24">
        <f t="shared" si="40"/>
        <v>1</v>
      </c>
      <c r="L242" s="717"/>
      <c r="M242" s="24">
        <f t="shared" si="41"/>
        <v>1</v>
      </c>
      <c r="N242" s="717"/>
      <c r="O242" s="24">
        <f t="shared" si="42"/>
        <v>1</v>
      </c>
      <c r="P242" s="717"/>
      <c r="Q242" s="24">
        <f t="shared" si="43"/>
        <v>0</v>
      </c>
      <c r="R242" s="713">
        <f t="shared" si="44"/>
        <v>0</v>
      </c>
      <c r="S242" s="361">
        <f t="shared" si="35"/>
        <v>0</v>
      </c>
    </row>
    <row r="243" spans="1:19">
      <c r="A243" s="715"/>
      <c r="B243" s="715"/>
      <c r="C243" s="24">
        <f t="shared" si="36"/>
        <v>1</v>
      </c>
      <c r="D243" s="717"/>
      <c r="E243" s="24">
        <f t="shared" si="37"/>
        <v>0.04</v>
      </c>
      <c r="F243" s="717"/>
      <c r="G243" s="24">
        <f t="shared" si="38"/>
        <v>0.1</v>
      </c>
      <c r="H243" s="717"/>
      <c r="I243" s="24">
        <f t="shared" si="39"/>
        <v>0.02</v>
      </c>
      <c r="J243" s="717"/>
      <c r="K243" s="24">
        <f t="shared" si="40"/>
        <v>1</v>
      </c>
      <c r="L243" s="717"/>
      <c r="M243" s="24">
        <f t="shared" si="41"/>
        <v>1</v>
      </c>
      <c r="N243" s="717"/>
      <c r="O243" s="24">
        <f t="shared" si="42"/>
        <v>1</v>
      </c>
      <c r="P243" s="717"/>
      <c r="Q243" s="24">
        <f t="shared" si="43"/>
        <v>0</v>
      </c>
      <c r="R243" s="713">
        <f t="shared" si="44"/>
        <v>0</v>
      </c>
      <c r="S243" s="361">
        <f t="shared" si="35"/>
        <v>0</v>
      </c>
    </row>
    <row r="244" spans="1:19">
      <c r="A244" s="715"/>
      <c r="B244" s="715"/>
      <c r="C244" s="24">
        <f t="shared" si="36"/>
        <v>1</v>
      </c>
      <c r="D244" s="717"/>
      <c r="E244" s="24">
        <f t="shared" si="37"/>
        <v>0.04</v>
      </c>
      <c r="F244" s="717"/>
      <c r="G244" s="24">
        <f t="shared" si="38"/>
        <v>0.1</v>
      </c>
      <c r="H244" s="717"/>
      <c r="I244" s="24">
        <f t="shared" si="39"/>
        <v>0.02</v>
      </c>
      <c r="J244" s="717"/>
      <c r="K244" s="24">
        <f t="shared" si="40"/>
        <v>1</v>
      </c>
      <c r="L244" s="717"/>
      <c r="M244" s="24">
        <f t="shared" si="41"/>
        <v>1</v>
      </c>
      <c r="N244" s="717"/>
      <c r="O244" s="24">
        <f t="shared" si="42"/>
        <v>1</v>
      </c>
      <c r="P244" s="717"/>
      <c r="Q244" s="24">
        <f t="shared" si="43"/>
        <v>0</v>
      </c>
      <c r="R244" s="713">
        <f t="shared" si="44"/>
        <v>0</v>
      </c>
      <c r="S244" s="361">
        <f t="shared" si="35"/>
        <v>0</v>
      </c>
    </row>
    <row r="245" spans="1:19">
      <c r="A245" s="715"/>
      <c r="B245" s="715"/>
      <c r="C245" s="24">
        <f t="shared" si="36"/>
        <v>1</v>
      </c>
      <c r="D245" s="717"/>
      <c r="E245" s="24">
        <f t="shared" si="37"/>
        <v>0.04</v>
      </c>
      <c r="F245" s="717"/>
      <c r="G245" s="24">
        <f t="shared" si="38"/>
        <v>0.1</v>
      </c>
      <c r="H245" s="717"/>
      <c r="I245" s="24">
        <f t="shared" si="39"/>
        <v>0.02</v>
      </c>
      <c r="J245" s="717"/>
      <c r="K245" s="24">
        <f t="shared" si="40"/>
        <v>1</v>
      </c>
      <c r="L245" s="717"/>
      <c r="M245" s="24">
        <f t="shared" si="41"/>
        <v>1</v>
      </c>
      <c r="N245" s="717"/>
      <c r="O245" s="24">
        <f t="shared" si="42"/>
        <v>1</v>
      </c>
      <c r="P245" s="717"/>
      <c r="Q245" s="24">
        <f t="shared" si="43"/>
        <v>0</v>
      </c>
      <c r="R245" s="713">
        <f t="shared" si="44"/>
        <v>0</v>
      </c>
      <c r="S245" s="361">
        <f t="shared" si="35"/>
        <v>0</v>
      </c>
    </row>
    <row r="246" spans="1:19">
      <c r="A246" s="715"/>
      <c r="B246" s="715"/>
      <c r="C246" s="24">
        <f t="shared" si="36"/>
        <v>1</v>
      </c>
      <c r="D246" s="717"/>
      <c r="E246" s="24">
        <f t="shared" si="37"/>
        <v>0.04</v>
      </c>
      <c r="F246" s="717"/>
      <c r="G246" s="24">
        <f t="shared" si="38"/>
        <v>0.1</v>
      </c>
      <c r="H246" s="717"/>
      <c r="I246" s="24">
        <f t="shared" si="39"/>
        <v>0.02</v>
      </c>
      <c r="J246" s="717"/>
      <c r="K246" s="24">
        <f t="shared" si="40"/>
        <v>1</v>
      </c>
      <c r="L246" s="717"/>
      <c r="M246" s="24">
        <f t="shared" si="41"/>
        <v>1</v>
      </c>
      <c r="N246" s="717"/>
      <c r="O246" s="24">
        <f t="shared" si="42"/>
        <v>1</v>
      </c>
      <c r="P246" s="717"/>
      <c r="Q246" s="24">
        <f t="shared" si="43"/>
        <v>0</v>
      </c>
      <c r="R246" s="713">
        <f t="shared" si="44"/>
        <v>0</v>
      </c>
      <c r="S246" s="361">
        <f t="shared" si="35"/>
        <v>0</v>
      </c>
    </row>
    <row r="247" spans="1:19">
      <c r="A247" s="715"/>
      <c r="B247" s="715"/>
      <c r="C247" s="24">
        <f t="shared" si="36"/>
        <v>1</v>
      </c>
      <c r="D247" s="717"/>
      <c r="E247" s="24">
        <f t="shared" si="37"/>
        <v>0.04</v>
      </c>
      <c r="F247" s="717"/>
      <c r="G247" s="24">
        <f t="shared" si="38"/>
        <v>0.1</v>
      </c>
      <c r="H247" s="717"/>
      <c r="I247" s="24">
        <f t="shared" si="39"/>
        <v>0.02</v>
      </c>
      <c r="J247" s="717"/>
      <c r="K247" s="24">
        <f t="shared" si="40"/>
        <v>1</v>
      </c>
      <c r="L247" s="717"/>
      <c r="M247" s="24">
        <f t="shared" si="41"/>
        <v>1</v>
      </c>
      <c r="N247" s="717"/>
      <c r="O247" s="24">
        <f t="shared" si="42"/>
        <v>1</v>
      </c>
      <c r="P247" s="717"/>
      <c r="Q247" s="24">
        <f t="shared" si="43"/>
        <v>0</v>
      </c>
      <c r="R247" s="713">
        <f t="shared" si="44"/>
        <v>0</v>
      </c>
      <c r="S247" s="361">
        <f t="shared" si="35"/>
        <v>0</v>
      </c>
    </row>
    <row r="248" spans="1:19">
      <c r="A248" s="715"/>
      <c r="B248" s="715"/>
      <c r="C248" s="24">
        <f t="shared" si="36"/>
        <v>1</v>
      </c>
      <c r="D248" s="717"/>
      <c r="E248" s="24">
        <f t="shared" si="37"/>
        <v>0.04</v>
      </c>
      <c r="F248" s="717"/>
      <c r="G248" s="24">
        <f t="shared" si="38"/>
        <v>0.1</v>
      </c>
      <c r="H248" s="717"/>
      <c r="I248" s="24">
        <f t="shared" si="39"/>
        <v>0.02</v>
      </c>
      <c r="J248" s="717"/>
      <c r="K248" s="24">
        <f t="shared" si="40"/>
        <v>1</v>
      </c>
      <c r="L248" s="717"/>
      <c r="M248" s="24">
        <f t="shared" si="41"/>
        <v>1</v>
      </c>
      <c r="N248" s="717"/>
      <c r="O248" s="24">
        <f t="shared" si="42"/>
        <v>1</v>
      </c>
      <c r="P248" s="717"/>
      <c r="Q248" s="24">
        <f t="shared" si="43"/>
        <v>0</v>
      </c>
      <c r="R248" s="713">
        <f t="shared" si="44"/>
        <v>0</v>
      </c>
      <c r="S248" s="361">
        <f t="shared" si="35"/>
        <v>0</v>
      </c>
    </row>
    <row r="249" spans="1:19">
      <c r="A249" s="715"/>
      <c r="B249" s="715"/>
      <c r="C249" s="24">
        <f t="shared" si="36"/>
        <v>1</v>
      </c>
      <c r="D249" s="717"/>
      <c r="E249" s="24">
        <f t="shared" si="37"/>
        <v>0.04</v>
      </c>
      <c r="F249" s="717"/>
      <c r="G249" s="24">
        <f t="shared" si="38"/>
        <v>0.1</v>
      </c>
      <c r="H249" s="717"/>
      <c r="I249" s="24">
        <f t="shared" si="39"/>
        <v>0.02</v>
      </c>
      <c r="J249" s="717"/>
      <c r="K249" s="24">
        <f t="shared" si="40"/>
        <v>1</v>
      </c>
      <c r="L249" s="717"/>
      <c r="M249" s="24">
        <f t="shared" si="41"/>
        <v>1</v>
      </c>
      <c r="N249" s="717"/>
      <c r="O249" s="24">
        <f t="shared" si="42"/>
        <v>1</v>
      </c>
      <c r="P249" s="717"/>
      <c r="Q249" s="24">
        <f t="shared" si="43"/>
        <v>0</v>
      </c>
      <c r="R249" s="713">
        <f t="shared" si="44"/>
        <v>0</v>
      </c>
      <c r="S249" s="361">
        <f t="shared" si="35"/>
        <v>0</v>
      </c>
    </row>
    <row r="250" spans="1:19">
      <c r="A250" s="715"/>
      <c r="B250" s="715"/>
      <c r="C250" s="24">
        <f t="shared" si="36"/>
        <v>1</v>
      </c>
      <c r="D250" s="717"/>
      <c r="E250" s="24">
        <f t="shared" si="37"/>
        <v>0.04</v>
      </c>
      <c r="F250" s="717"/>
      <c r="G250" s="24">
        <f t="shared" si="38"/>
        <v>0.1</v>
      </c>
      <c r="H250" s="717"/>
      <c r="I250" s="24">
        <f t="shared" si="39"/>
        <v>0.02</v>
      </c>
      <c r="J250" s="717"/>
      <c r="K250" s="24">
        <f t="shared" si="40"/>
        <v>1</v>
      </c>
      <c r="L250" s="717"/>
      <c r="M250" s="24">
        <f t="shared" si="41"/>
        <v>1</v>
      </c>
      <c r="N250" s="717"/>
      <c r="O250" s="24">
        <f t="shared" si="42"/>
        <v>1</v>
      </c>
      <c r="P250" s="717"/>
      <c r="Q250" s="24">
        <f t="shared" si="43"/>
        <v>0</v>
      </c>
      <c r="R250" s="713">
        <f t="shared" si="44"/>
        <v>0</v>
      </c>
      <c r="S250" s="361">
        <f t="shared" si="35"/>
        <v>0</v>
      </c>
    </row>
    <row r="251" spans="1:19">
      <c r="A251" s="715"/>
      <c r="B251" s="715"/>
      <c r="C251" s="24">
        <f t="shared" si="36"/>
        <v>1</v>
      </c>
      <c r="D251" s="717"/>
      <c r="E251" s="24">
        <f t="shared" si="37"/>
        <v>0.04</v>
      </c>
      <c r="F251" s="717"/>
      <c r="G251" s="24">
        <f t="shared" si="38"/>
        <v>0.1</v>
      </c>
      <c r="H251" s="717"/>
      <c r="I251" s="24">
        <f t="shared" si="39"/>
        <v>0.02</v>
      </c>
      <c r="J251" s="717"/>
      <c r="K251" s="24">
        <f t="shared" si="40"/>
        <v>1</v>
      </c>
      <c r="L251" s="717"/>
      <c r="M251" s="24">
        <f t="shared" si="41"/>
        <v>1</v>
      </c>
      <c r="N251" s="717"/>
      <c r="O251" s="24">
        <f t="shared" si="42"/>
        <v>1</v>
      </c>
      <c r="P251" s="717"/>
      <c r="Q251" s="24">
        <f t="shared" si="43"/>
        <v>0</v>
      </c>
      <c r="R251" s="713">
        <f t="shared" si="44"/>
        <v>0</v>
      </c>
      <c r="S251" s="361">
        <f t="shared" si="35"/>
        <v>0</v>
      </c>
    </row>
    <row r="252" spans="1:19">
      <c r="A252" s="715"/>
      <c r="B252" s="715"/>
      <c r="C252" s="24">
        <f t="shared" si="36"/>
        <v>1</v>
      </c>
      <c r="D252" s="717"/>
      <c r="E252" s="24">
        <f t="shared" si="37"/>
        <v>0.04</v>
      </c>
      <c r="F252" s="717"/>
      <c r="G252" s="24">
        <f t="shared" si="38"/>
        <v>0.1</v>
      </c>
      <c r="H252" s="717"/>
      <c r="I252" s="24">
        <f t="shared" si="39"/>
        <v>0.02</v>
      </c>
      <c r="J252" s="717"/>
      <c r="K252" s="24">
        <f t="shared" si="40"/>
        <v>1</v>
      </c>
      <c r="L252" s="717"/>
      <c r="M252" s="24">
        <f t="shared" si="41"/>
        <v>1</v>
      </c>
      <c r="N252" s="717"/>
      <c r="O252" s="24">
        <f t="shared" si="42"/>
        <v>1</v>
      </c>
      <c r="P252" s="717"/>
      <c r="Q252" s="24">
        <f t="shared" si="43"/>
        <v>0</v>
      </c>
      <c r="R252" s="713">
        <f t="shared" si="44"/>
        <v>0</v>
      </c>
      <c r="S252" s="361">
        <f t="shared" si="35"/>
        <v>0</v>
      </c>
    </row>
    <row r="253" spans="1:19">
      <c r="A253" s="715"/>
      <c r="B253" s="715"/>
      <c r="C253" s="24">
        <f t="shared" si="36"/>
        <v>1</v>
      </c>
      <c r="D253" s="717"/>
      <c r="E253" s="24">
        <f t="shared" si="37"/>
        <v>0.04</v>
      </c>
      <c r="F253" s="717"/>
      <c r="G253" s="24">
        <f t="shared" si="38"/>
        <v>0.1</v>
      </c>
      <c r="H253" s="717"/>
      <c r="I253" s="24">
        <f t="shared" si="39"/>
        <v>0.02</v>
      </c>
      <c r="J253" s="717"/>
      <c r="K253" s="24">
        <f t="shared" si="40"/>
        <v>1</v>
      </c>
      <c r="L253" s="717"/>
      <c r="M253" s="24">
        <f t="shared" si="41"/>
        <v>1</v>
      </c>
      <c r="N253" s="717"/>
      <c r="O253" s="24">
        <f t="shared" si="42"/>
        <v>1</v>
      </c>
      <c r="P253" s="717"/>
      <c r="Q253" s="24">
        <f t="shared" si="43"/>
        <v>0</v>
      </c>
      <c r="R253" s="713">
        <f t="shared" si="44"/>
        <v>0</v>
      </c>
      <c r="S253" s="361">
        <f t="shared" si="35"/>
        <v>0</v>
      </c>
    </row>
    <row r="254" spans="1:19">
      <c r="A254" s="715"/>
      <c r="B254" s="715"/>
      <c r="C254" s="24">
        <f t="shared" si="36"/>
        <v>1</v>
      </c>
      <c r="D254" s="717"/>
      <c r="E254" s="24">
        <f t="shared" si="37"/>
        <v>0.04</v>
      </c>
      <c r="F254" s="717"/>
      <c r="G254" s="24">
        <f t="shared" si="38"/>
        <v>0.1</v>
      </c>
      <c r="H254" s="717"/>
      <c r="I254" s="24">
        <f t="shared" si="39"/>
        <v>0.02</v>
      </c>
      <c r="J254" s="717"/>
      <c r="K254" s="24">
        <f t="shared" si="40"/>
        <v>1</v>
      </c>
      <c r="L254" s="717"/>
      <c r="M254" s="24">
        <f t="shared" si="41"/>
        <v>1</v>
      </c>
      <c r="N254" s="717"/>
      <c r="O254" s="24">
        <f t="shared" si="42"/>
        <v>1</v>
      </c>
      <c r="P254" s="717"/>
      <c r="Q254" s="24">
        <f t="shared" si="43"/>
        <v>0</v>
      </c>
      <c r="R254" s="713">
        <f t="shared" si="44"/>
        <v>0</v>
      </c>
      <c r="S254" s="361">
        <f t="shared" si="35"/>
        <v>0</v>
      </c>
    </row>
    <row r="255" spans="1:19">
      <c r="A255" s="715"/>
      <c r="B255" s="715"/>
      <c r="C255" s="24">
        <f t="shared" si="36"/>
        <v>1</v>
      </c>
      <c r="D255" s="717"/>
      <c r="E255" s="24">
        <f t="shared" si="37"/>
        <v>0.04</v>
      </c>
      <c r="F255" s="717"/>
      <c r="G255" s="24">
        <f t="shared" si="38"/>
        <v>0.1</v>
      </c>
      <c r="H255" s="717"/>
      <c r="I255" s="24">
        <f t="shared" si="39"/>
        <v>0.02</v>
      </c>
      <c r="J255" s="717"/>
      <c r="K255" s="24">
        <f t="shared" si="40"/>
        <v>1</v>
      </c>
      <c r="L255" s="717"/>
      <c r="M255" s="24">
        <f t="shared" si="41"/>
        <v>1</v>
      </c>
      <c r="N255" s="717"/>
      <c r="O255" s="24">
        <f t="shared" si="42"/>
        <v>1</v>
      </c>
      <c r="P255" s="717"/>
      <c r="Q255" s="24">
        <f t="shared" si="43"/>
        <v>0</v>
      </c>
      <c r="R255" s="713">
        <f t="shared" si="44"/>
        <v>0</v>
      </c>
      <c r="S255" s="361">
        <f t="shared" si="35"/>
        <v>0</v>
      </c>
    </row>
    <row r="256" spans="1:19">
      <c r="A256" s="715"/>
      <c r="B256" s="715"/>
      <c r="C256" s="24">
        <f t="shared" si="36"/>
        <v>1</v>
      </c>
      <c r="D256" s="717"/>
      <c r="E256" s="24">
        <f t="shared" si="37"/>
        <v>0.04</v>
      </c>
      <c r="F256" s="717"/>
      <c r="G256" s="24">
        <f t="shared" si="38"/>
        <v>0.1</v>
      </c>
      <c r="H256" s="717"/>
      <c r="I256" s="24">
        <f t="shared" si="39"/>
        <v>0.02</v>
      </c>
      <c r="J256" s="717"/>
      <c r="K256" s="24">
        <f t="shared" si="40"/>
        <v>1</v>
      </c>
      <c r="L256" s="717"/>
      <c r="M256" s="24">
        <f t="shared" si="41"/>
        <v>1</v>
      </c>
      <c r="N256" s="717"/>
      <c r="O256" s="24">
        <f t="shared" si="42"/>
        <v>1</v>
      </c>
      <c r="P256" s="717"/>
      <c r="Q256" s="24">
        <f t="shared" si="43"/>
        <v>0</v>
      </c>
      <c r="R256" s="713">
        <f t="shared" si="44"/>
        <v>0</v>
      </c>
      <c r="S256" s="361">
        <f t="shared" si="35"/>
        <v>0</v>
      </c>
    </row>
    <row r="257" spans="1:19">
      <c r="A257" s="715"/>
      <c r="B257" s="715"/>
      <c r="C257" s="24">
        <f t="shared" si="36"/>
        <v>1</v>
      </c>
      <c r="D257" s="717"/>
      <c r="E257" s="24">
        <f t="shared" si="37"/>
        <v>0.04</v>
      </c>
      <c r="F257" s="717"/>
      <c r="G257" s="24">
        <f t="shared" si="38"/>
        <v>0.1</v>
      </c>
      <c r="H257" s="717"/>
      <c r="I257" s="24">
        <f t="shared" si="39"/>
        <v>0.02</v>
      </c>
      <c r="J257" s="717"/>
      <c r="K257" s="24">
        <f t="shared" si="40"/>
        <v>1</v>
      </c>
      <c r="L257" s="717"/>
      <c r="M257" s="24">
        <f t="shared" si="41"/>
        <v>1</v>
      </c>
      <c r="N257" s="717"/>
      <c r="O257" s="24">
        <f t="shared" si="42"/>
        <v>1</v>
      </c>
      <c r="P257" s="717"/>
      <c r="Q257" s="24">
        <f t="shared" si="43"/>
        <v>0</v>
      </c>
      <c r="R257" s="713">
        <f t="shared" si="44"/>
        <v>0</v>
      </c>
      <c r="S257" s="361">
        <f t="shared" si="35"/>
        <v>0</v>
      </c>
    </row>
    <row r="258" spans="1:19">
      <c r="A258" s="715"/>
      <c r="B258" s="715"/>
      <c r="C258" s="24">
        <f t="shared" si="36"/>
        <v>1</v>
      </c>
      <c r="D258" s="717"/>
      <c r="E258" s="24">
        <f t="shared" si="37"/>
        <v>0.04</v>
      </c>
      <c r="F258" s="717"/>
      <c r="G258" s="24">
        <f t="shared" si="38"/>
        <v>0.1</v>
      </c>
      <c r="H258" s="717"/>
      <c r="I258" s="24">
        <f t="shared" si="39"/>
        <v>0.02</v>
      </c>
      <c r="J258" s="717"/>
      <c r="K258" s="24">
        <f t="shared" si="40"/>
        <v>1</v>
      </c>
      <c r="L258" s="717"/>
      <c r="M258" s="24">
        <f t="shared" si="41"/>
        <v>1</v>
      </c>
      <c r="N258" s="717"/>
      <c r="O258" s="24">
        <f t="shared" si="42"/>
        <v>1</v>
      </c>
      <c r="P258" s="717"/>
      <c r="Q258" s="24">
        <f t="shared" si="43"/>
        <v>0</v>
      </c>
      <c r="R258" s="713">
        <f t="shared" si="44"/>
        <v>0</v>
      </c>
      <c r="S258" s="361">
        <f t="shared" si="35"/>
        <v>0</v>
      </c>
    </row>
    <row r="259" spans="1:19">
      <c r="A259" s="715"/>
      <c r="B259" s="715"/>
      <c r="C259" s="24">
        <f t="shared" si="36"/>
        <v>1</v>
      </c>
      <c r="D259" s="717"/>
      <c r="E259" s="24">
        <f t="shared" si="37"/>
        <v>0.04</v>
      </c>
      <c r="F259" s="717"/>
      <c r="G259" s="24">
        <f t="shared" si="38"/>
        <v>0.1</v>
      </c>
      <c r="H259" s="717"/>
      <c r="I259" s="24">
        <f t="shared" si="39"/>
        <v>0.02</v>
      </c>
      <c r="J259" s="717"/>
      <c r="K259" s="24">
        <f t="shared" si="40"/>
        <v>1</v>
      </c>
      <c r="L259" s="717"/>
      <c r="M259" s="24">
        <f t="shared" si="41"/>
        <v>1</v>
      </c>
      <c r="N259" s="717"/>
      <c r="O259" s="24">
        <f t="shared" si="42"/>
        <v>1</v>
      </c>
      <c r="P259" s="717"/>
      <c r="Q259" s="24">
        <f t="shared" si="43"/>
        <v>0</v>
      </c>
      <c r="R259" s="713">
        <f t="shared" si="44"/>
        <v>0</v>
      </c>
      <c r="S259" s="361">
        <f t="shared" si="35"/>
        <v>0</v>
      </c>
    </row>
    <row r="260" spans="1:19">
      <c r="A260" s="715"/>
      <c r="B260" s="715"/>
      <c r="C260" s="24">
        <f t="shared" si="36"/>
        <v>1</v>
      </c>
      <c r="D260" s="717"/>
      <c r="E260" s="24">
        <f t="shared" si="37"/>
        <v>0.04</v>
      </c>
      <c r="F260" s="717"/>
      <c r="G260" s="24">
        <f t="shared" si="38"/>
        <v>0.1</v>
      </c>
      <c r="H260" s="717"/>
      <c r="I260" s="24">
        <f t="shared" si="39"/>
        <v>0.02</v>
      </c>
      <c r="J260" s="717"/>
      <c r="K260" s="24">
        <f t="shared" si="40"/>
        <v>1</v>
      </c>
      <c r="L260" s="717"/>
      <c r="M260" s="24">
        <f t="shared" si="41"/>
        <v>1</v>
      </c>
      <c r="N260" s="717"/>
      <c r="O260" s="24">
        <f t="shared" si="42"/>
        <v>1</v>
      </c>
      <c r="P260" s="717"/>
      <c r="Q260" s="24">
        <f t="shared" si="43"/>
        <v>0</v>
      </c>
      <c r="R260" s="713">
        <f t="shared" si="44"/>
        <v>0</v>
      </c>
      <c r="S260" s="361">
        <f t="shared" si="35"/>
        <v>0</v>
      </c>
    </row>
    <row r="261" spans="1:19">
      <c r="A261" s="715"/>
      <c r="B261" s="715"/>
      <c r="C261" s="24">
        <f t="shared" si="36"/>
        <v>1</v>
      </c>
      <c r="D261" s="717"/>
      <c r="E261" s="24">
        <f t="shared" si="37"/>
        <v>0.04</v>
      </c>
      <c r="F261" s="717"/>
      <c r="G261" s="24">
        <f t="shared" si="38"/>
        <v>0.1</v>
      </c>
      <c r="H261" s="717"/>
      <c r="I261" s="24">
        <f t="shared" si="39"/>
        <v>0.02</v>
      </c>
      <c r="J261" s="717"/>
      <c r="K261" s="24">
        <f t="shared" si="40"/>
        <v>1</v>
      </c>
      <c r="L261" s="717"/>
      <c r="M261" s="24">
        <f t="shared" si="41"/>
        <v>1</v>
      </c>
      <c r="N261" s="717"/>
      <c r="O261" s="24">
        <f t="shared" si="42"/>
        <v>1</v>
      </c>
      <c r="P261" s="717"/>
      <c r="Q261" s="24">
        <f t="shared" si="43"/>
        <v>0</v>
      </c>
      <c r="R261" s="713">
        <f t="shared" si="44"/>
        <v>0</v>
      </c>
      <c r="S261" s="361">
        <f t="shared" si="35"/>
        <v>0</v>
      </c>
    </row>
    <row r="262" spans="1:19">
      <c r="A262" s="715"/>
      <c r="B262" s="715"/>
      <c r="C262" s="24">
        <f t="shared" si="36"/>
        <v>1</v>
      </c>
      <c r="D262" s="717"/>
      <c r="E262" s="24">
        <f t="shared" si="37"/>
        <v>0.04</v>
      </c>
      <c r="F262" s="717"/>
      <c r="G262" s="24">
        <f t="shared" si="38"/>
        <v>0.1</v>
      </c>
      <c r="H262" s="717"/>
      <c r="I262" s="24">
        <f t="shared" si="39"/>
        <v>0.02</v>
      </c>
      <c r="J262" s="717"/>
      <c r="K262" s="24">
        <f t="shared" si="40"/>
        <v>1</v>
      </c>
      <c r="L262" s="717"/>
      <c r="M262" s="24">
        <f t="shared" si="41"/>
        <v>1</v>
      </c>
      <c r="N262" s="717"/>
      <c r="O262" s="24">
        <f t="shared" si="42"/>
        <v>1</v>
      </c>
      <c r="P262" s="717"/>
      <c r="Q262" s="24">
        <f t="shared" si="43"/>
        <v>0</v>
      </c>
      <c r="R262" s="713">
        <f t="shared" si="44"/>
        <v>0</v>
      </c>
      <c r="S262" s="361">
        <f t="shared" si="35"/>
        <v>0</v>
      </c>
    </row>
    <row r="263" spans="1:19">
      <c r="A263" s="715"/>
      <c r="B263" s="715"/>
      <c r="C263" s="24">
        <f t="shared" si="36"/>
        <v>1</v>
      </c>
      <c r="D263" s="717"/>
      <c r="E263" s="24">
        <f t="shared" si="37"/>
        <v>0.04</v>
      </c>
      <c r="F263" s="717"/>
      <c r="G263" s="24">
        <f t="shared" si="38"/>
        <v>0.1</v>
      </c>
      <c r="H263" s="717"/>
      <c r="I263" s="24">
        <f t="shared" si="39"/>
        <v>0.02</v>
      </c>
      <c r="J263" s="717"/>
      <c r="K263" s="24">
        <f t="shared" si="40"/>
        <v>1</v>
      </c>
      <c r="L263" s="717"/>
      <c r="M263" s="24">
        <f t="shared" si="41"/>
        <v>1</v>
      </c>
      <c r="N263" s="717"/>
      <c r="O263" s="24">
        <f t="shared" si="42"/>
        <v>1</v>
      </c>
      <c r="P263" s="717"/>
      <c r="Q263" s="24">
        <f t="shared" si="43"/>
        <v>0</v>
      </c>
      <c r="R263" s="713">
        <f t="shared" si="44"/>
        <v>0</v>
      </c>
      <c r="S263" s="361">
        <f t="shared" si="35"/>
        <v>0</v>
      </c>
    </row>
    <row r="264" spans="1:19">
      <c r="A264" s="715"/>
      <c r="B264" s="715"/>
      <c r="C264" s="24">
        <f t="shared" si="36"/>
        <v>1</v>
      </c>
      <c r="D264" s="717"/>
      <c r="E264" s="24">
        <f t="shared" si="37"/>
        <v>0.04</v>
      </c>
      <c r="F264" s="717"/>
      <c r="G264" s="24">
        <f t="shared" si="38"/>
        <v>0.1</v>
      </c>
      <c r="H264" s="717"/>
      <c r="I264" s="24">
        <f t="shared" si="39"/>
        <v>0.02</v>
      </c>
      <c r="J264" s="717"/>
      <c r="K264" s="24">
        <f t="shared" si="40"/>
        <v>1</v>
      </c>
      <c r="L264" s="717"/>
      <c r="M264" s="24">
        <f t="shared" si="41"/>
        <v>1</v>
      </c>
      <c r="N264" s="717"/>
      <c r="O264" s="24">
        <f t="shared" si="42"/>
        <v>1</v>
      </c>
      <c r="P264" s="717"/>
      <c r="Q264" s="24">
        <f t="shared" si="43"/>
        <v>0</v>
      </c>
      <c r="R264" s="713">
        <f t="shared" si="44"/>
        <v>0</v>
      </c>
      <c r="S264" s="361">
        <f t="shared" si="35"/>
        <v>0</v>
      </c>
    </row>
    <row r="265" spans="1:19">
      <c r="A265" s="715"/>
      <c r="B265" s="715"/>
      <c r="C265" s="24">
        <f t="shared" si="36"/>
        <v>1</v>
      </c>
      <c r="D265" s="717"/>
      <c r="E265" s="24">
        <f t="shared" si="37"/>
        <v>0.04</v>
      </c>
      <c r="F265" s="717"/>
      <c r="G265" s="24">
        <f t="shared" si="38"/>
        <v>0.1</v>
      </c>
      <c r="H265" s="717"/>
      <c r="I265" s="24">
        <f t="shared" si="39"/>
        <v>0.02</v>
      </c>
      <c r="J265" s="717"/>
      <c r="K265" s="24">
        <f t="shared" si="40"/>
        <v>1</v>
      </c>
      <c r="L265" s="717"/>
      <c r="M265" s="24">
        <f t="shared" si="41"/>
        <v>1</v>
      </c>
      <c r="N265" s="717"/>
      <c r="O265" s="24">
        <f t="shared" si="42"/>
        <v>1</v>
      </c>
      <c r="P265" s="717"/>
      <c r="Q265" s="24">
        <f t="shared" si="43"/>
        <v>0</v>
      </c>
      <c r="R265" s="713">
        <f t="shared" si="44"/>
        <v>0</v>
      </c>
      <c r="S265" s="361">
        <f t="shared" si="35"/>
        <v>0</v>
      </c>
    </row>
    <row r="266" spans="1:19">
      <c r="A266" s="715"/>
      <c r="B266" s="715"/>
      <c r="C266" s="24">
        <f t="shared" si="36"/>
        <v>1</v>
      </c>
      <c r="D266" s="717"/>
      <c r="E266" s="24">
        <f t="shared" si="37"/>
        <v>0.04</v>
      </c>
      <c r="F266" s="717"/>
      <c r="G266" s="24">
        <f t="shared" si="38"/>
        <v>0.1</v>
      </c>
      <c r="H266" s="717"/>
      <c r="I266" s="24">
        <f t="shared" si="39"/>
        <v>0.02</v>
      </c>
      <c r="J266" s="717"/>
      <c r="K266" s="24">
        <f t="shared" si="40"/>
        <v>1</v>
      </c>
      <c r="L266" s="717"/>
      <c r="M266" s="24">
        <f t="shared" si="41"/>
        <v>1</v>
      </c>
      <c r="N266" s="717"/>
      <c r="O266" s="24">
        <f t="shared" si="42"/>
        <v>1</v>
      </c>
      <c r="P266" s="717"/>
      <c r="Q266" s="24">
        <f t="shared" si="43"/>
        <v>0</v>
      </c>
      <c r="R266" s="713">
        <f t="shared" si="44"/>
        <v>0</v>
      </c>
      <c r="S266" s="361">
        <f t="shared" si="35"/>
        <v>0</v>
      </c>
    </row>
    <row r="267" spans="1:19">
      <c r="A267" s="715"/>
      <c r="B267" s="715"/>
      <c r="C267" s="24">
        <f t="shared" si="36"/>
        <v>1</v>
      </c>
      <c r="D267" s="717"/>
      <c r="E267" s="24">
        <f t="shared" si="37"/>
        <v>0.04</v>
      </c>
      <c r="F267" s="717"/>
      <c r="G267" s="24">
        <f t="shared" si="38"/>
        <v>0.1</v>
      </c>
      <c r="H267" s="717"/>
      <c r="I267" s="24">
        <f t="shared" si="39"/>
        <v>0.02</v>
      </c>
      <c r="J267" s="717"/>
      <c r="K267" s="24">
        <f t="shared" si="40"/>
        <v>1</v>
      </c>
      <c r="L267" s="717"/>
      <c r="M267" s="24">
        <f t="shared" si="41"/>
        <v>1</v>
      </c>
      <c r="N267" s="717"/>
      <c r="O267" s="24">
        <f t="shared" si="42"/>
        <v>1</v>
      </c>
      <c r="P267" s="717"/>
      <c r="Q267" s="24">
        <f t="shared" si="43"/>
        <v>0</v>
      </c>
      <c r="R267" s="713">
        <f t="shared" si="44"/>
        <v>0</v>
      </c>
      <c r="S267" s="361">
        <f t="shared" si="35"/>
        <v>0</v>
      </c>
    </row>
    <row r="268" spans="1:19">
      <c r="A268" s="715"/>
      <c r="B268" s="715"/>
      <c r="C268" s="24">
        <f t="shared" si="36"/>
        <v>1</v>
      </c>
      <c r="D268" s="717"/>
      <c r="E268" s="24">
        <f t="shared" si="37"/>
        <v>0.04</v>
      </c>
      <c r="F268" s="717"/>
      <c r="G268" s="24">
        <f t="shared" si="38"/>
        <v>0.1</v>
      </c>
      <c r="H268" s="717"/>
      <c r="I268" s="24">
        <f t="shared" si="39"/>
        <v>0.02</v>
      </c>
      <c r="J268" s="717"/>
      <c r="K268" s="24">
        <f t="shared" si="40"/>
        <v>1</v>
      </c>
      <c r="L268" s="717"/>
      <c r="M268" s="24">
        <f t="shared" si="41"/>
        <v>1</v>
      </c>
      <c r="N268" s="717"/>
      <c r="O268" s="24">
        <f t="shared" si="42"/>
        <v>1</v>
      </c>
      <c r="P268" s="717"/>
      <c r="Q268" s="24">
        <f t="shared" si="43"/>
        <v>0</v>
      </c>
      <c r="R268" s="713">
        <f t="shared" si="44"/>
        <v>0</v>
      </c>
      <c r="S268" s="361">
        <f t="shared" si="35"/>
        <v>0</v>
      </c>
    </row>
    <row r="269" spans="1:19">
      <c r="A269" s="715"/>
      <c r="B269" s="59"/>
      <c r="C269" s="24">
        <f t="shared" si="36"/>
        <v>1</v>
      </c>
      <c r="D269" s="717"/>
      <c r="E269" s="24">
        <f t="shared" si="37"/>
        <v>0.04</v>
      </c>
      <c r="F269" s="717"/>
      <c r="G269" s="24">
        <f t="shared" si="38"/>
        <v>0.1</v>
      </c>
      <c r="H269" s="717"/>
      <c r="I269" s="24">
        <f t="shared" si="39"/>
        <v>0.02</v>
      </c>
      <c r="J269" s="717"/>
      <c r="K269" s="24">
        <f t="shared" si="40"/>
        <v>1</v>
      </c>
      <c r="L269" s="717"/>
      <c r="M269" s="24">
        <f t="shared" si="41"/>
        <v>1</v>
      </c>
      <c r="N269" s="717"/>
      <c r="O269" s="24">
        <f t="shared" si="42"/>
        <v>1</v>
      </c>
      <c r="P269" s="717"/>
      <c r="Q269" s="24">
        <f t="shared" si="43"/>
        <v>0</v>
      </c>
      <c r="R269" s="713">
        <f t="shared" si="44"/>
        <v>0</v>
      </c>
      <c r="S269" s="361">
        <f t="shared" si="35"/>
        <v>0</v>
      </c>
    </row>
    <row r="270" spans="1:19">
      <c r="A270" s="715"/>
      <c r="B270" s="59"/>
      <c r="C270" s="24">
        <f t="shared" si="36"/>
        <v>1</v>
      </c>
      <c r="D270" s="717"/>
      <c r="E270" s="24">
        <f t="shared" si="37"/>
        <v>0.04</v>
      </c>
      <c r="F270" s="717"/>
      <c r="G270" s="24">
        <f t="shared" si="38"/>
        <v>0.1</v>
      </c>
      <c r="H270" s="717"/>
      <c r="I270" s="24">
        <f t="shared" si="39"/>
        <v>0.02</v>
      </c>
      <c r="J270" s="717"/>
      <c r="K270" s="24">
        <f t="shared" si="40"/>
        <v>1</v>
      </c>
      <c r="L270" s="717"/>
      <c r="M270" s="24">
        <f t="shared" si="41"/>
        <v>1</v>
      </c>
      <c r="N270" s="717"/>
      <c r="O270" s="24">
        <f t="shared" si="42"/>
        <v>1</v>
      </c>
      <c r="P270" s="717"/>
      <c r="Q270" s="24">
        <f t="shared" si="43"/>
        <v>0</v>
      </c>
      <c r="R270" s="713">
        <f t="shared" si="44"/>
        <v>0</v>
      </c>
      <c r="S270" s="361">
        <f t="shared" si="35"/>
        <v>0</v>
      </c>
    </row>
    <row r="271" spans="1:19">
      <c r="A271" s="715"/>
      <c r="B271" s="59"/>
      <c r="C271" s="24">
        <f t="shared" si="36"/>
        <v>1</v>
      </c>
      <c r="D271" s="717"/>
      <c r="E271" s="24">
        <f t="shared" si="37"/>
        <v>0.04</v>
      </c>
      <c r="F271" s="717"/>
      <c r="G271" s="24">
        <f t="shared" si="38"/>
        <v>0.1</v>
      </c>
      <c r="H271" s="717"/>
      <c r="I271" s="24">
        <f t="shared" si="39"/>
        <v>0.02</v>
      </c>
      <c r="J271" s="717"/>
      <c r="K271" s="24">
        <f t="shared" si="40"/>
        <v>1</v>
      </c>
      <c r="L271" s="717"/>
      <c r="M271" s="24">
        <f t="shared" si="41"/>
        <v>1</v>
      </c>
      <c r="N271" s="717"/>
      <c r="O271" s="24">
        <f t="shared" si="42"/>
        <v>1</v>
      </c>
      <c r="P271" s="717"/>
      <c r="Q271" s="24">
        <f t="shared" si="43"/>
        <v>0</v>
      </c>
      <c r="R271" s="713">
        <f t="shared" si="44"/>
        <v>0</v>
      </c>
      <c r="S271" s="361">
        <f t="shared" si="35"/>
        <v>0</v>
      </c>
    </row>
    <row r="272" spans="1:19">
      <c r="A272" s="715"/>
      <c r="B272" s="59"/>
      <c r="C272" s="24">
        <f t="shared" si="36"/>
        <v>1</v>
      </c>
      <c r="D272" s="717"/>
      <c r="E272" s="24">
        <f t="shared" si="37"/>
        <v>0.04</v>
      </c>
      <c r="F272" s="717"/>
      <c r="G272" s="24">
        <f t="shared" si="38"/>
        <v>0.1</v>
      </c>
      <c r="H272" s="717"/>
      <c r="I272" s="24">
        <f t="shared" si="39"/>
        <v>0.02</v>
      </c>
      <c r="J272" s="717"/>
      <c r="K272" s="24">
        <f t="shared" si="40"/>
        <v>1</v>
      </c>
      <c r="L272" s="717"/>
      <c r="M272" s="24">
        <f t="shared" si="41"/>
        <v>1</v>
      </c>
      <c r="N272" s="717"/>
      <c r="O272" s="24">
        <f t="shared" si="42"/>
        <v>1</v>
      </c>
      <c r="P272" s="717"/>
      <c r="Q272" s="24">
        <f t="shared" si="43"/>
        <v>0</v>
      </c>
      <c r="R272" s="713">
        <f t="shared" si="44"/>
        <v>0</v>
      </c>
      <c r="S272" s="361">
        <f t="shared" si="35"/>
        <v>0</v>
      </c>
    </row>
    <row r="273" spans="1:19">
      <c r="A273" s="715"/>
      <c r="B273" s="59"/>
      <c r="C273" s="24">
        <f t="shared" si="36"/>
        <v>1</v>
      </c>
      <c r="D273" s="717"/>
      <c r="E273" s="24">
        <f t="shared" si="37"/>
        <v>0.04</v>
      </c>
      <c r="F273" s="717"/>
      <c r="G273" s="24">
        <f t="shared" si="38"/>
        <v>0.1</v>
      </c>
      <c r="H273" s="717"/>
      <c r="I273" s="24">
        <f t="shared" si="39"/>
        <v>0.02</v>
      </c>
      <c r="J273" s="717"/>
      <c r="K273" s="24">
        <f t="shared" si="40"/>
        <v>1</v>
      </c>
      <c r="L273" s="717"/>
      <c r="M273" s="24">
        <f t="shared" si="41"/>
        <v>1</v>
      </c>
      <c r="N273" s="717"/>
      <c r="O273" s="24">
        <f t="shared" si="42"/>
        <v>1</v>
      </c>
      <c r="P273" s="717"/>
      <c r="Q273" s="24">
        <f t="shared" si="43"/>
        <v>0</v>
      </c>
      <c r="R273" s="713">
        <f t="shared" si="44"/>
        <v>0</v>
      </c>
      <c r="S273" s="361">
        <f t="shared" si="35"/>
        <v>0</v>
      </c>
    </row>
    <row r="274" spans="1:19">
      <c r="A274" s="715"/>
      <c r="B274" s="59"/>
      <c r="C274" s="24">
        <f t="shared" si="36"/>
        <v>1</v>
      </c>
      <c r="D274" s="717"/>
      <c r="E274" s="24">
        <f t="shared" si="37"/>
        <v>0.04</v>
      </c>
      <c r="F274" s="717"/>
      <c r="G274" s="24">
        <f t="shared" si="38"/>
        <v>0.1</v>
      </c>
      <c r="H274" s="717"/>
      <c r="I274" s="24">
        <f t="shared" si="39"/>
        <v>0.02</v>
      </c>
      <c r="J274" s="717"/>
      <c r="K274" s="24">
        <f t="shared" si="40"/>
        <v>1</v>
      </c>
      <c r="L274" s="717"/>
      <c r="M274" s="24">
        <f t="shared" si="41"/>
        <v>1</v>
      </c>
      <c r="N274" s="717"/>
      <c r="O274" s="24">
        <f t="shared" si="42"/>
        <v>1</v>
      </c>
      <c r="P274" s="717"/>
      <c r="Q274" s="24">
        <f t="shared" si="43"/>
        <v>0</v>
      </c>
      <c r="R274" s="713">
        <f t="shared" si="44"/>
        <v>0</v>
      </c>
      <c r="S274" s="361">
        <f t="shared" si="35"/>
        <v>0</v>
      </c>
    </row>
    <row r="275" spans="1:19">
      <c r="A275" s="715"/>
      <c r="B275" s="59"/>
      <c r="C275" s="24">
        <f t="shared" si="36"/>
        <v>1</v>
      </c>
      <c r="D275" s="717"/>
      <c r="E275" s="24">
        <f t="shared" si="37"/>
        <v>0.04</v>
      </c>
      <c r="F275" s="717"/>
      <c r="G275" s="24">
        <f t="shared" si="38"/>
        <v>0.1</v>
      </c>
      <c r="H275" s="717"/>
      <c r="I275" s="24">
        <f t="shared" si="39"/>
        <v>0.02</v>
      </c>
      <c r="J275" s="717"/>
      <c r="K275" s="24">
        <f t="shared" si="40"/>
        <v>1</v>
      </c>
      <c r="L275" s="717"/>
      <c r="M275" s="24">
        <f t="shared" si="41"/>
        <v>1</v>
      </c>
      <c r="N275" s="717"/>
      <c r="O275" s="24">
        <f t="shared" si="42"/>
        <v>1</v>
      </c>
      <c r="P275" s="717"/>
      <c r="Q275" s="24">
        <f t="shared" si="43"/>
        <v>0</v>
      </c>
      <c r="R275" s="713">
        <f t="shared" si="44"/>
        <v>0</v>
      </c>
      <c r="S275" s="361">
        <f t="shared" si="35"/>
        <v>0</v>
      </c>
    </row>
    <row r="276" spans="1:19">
      <c r="A276" s="715"/>
      <c r="B276" s="59"/>
      <c r="C276" s="24">
        <f t="shared" si="36"/>
        <v>1</v>
      </c>
      <c r="D276" s="717"/>
      <c r="E276" s="24">
        <f t="shared" si="37"/>
        <v>0.04</v>
      </c>
      <c r="F276" s="717"/>
      <c r="G276" s="24">
        <f t="shared" si="38"/>
        <v>0.1</v>
      </c>
      <c r="H276" s="717"/>
      <c r="I276" s="24">
        <f t="shared" si="39"/>
        <v>0.02</v>
      </c>
      <c r="J276" s="717"/>
      <c r="K276" s="24">
        <f t="shared" si="40"/>
        <v>1</v>
      </c>
      <c r="L276" s="717"/>
      <c r="M276" s="24">
        <f t="shared" si="41"/>
        <v>1</v>
      </c>
      <c r="N276" s="717"/>
      <c r="O276" s="24">
        <f t="shared" si="42"/>
        <v>1</v>
      </c>
      <c r="P276" s="717"/>
      <c r="Q276" s="24">
        <f t="shared" si="43"/>
        <v>0</v>
      </c>
      <c r="R276" s="713">
        <f t="shared" si="44"/>
        <v>0</v>
      </c>
      <c r="S276" s="361">
        <f t="shared" si="35"/>
        <v>0</v>
      </c>
    </row>
    <row r="277" spans="1:19">
      <c r="A277" s="715"/>
      <c r="B277" s="59"/>
      <c r="C277" s="24">
        <f t="shared" si="36"/>
        <v>1</v>
      </c>
      <c r="D277" s="717"/>
      <c r="E277" s="24">
        <f t="shared" si="37"/>
        <v>0.04</v>
      </c>
      <c r="F277" s="717"/>
      <c r="G277" s="24">
        <f t="shared" si="38"/>
        <v>0.1</v>
      </c>
      <c r="H277" s="717"/>
      <c r="I277" s="24">
        <f t="shared" si="39"/>
        <v>0.02</v>
      </c>
      <c r="J277" s="717"/>
      <c r="K277" s="24">
        <f t="shared" si="40"/>
        <v>1</v>
      </c>
      <c r="L277" s="717"/>
      <c r="M277" s="24">
        <f t="shared" si="41"/>
        <v>1</v>
      </c>
      <c r="N277" s="717"/>
      <c r="O277" s="24">
        <f t="shared" si="42"/>
        <v>1</v>
      </c>
      <c r="P277" s="717"/>
      <c r="Q277" s="24">
        <f t="shared" si="43"/>
        <v>0</v>
      </c>
      <c r="R277" s="713">
        <f t="shared" si="44"/>
        <v>0</v>
      </c>
      <c r="S277" s="361">
        <f t="shared" si="35"/>
        <v>0</v>
      </c>
    </row>
    <row r="278" spans="1:19">
      <c r="A278" s="715"/>
      <c r="B278" s="59"/>
      <c r="C278" s="24">
        <f t="shared" si="36"/>
        <v>1</v>
      </c>
      <c r="D278" s="717"/>
      <c r="E278" s="24">
        <f t="shared" si="37"/>
        <v>0.04</v>
      </c>
      <c r="F278" s="717"/>
      <c r="G278" s="24">
        <f t="shared" si="38"/>
        <v>0.1</v>
      </c>
      <c r="H278" s="717"/>
      <c r="I278" s="24">
        <f t="shared" si="39"/>
        <v>0.02</v>
      </c>
      <c r="J278" s="717"/>
      <c r="K278" s="24">
        <f t="shared" si="40"/>
        <v>1</v>
      </c>
      <c r="L278" s="717"/>
      <c r="M278" s="24">
        <f t="shared" si="41"/>
        <v>1</v>
      </c>
      <c r="N278" s="717"/>
      <c r="O278" s="24">
        <f t="shared" si="42"/>
        <v>1</v>
      </c>
      <c r="P278" s="717"/>
      <c r="Q278" s="24">
        <f t="shared" si="43"/>
        <v>0</v>
      </c>
      <c r="R278" s="713">
        <f t="shared" si="44"/>
        <v>0</v>
      </c>
      <c r="S278" s="361">
        <f t="shared" si="35"/>
        <v>0</v>
      </c>
    </row>
    <row r="279" spans="1:19">
      <c r="A279" s="715"/>
      <c r="B279" s="59"/>
      <c r="C279" s="24">
        <f t="shared" si="36"/>
        <v>1</v>
      </c>
      <c r="D279" s="717"/>
      <c r="E279" s="24">
        <f t="shared" si="37"/>
        <v>0.04</v>
      </c>
      <c r="F279" s="717"/>
      <c r="G279" s="24">
        <f t="shared" si="38"/>
        <v>0.1</v>
      </c>
      <c r="H279" s="717"/>
      <c r="I279" s="24">
        <f t="shared" si="39"/>
        <v>0.02</v>
      </c>
      <c r="J279" s="717"/>
      <c r="K279" s="24">
        <f t="shared" si="40"/>
        <v>1</v>
      </c>
      <c r="L279" s="717"/>
      <c r="M279" s="24">
        <f t="shared" si="41"/>
        <v>1</v>
      </c>
      <c r="N279" s="717"/>
      <c r="O279" s="24">
        <f t="shared" si="42"/>
        <v>1</v>
      </c>
      <c r="P279" s="717"/>
      <c r="Q279" s="24">
        <f t="shared" si="43"/>
        <v>0</v>
      </c>
      <c r="R279" s="713">
        <f t="shared" si="44"/>
        <v>0</v>
      </c>
      <c r="S279" s="361">
        <f t="shared" si="35"/>
        <v>0</v>
      </c>
    </row>
    <row r="280" spans="1:19">
      <c r="A280" s="715"/>
      <c r="B280" s="59"/>
      <c r="C280" s="24">
        <f t="shared" si="36"/>
        <v>1</v>
      </c>
      <c r="D280" s="717"/>
      <c r="E280" s="24">
        <f t="shared" si="37"/>
        <v>0.04</v>
      </c>
      <c r="F280" s="717"/>
      <c r="G280" s="24">
        <f t="shared" si="38"/>
        <v>0.1</v>
      </c>
      <c r="H280" s="717"/>
      <c r="I280" s="24">
        <f t="shared" si="39"/>
        <v>0.02</v>
      </c>
      <c r="J280" s="717"/>
      <c r="K280" s="24">
        <f t="shared" si="40"/>
        <v>1</v>
      </c>
      <c r="L280" s="717"/>
      <c r="M280" s="24">
        <f t="shared" si="41"/>
        <v>1</v>
      </c>
      <c r="N280" s="717"/>
      <c r="O280" s="24">
        <f t="shared" si="42"/>
        <v>1</v>
      </c>
      <c r="P280" s="717"/>
      <c r="Q280" s="24">
        <f t="shared" si="43"/>
        <v>0</v>
      </c>
      <c r="R280" s="713">
        <f t="shared" si="44"/>
        <v>0</v>
      </c>
      <c r="S280" s="361">
        <f t="shared" ref="S280:S343" si="45">ROUND(R280*B280/10000,0)</f>
        <v>0</v>
      </c>
    </row>
    <row r="281" spans="1:19">
      <c r="A281" s="715"/>
      <c r="B281" s="59"/>
      <c r="C281" s="24">
        <f t="shared" si="36"/>
        <v>1</v>
      </c>
      <c r="D281" s="717"/>
      <c r="E281" s="24">
        <f t="shared" si="37"/>
        <v>0.04</v>
      </c>
      <c r="F281" s="717"/>
      <c r="G281" s="24">
        <f t="shared" si="38"/>
        <v>0.1</v>
      </c>
      <c r="H281" s="717"/>
      <c r="I281" s="24">
        <f t="shared" si="39"/>
        <v>0.02</v>
      </c>
      <c r="J281" s="717"/>
      <c r="K281" s="24">
        <f t="shared" si="40"/>
        <v>1</v>
      </c>
      <c r="L281" s="717"/>
      <c r="M281" s="24">
        <f t="shared" si="41"/>
        <v>1</v>
      </c>
      <c r="N281" s="717"/>
      <c r="O281" s="24">
        <f t="shared" si="42"/>
        <v>1</v>
      </c>
      <c r="P281" s="717"/>
      <c r="Q281" s="24">
        <f t="shared" si="43"/>
        <v>0</v>
      </c>
      <c r="R281" s="713">
        <f t="shared" si="44"/>
        <v>0</v>
      </c>
      <c r="S281" s="361">
        <f t="shared" si="45"/>
        <v>0</v>
      </c>
    </row>
    <row r="282" spans="1:19">
      <c r="A282" s="715"/>
      <c r="B282" s="59"/>
      <c r="C282" s="24">
        <f t="shared" ref="C282:C345" si="46">IF(B282="",1,(LOOKUP(B282,$3:$3,$4:$4)-LOOKUP($B$24,$3:$3,$4:$4)+100)/100)</f>
        <v>1</v>
      </c>
      <c r="D282" s="717"/>
      <c r="E282" s="24">
        <f t="shared" ref="E282:E345" si="47">(SUMIF($5:$5,D282,$6:$6)-SUMIF($5:$5,$D$24,$6:$6)+100)/100</f>
        <v>0.04</v>
      </c>
      <c r="F282" s="717"/>
      <c r="G282" s="24">
        <f t="shared" ref="G282:G345" si="48">(SUMIF($7:$7,F282,$8:$8)-SUMIF($7:$7,$F$24,$8:$8)+100)/100</f>
        <v>0.1</v>
      </c>
      <c r="H282" s="717"/>
      <c r="I282" s="24">
        <f t="shared" ref="I282:I345" si="49">(SUMIF($9:$9,H282,$10:$10)-SUMIF($9:$9,$H$24,$10:$10)+100)/100</f>
        <v>0.02</v>
      </c>
      <c r="J282" s="717"/>
      <c r="K282" s="24">
        <f t="shared" ref="K282:K345" si="50">(SUMIF($11:$11,J282,$12:$12)-SUMIF($11:$11,$J$24,$12:$12)+100)/100</f>
        <v>1</v>
      </c>
      <c r="L282" s="717"/>
      <c r="M282" s="24">
        <f t="shared" ref="M282:M345" si="51">(SUMIF($13:$13,L282,$14:$14)-SUMIF($13:$13,$L$24,$14:$14)+100)/100</f>
        <v>1</v>
      </c>
      <c r="N282" s="717"/>
      <c r="O282" s="24">
        <f t="shared" ref="O282:O345" si="52">(SUMIF($15:$15,N282,$16:$16)-SUMIF($15:$15,$N$24,$16:$16)+100)/100</f>
        <v>1</v>
      </c>
      <c r="P282" s="717"/>
      <c r="Q282" s="24">
        <f t="shared" ref="Q282:Q345" si="53">(SUMIF($17:$17,P282,$18:$18)-SUMIF($17:$17,$P$24,$18:$18)+100)/100</f>
        <v>0</v>
      </c>
      <c r="R282" s="713">
        <f t="shared" ref="R282:R345" si="54">IF(B282="",0,ROUND($R$24*C282*E282*G282*I282*K282*M282*O282*Q282,0))</f>
        <v>0</v>
      </c>
      <c r="S282" s="361">
        <f t="shared" si="45"/>
        <v>0</v>
      </c>
    </row>
    <row r="283" spans="1:19">
      <c r="A283" s="715"/>
      <c r="B283" s="59"/>
      <c r="C283" s="24">
        <f t="shared" si="46"/>
        <v>1</v>
      </c>
      <c r="D283" s="717"/>
      <c r="E283" s="24">
        <f t="shared" si="47"/>
        <v>0.04</v>
      </c>
      <c r="F283" s="717"/>
      <c r="G283" s="24">
        <f t="shared" si="48"/>
        <v>0.1</v>
      </c>
      <c r="H283" s="717"/>
      <c r="I283" s="24">
        <f t="shared" si="49"/>
        <v>0.02</v>
      </c>
      <c r="J283" s="717"/>
      <c r="K283" s="24">
        <f t="shared" si="50"/>
        <v>1</v>
      </c>
      <c r="L283" s="717"/>
      <c r="M283" s="24">
        <f t="shared" si="51"/>
        <v>1</v>
      </c>
      <c r="N283" s="717"/>
      <c r="O283" s="24">
        <f t="shared" si="52"/>
        <v>1</v>
      </c>
      <c r="P283" s="717"/>
      <c r="Q283" s="24">
        <f t="shared" si="53"/>
        <v>0</v>
      </c>
      <c r="R283" s="713">
        <f t="shared" si="54"/>
        <v>0</v>
      </c>
      <c r="S283" s="361">
        <f t="shared" si="45"/>
        <v>0</v>
      </c>
    </row>
    <row r="284" spans="1:19">
      <c r="A284" s="715"/>
      <c r="B284" s="59"/>
      <c r="C284" s="24">
        <f t="shared" si="46"/>
        <v>1</v>
      </c>
      <c r="D284" s="717"/>
      <c r="E284" s="24">
        <f t="shared" si="47"/>
        <v>0.04</v>
      </c>
      <c r="F284" s="717"/>
      <c r="G284" s="24">
        <f t="shared" si="48"/>
        <v>0.1</v>
      </c>
      <c r="H284" s="717"/>
      <c r="I284" s="24">
        <f t="shared" si="49"/>
        <v>0.02</v>
      </c>
      <c r="J284" s="717"/>
      <c r="K284" s="24">
        <f t="shared" si="50"/>
        <v>1</v>
      </c>
      <c r="L284" s="717"/>
      <c r="M284" s="24">
        <f t="shared" si="51"/>
        <v>1</v>
      </c>
      <c r="N284" s="717"/>
      <c r="O284" s="24">
        <f t="shared" si="52"/>
        <v>1</v>
      </c>
      <c r="P284" s="717"/>
      <c r="Q284" s="24">
        <f t="shared" si="53"/>
        <v>0</v>
      </c>
      <c r="R284" s="713">
        <f t="shared" si="54"/>
        <v>0</v>
      </c>
      <c r="S284" s="361">
        <f t="shared" si="45"/>
        <v>0</v>
      </c>
    </row>
    <row r="285" spans="1:19">
      <c r="A285" s="715"/>
      <c r="B285" s="59"/>
      <c r="C285" s="24">
        <f t="shared" si="46"/>
        <v>1</v>
      </c>
      <c r="D285" s="717"/>
      <c r="E285" s="24">
        <f t="shared" si="47"/>
        <v>0.04</v>
      </c>
      <c r="F285" s="717"/>
      <c r="G285" s="24">
        <f t="shared" si="48"/>
        <v>0.1</v>
      </c>
      <c r="H285" s="717"/>
      <c r="I285" s="24">
        <f t="shared" si="49"/>
        <v>0.02</v>
      </c>
      <c r="J285" s="717"/>
      <c r="K285" s="24">
        <f t="shared" si="50"/>
        <v>1</v>
      </c>
      <c r="L285" s="717"/>
      <c r="M285" s="24">
        <f t="shared" si="51"/>
        <v>1</v>
      </c>
      <c r="N285" s="717"/>
      <c r="O285" s="24">
        <f t="shared" si="52"/>
        <v>1</v>
      </c>
      <c r="P285" s="717"/>
      <c r="Q285" s="24">
        <f t="shared" si="53"/>
        <v>0</v>
      </c>
      <c r="R285" s="713">
        <f t="shared" si="54"/>
        <v>0</v>
      </c>
      <c r="S285" s="361">
        <f t="shared" si="45"/>
        <v>0</v>
      </c>
    </row>
    <row r="286" spans="1:19">
      <c r="A286" s="715"/>
      <c r="B286" s="59"/>
      <c r="C286" s="24">
        <f t="shared" si="46"/>
        <v>1</v>
      </c>
      <c r="D286" s="717"/>
      <c r="E286" s="24">
        <f t="shared" si="47"/>
        <v>0.04</v>
      </c>
      <c r="F286" s="717"/>
      <c r="G286" s="24">
        <f t="shared" si="48"/>
        <v>0.1</v>
      </c>
      <c r="H286" s="717"/>
      <c r="I286" s="24">
        <f t="shared" si="49"/>
        <v>0.02</v>
      </c>
      <c r="J286" s="717"/>
      <c r="K286" s="24">
        <f t="shared" si="50"/>
        <v>1</v>
      </c>
      <c r="L286" s="717"/>
      <c r="M286" s="24">
        <f t="shared" si="51"/>
        <v>1</v>
      </c>
      <c r="N286" s="717"/>
      <c r="O286" s="24">
        <f t="shared" si="52"/>
        <v>1</v>
      </c>
      <c r="P286" s="717"/>
      <c r="Q286" s="24">
        <f t="shared" si="53"/>
        <v>0</v>
      </c>
      <c r="R286" s="713">
        <f t="shared" si="54"/>
        <v>0</v>
      </c>
      <c r="S286" s="361">
        <f t="shared" si="45"/>
        <v>0</v>
      </c>
    </row>
    <row r="287" spans="1:19">
      <c r="A287" s="715"/>
      <c r="B287" s="59"/>
      <c r="C287" s="24">
        <f t="shared" si="46"/>
        <v>1</v>
      </c>
      <c r="D287" s="717"/>
      <c r="E287" s="24">
        <f t="shared" si="47"/>
        <v>0.04</v>
      </c>
      <c r="F287" s="717"/>
      <c r="G287" s="24">
        <f t="shared" si="48"/>
        <v>0.1</v>
      </c>
      <c r="H287" s="717"/>
      <c r="I287" s="24">
        <f t="shared" si="49"/>
        <v>0.02</v>
      </c>
      <c r="J287" s="717"/>
      <c r="K287" s="24">
        <f t="shared" si="50"/>
        <v>1</v>
      </c>
      <c r="L287" s="717"/>
      <c r="M287" s="24">
        <f t="shared" si="51"/>
        <v>1</v>
      </c>
      <c r="N287" s="717"/>
      <c r="O287" s="24">
        <f t="shared" si="52"/>
        <v>1</v>
      </c>
      <c r="P287" s="717"/>
      <c r="Q287" s="24">
        <f t="shared" si="53"/>
        <v>0</v>
      </c>
      <c r="R287" s="713">
        <f t="shared" si="54"/>
        <v>0</v>
      </c>
      <c r="S287" s="361">
        <f t="shared" si="45"/>
        <v>0</v>
      </c>
    </row>
    <row r="288" spans="1:19">
      <c r="A288" s="715"/>
      <c r="B288" s="59"/>
      <c r="C288" s="24">
        <f t="shared" si="46"/>
        <v>1</v>
      </c>
      <c r="D288" s="717"/>
      <c r="E288" s="24">
        <f t="shared" si="47"/>
        <v>0.04</v>
      </c>
      <c r="F288" s="717"/>
      <c r="G288" s="24">
        <f t="shared" si="48"/>
        <v>0.1</v>
      </c>
      <c r="H288" s="717"/>
      <c r="I288" s="24">
        <f t="shared" si="49"/>
        <v>0.02</v>
      </c>
      <c r="J288" s="717"/>
      <c r="K288" s="24">
        <f t="shared" si="50"/>
        <v>1</v>
      </c>
      <c r="L288" s="717"/>
      <c r="M288" s="24">
        <f t="shared" si="51"/>
        <v>1</v>
      </c>
      <c r="N288" s="717"/>
      <c r="O288" s="24">
        <f t="shared" si="52"/>
        <v>1</v>
      </c>
      <c r="P288" s="717"/>
      <c r="Q288" s="24">
        <f t="shared" si="53"/>
        <v>0</v>
      </c>
      <c r="R288" s="713">
        <f t="shared" si="54"/>
        <v>0</v>
      </c>
      <c r="S288" s="361">
        <f t="shared" si="45"/>
        <v>0</v>
      </c>
    </row>
    <row r="289" spans="1:19">
      <c r="A289" s="715"/>
      <c r="B289" s="59"/>
      <c r="C289" s="24">
        <f t="shared" si="46"/>
        <v>1</v>
      </c>
      <c r="D289" s="717"/>
      <c r="E289" s="24">
        <f t="shared" si="47"/>
        <v>0.04</v>
      </c>
      <c r="F289" s="717"/>
      <c r="G289" s="24">
        <f t="shared" si="48"/>
        <v>0.1</v>
      </c>
      <c r="H289" s="717"/>
      <c r="I289" s="24">
        <f t="shared" si="49"/>
        <v>0.02</v>
      </c>
      <c r="J289" s="717"/>
      <c r="K289" s="24">
        <f t="shared" si="50"/>
        <v>1</v>
      </c>
      <c r="L289" s="717"/>
      <c r="M289" s="24">
        <f t="shared" si="51"/>
        <v>1</v>
      </c>
      <c r="N289" s="717"/>
      <c r="O289" s="24">
        <f t="shared" si="52"/>
        <v>1</v>
      </c>
      <c r="P289" s="717"/>
      <c r="Q289" s="24">
        <f t="shared" si="53"/>
        <v>0</v>
      </c>
      <c r="R289" s="713">
        <f t="shared" si="54"/>
        <v>0</v>
      </c>
      <c r="S289" s="361">
        <f t="shared" si="45"/>
        <v>0</v>
      </c>
    </row>
    <row r="290" spans="1:19">
      <c r="A290" s="715"/>
      <c r="B290" s="59"/>
      <c r="C290" s="24">
        <f t="shared" si="46"/>
        <v>1</v>
      </c>
      <c r="D290" s="717"/>
      <c r="E290" s="24">
        <f t="shared" si="47"/>
        <v>0.04</v>
      </c>
      <c r="F290" s="717"/>
      <c r="G290" s="24">
        <f t="shared" si="48"/>
        <v>0.1</v>
      </c>
      <c r="H290" s="717"/>
      <c r="I290" s="24">
        <f t="shared" si="49"/>
        <v>0.02</v>
      </c>
      <c r="J290" s="717"/>
      <c r="K290" s="24">
        <f t="shared" si="50"/>
        <v>1</v>
      </c>
      <c r="L290" s="717"/>
      <c r="M290" s="24">
        <f t="shared" si="51"/>
        <v>1</v>
      </c>
      <c r="N290" s="717"/>
      <c r="O290" s="24">
        <f t="shared" si="52"/>
        <v>1</v>
      </c>
      <c r="P290" s="717"/>
      <c r="Q290" s="24">
        <f t="shared" si="53"/>
        <v>0</v>
      </c>
      <c r="R290" s="713">
        <f t="shared" si="54"/>
        <v>0</v>
      </c>
      <c r="S290" s="361">
        <f t="shared" si="45"/>
        <v>0</v>
      </c>
    </row>
    <row r="291" spans="1:19">
      <c r="A291" s="715"/>
      <c r="B291" s="59"/>
      <c r="C291" s="24">
        <f t="shared" si="46"/>
        <v>1</v>
      </c>
      <c r="D291" s="717"/>
      <c r="E291" s="24">
        <f t="shared" si="47"/>
        <v>0.04</v>
      </c>
      <c r="F291" s="717"/>
      <c r="G291" s="24">
        <f t="shared" si="48"/>
        <v>0.1</v>
      </c>
      <c r="H291" s="717"/>
      <c r="I291" s="24">
        <f t="shared" si="49"/>
        <v>0.02</v>
      </c>
      <c r="J291" s="717"/>
      <c r="K291" s="24">
        <f t="shared" si="50"/>
        <v>1</v>
      </c>
      <c r="L291" s="717"/>
      <c r="M291" s="24">
        <f t="shared" si="51"/>
        <v>1</v>
      </c>
      <c r="N291" s="717"/>
      <c r="O291" s="24">
        <f t="shared" si="52"/>
        <v>1</v>
      </c>
      <c r="P291" s="717"/>
      <c r="Q291" s="24">
        <f t="shared" si="53"/>
        <v>0</v>
      </c>
      <c r="R291" s="713">
        <f t="shared" si="54"/>
        <v>0</v>
      </c>
      <c r="S291" s="361">
        <f t="shared" si="45"/>
        <v>0</v>
      </c>
    </row>
    <row r="292" spans="1:19">
      <c r="A292" s="715"/>
      <c r="B292" s="59"/>
      <c r="C292" s="24">
        <f t="shared" si="46"/>
        <v>1</v>
      </c>
      <c r="D292" s="717"/>
      <c r="E292" s="24">
        <f t="shared" si="47"/>
        <v>0.04</v>
      </c>
      <c r="F292" s="717"/>
      <c r="G292" s="24">
        <f t="shared" si="48"/>
        <v>0.1</v>
      </c>
      <c r="H292" s="717"/>
      <c r="I292" s="24">
        <f t="shared" si="49"/>
        <v>0.02</v>
      </c>
      <c r="J292" s="717"/>
      <c r="K292" s="24">
        <f t="shared" si="50"/>
        <v>1</v>
      </c>
      <c r="L292" s="717"/>
      <c r="M292" s="24">
        <f t="shared" si="51"/>
        <v>1</v>
      </c>
      <c r="N292" s="717"/>
      <c r="O292" s="24">
        <f t="shared" si="52"/>
        <v>1</v>
      </c>
      <c r="P292" s="717"/>
      <c r="Q292" s="24">
        <f t="shared" si="53"/>
        <v>0</v>
      </c>
      <c r="R292" s="713">
        <f t="shared" si="54"/>
        <v>0</v>
      </c>
      <c r="S292" s="361">
        <f t="shared" si="45"/>
        <v>0</v>
      </c>
    </row>
    <row r="293" spans="1:19">
      <c r="A293" s="715"/>
      <c r="B293" s="59"/>
      <c r="C293" s="24">
        <f t="shared" si="46"/>
        <v>1</v>
      </c>
      <c r="D293" s="717"/>
      <c r="E293" s="24">
        <f t="shared" si="47"/>
        <v>0.04</v>
      </c>
      <c r="F293" s="717"/>
      <c r="G293" s="24">
        <f t="shared" si="48"/>
        <v>0.1</v>
      </c>
      <c r="H293" s="717"/>
      <c r="I293" s="24">
        <f t="shared" si="49"/>
        <v>0.02</v>
      </c>
      <c r="J293" s="717"/>
      <c r="K293" s="24">
        <f t="shared" si="50"/>
        <v>1</v>
      </c>
      <c r="L293" s="717"/>
      <c r="M293" s="24">
        <f t="shared" si="51"/>
        <v>1</v>
      </c>
      <c r="N293" s="717"/>
      <c r="O293" s="24">
        <f t="shared" si="52"/>
        <v>1</v>
      </c>
      <c r="P293" s="717"/>
      <c r="Q293" s="24">
        <f t="shared" si="53"/>
        <v>0</v>
      </c>
      <c r="R293" s="713">
        <f t="shared" si="54"/>
        <v>0</v>
      </c>
      <c r="S293" s="361">
        <f t="shared" si="45"/>
        <v>0</v>
      </c>
    </row>
    <row r="294" spans="1:19">
      <c r="A294" s="715"/>
      <c r="B294" s="59"/>
      <c r="C294" s="24">
        <f t="shared" si="46"/>
        <v>1</v>
      </c>
      <c r="D294" s="717"/>
      <c r="E294" s="24">
        <f t="shared" si="47"/>
        <v>0.04</v>
      </c>
      <c r="F294" s="717"/>
      <c r="G294" s="24">
        <f t="shared" si="48"/>
        <v>0.1</v>
      </c>
      <c r="H294" s="717"/>
      <c r="I294" s="24">
        <f t="shared" si="49"/>
        <v>0.02</v>
      </c>
      <c r="J294" s="717"/>
      <c r="K294" s="24">
        <f t="shared" si="50"/>
        <v>1</v>
      </c>
      <c r="L294" s="717"/>
      <c r="M294" s="24">
        <f t="shared" si="51"/>
        <v>1</v>
      </c>
      <c r="N294" s="717"/>
      <c r="O294" s="24">
        <f t="shared" si="52"/>
        <v>1</v>
      </c>
      <c r="P294" s="717"/>
      <c r="Q294" s="24">
        <f t="shared" si="53"/>
        <v>0</v>
      </c>
      <c r="R294" s="713">
        <f t="shared" si="54"/>
        <v>0</v>
      </c>
      <c r="S294" s="361">
        <f t="shared" si="45"/>
        <v>0</v>
      </c>
    </row>
    <row r="295" spans="1:19">
      <c r="A295" s="715"/>
      <c r="B295" s="59"/>
      <c r="C295" s="24">
        <f t="shared" si="46"/>
        <v>1</v>
      </c>
      <c r="D295" s="717"/>
      <c r="E295" s="24">
        <f t="shared" si="47"/>
        <v>0.04</v>
      </c>
      <c r="F295" s="717"/>
      <c r="G295" s="24">
        <f t="shared" si="48"/>
        <v>0.1</v>
      </c>
      <c r="H295" s="717"/>
      <c r="I295" s="24">
        <f t="shared" si="49"/>
        <v>0.02</v>
      </c>
      <c r="J295" s="717"/>
      <c r="K295" s="24">
        <f t="shared" si="50"/>
        <v>1</v>
      </c>
      <c r="L295" s="717"/>
      <c r="M295" s="24">
        <f t="shared" si="51"/>
        <v>1</v>
      </c>
      <c r="N295" s="717"/>
      <c r="O295" s="24">
        <f t="shared" si="52"/>
        <v>1</v>
      </c>
      <c r="P295" s="717"/>
      <c r="Q295" s="24">
        <f t="shared" si="53"/>
        <v>0</v>
      </c>
      <c r="R295" s="713">
        <f t="shared" si="54"/>
        <v>0</v>
      </c>
      <c r="S295" s="361">
        <f t="shared" si="45"/>
        <v>0</v>
      </c>
    </row>
    <row r="296" spans="1:19">
      <c r="A296" s="715"/>
      <c r="B296" s="59"/>
      <c r="C296" s="24">
        <f t="shared" si="46"/>
        <v>1</v>
      </c>
      <c r="D296" s="717"/>
      <c r="E296" s="24">
        <f t="shared" si="47"/>
        <v>0.04</v>
      </c>
      <c r="F296" s="717"/>
      <c r="G296" s="24">
        <f t="shared" si="48"/>
        <v>0.1</v>
      </c>
      <c r="H296" s="717"/>
      <c r="I296" s="24">
        <f t="shared" si="49"/>
        <v>0.02</v>
      </c>
      <c r="J296" s="717"/>
      <c r="K296" s="24">
        <f t="shared" si="50"/>
        <v>1</v>
      </c>
      <c r="L296" s="717"/>
      <c r="M296" s="24">
        <f t="shared" si="51"/>
        <v>1</v>
      </c>
      <c r="N296" s="717"/>
      <c r="O296" s="24">
        <f t="shared" si="52"/>
        <v>1</v>
      </c>
      <c r="P296" s="717"/>
      <c r="Q296" s="24">
        <f t="shared" si="53"/>
        <v>0</v>
      </c>
      <c r="R296" s="713">
        <f t="shared" si="54"/>
        <v>0</v>
      </c>
      <c r="S296" s="361">
        <f t="shared" si="45"/>
        <v>0</v>
      </c>
    </row>
    <row r="297" spans="1:19">
      <c r="A297" s="715"/>
      <c r="B297" s="59"/>
      <c r="C297" s="24">
        <f t="shared" si="46"/>
        <v>1</v>
      </c>
      <c r="D297" s="717"/>
      <c r="E297" s="24">
        <f t="shared" si="47"/>
        <v>0.04</v>
      </c>
      <c r="F297" s="717"/>
      <c r="G297" s="24">
        <f t="shared" si="48"/>
        <v>0.1</v>
      </c>
      <c r="H297" s="717"/>
      <c r="I297" s="24">
        <f t="shared" si="49"/>
        <v>0.02</v>
      </c>
      <c r="J297" s="717"/>
      <c r="K297" s="24">
        <f t="shared" si="50"/>
        <v>1</v>
      </c>
      <c r="L297" s="717"/>
      <c r="M297" s="24">
        <f t="shared" si="51"/>
        <v>1</v>
      </c>
      <c r="N297" s="717"/>
      <c r="O297" s="24">
        <f t="shared" si="52"/>
        <v>1</v>
      </c>
      <c r="P297" s="717"/>
      <c r="Q297" s="24">
        <f t="shared" si="53"/>
        <v>0</v>
      </c>
      <c r="R297" s="713">
        <f t="shared" si="54"/>
        <v>0</v>
      </c>
      <c r="S297" s="361">
        <f t="shared" si="45"/>
        <v>0</v>
      </c>
    </row>
    <row r="298" spans="1:19">
      <c r="A298" s="715"/>
      <c r="B298" s="59"/>
      <c r="C298" s="24">
        <f t="shared" si="46"/>
        <v>1</v>
      </c>
      <c r="D298" s="717"/>
      <c r="E298" s="24">
        <f t="shared" si="47"/>
        <v>0.04</v>
      </c>
      <c r="F298" s="717"/>
      <c r="G298" s="24">
        <f t="shared" si="48"/>
        <v>0.1</v>
      </c>
      <c r="H298" s="717"/>
      <c r="I298" s="24">
        <f t="shared" si="49"/>
        <v>0.02</v>
      </c>
      <c r="J298" s="717"/>
      <c r="K298" s="24">
        <f t="shared" si="50"/>
        <v>1</v>
      </c>
      <c r="L298" s="717"/>
      <c r="M298" s="24">
        <f t="shared" si="51"/>
        <v>1</v>
      </c>
      <c r="N298" s="717"/>
      <c r="O298" s="24">
        <f t="shared" si="52"/>
        <v>1</v>
      </c>
      <c r="P298" s="717"/>
      <c r="Q298" s="24">
        <f t="shared" si="53"/>
        <v>0</v>
      </c>
      <c r="R298" s="713">
        <f t="shared" si="54"/>
        <v>0</v>
      </c>
      <c r="S298" s="361">
        <f t="shared" si="45"/>
        <v>0</v>
      </c>
    </row>
    <row r="299" spans="1:19">
      <c r="A299" s="715"/>
      <c r="B299" s="59"/>
      <c r="C299" s="24">
        <f t="shared" si="46"/>
        <v>1</v>
      </c>
      <c r="D299" s="717"/>
      <c r="E299" s="24">
        <f t="shared" si="47"/>
        <v>0.04</v>
      </c>
      <c r="F299" s="717"/>
      <c r="G299" s="24">
        <f t="shared" si="48"/>
        <v>0.1</v>
      </c>
      <c r="H299" s="717"/>
      <c r="I299" s="24">
        <f t="shared" si="49"/>
        <v>0.02</v>
      </c>
      <c r="J299" s="717"/>
      <c r="K299" s="24">
        <f t="shared" si="50"/>
        <v>1</v>
      </c>
      <c r="L299" s="717"/>
      <c r="M299" s="24">
        <f t="shared" si="51"/>
        <v>1</v>
      </c>
      <c r="N299" s="717"/>
      <c r="O299" s="24">
        <f t="shared" si="52"/>
        <v>1</v>
      </c>
      <c r="P299" s="717"/>
      <c r="Q299" s="24">
        <f t="shared" si="53"/>
        <v>0</v>
      </c>
      <c r="R299" s="713">
        <f t="shared" si="54"/>
        <v>0</v>
      </c>
      <c r="S299" s="361">
        <f t="shared" si="45"/>
        <v>0</v>
      </c>
    </row>
    <row r="300" spans="1:19">
      <c r="A300" s="715"/>
      <c r="B300" s="59"/>
      <c r="C300" s="24">
        <f t="shared" si="46"/>
        <v>1</v>
      </c>
      <c r="D300" s="717"/>
      <c r="E300" s="24">
        <f t="shared" si="47"/>
        <v>0.04</v>
      </c>
      <c r="F300" s="717"/>
      <c r="G300" s="24">
        <f t="shared" si="48"/>
        <v>0.1</v>
      </c>
      <c r="H300" s="717"/>
      <c r="I300" s="24">
        <f t="shared" si="49"/>
        <v>0.02</v>
      </c>
      <c r="J300" s="717"/>
      <c r="K300" s="24">
        <f t="shared" si="50"/>
        <v>1</v>
      </c>
      <c r="L300" s="717"/>
      <c r="M300" s="24">
        <f t="shared" si="51"/>
        <v>1</v>
      </c>
      <c r="N300" s="717"/>
      <c r="O300" s="24">
        <f t="shared" si="52"/>
        <v>1</v>
      </c>
      <c r="P300" s="717"/>
      <c r="Q300" s="24">
        <f t="shared" si="53"/>
        <v>0</v>
      </c>
      <c r="R300" s="713">
        <f t="shared" si="54"/>
        <v>0</v>
      </c>
      <c r="S300" s="361">
        <f t="shared" si="45"/>
        <v>0</v>
      </c>
    </row>
    <row r="301" spans="1:19">
      <c r="A301" s="715"/>
      <c r="B301" s="59"/>
      <c r="C301" s="24">
        <f t="shared" si="46"/>
        <v>1</v>
      </c>
      <c r="D301" s="717"/>
      <c r="E301" s="24">
        <f t="shared" si="47"/>
        <v>0.04</v>
      </c>
      <c r="F301" s="717"/>
      <c r="G301" s="24">
        <f t="shared" si="48"/>
        <v>0.1</v>
      </c>
      <c r="H301" s="717"/>
      <c r="I301" s="24">
        <f t="shared" si="49"/>
        <v>0.02</v>
      </c>
      <c r="J301" s="717"/>
      <c r="K301" s="24">
        <f t="shared" si="50"/>
        <v>1</v>
      </c>
      <c r="L301" s="717"/>
      <c r="M301" s="24">
        <f t="shared" si="51"/>
        <v>1</v>
      </c>
      <c r="N301" s="717"/>
      <c r="O301" s="24">
        <f t="shared" si="52"/>
        <v>1</v>
      </c>
      <c r="P301" s="717"/>
      <c r="Q301" s="24">
        <f t="shared" si="53"/>
        <v>0</v>
      </c>
      <c r="R301" s="713">
        <f t="shared" si="54"/>
        <v>0</v>
      </c>
      <c r="S301" s="361">
        <f t="shared" si="45"/>
        <v>0</v>
      </c>
    </row>
    <row r="302" spans="1:19">
      <c r="A302" s="715"/>
      <c r="B302" s="59"/>
      <c r="C302" s="24">
        <f t="shared" si="46"/>
        <v>1</v>
      </c>
      <c r="D302" s="717"/>
      <c r="E302" s="24">
        <f t="shared" si="47"/>
        <v>0.04</v>
      </c>
      <c r="F302" s="717"/>
      <c r="G302" s="24">
        <f t="shared" si="48"/>
        <v>0.1</v>
      </c>
      <c r="H302" s="717"/>
      <c r="I302" s="24">
        <f t="shared" si="49"/>
        <v>0.02</v>
      </c>
      <c r="J302" s="717"/>
      <c r="K302" s="24">
        <f t="shared" si="50"/>
        <v>1</v>
      </c>
      <c r="L302" s="717"/>
      <c r="M302" s="24">
        <f t="shared" si="51"/>
        <v>1</v>
      </c>
      <c r="N302" s="717"/>
      <c r="O302" s="24">
        <f t="shared" si="52"/>
        <v>1</v>
      </c>
      <c r="P302" s="717"/>
      <c r="Q302" s="24">
        <f t="shared" si="53"/>
        <v>0</v>
      </c>
      <c r="R302" s="713">
        <f t="shared" si="54"/>
        <v>0</v>
      </c>
      <c r="S302" s="361">
        <f t="shared" si="45"/>
        <v>0</v>
      </c>
    </row>
    <row r="303" spans="1:19">
      <c r="A303" s="715"/>
      <c r="B303" s="59"/>
      <c r="C303" s="24">
        <f t="shared" si="46"/>
        <v>1</v>
      </c>
      <c r="D303" s="717"/>
      <c r="E303" s="24">
        <f t="shared" si="47"/>
        <v>0.04</v>
      </c>
      <c r="F303" s="717"/>
      <c r="G303" s="24">
        <f t="shared" si="48"/>
        <v>0.1</v>
      </c>
      <c r="H303" s="717"/>
      <c r="I303" s="24">
        <f t="shared" si="49"/>
        <v>0.02</v>
      </c>
      <c r="J303" s="717"/>
      <c r="K303" s="24">
        <f t="shared" si="50"/>
        <v>1</v>
      </c>
      <c r="L303" s="717"/>
      <c r="M303" s="24">
        <f t="shared" si="51"/>
        <v>1</v>
      </c>
      <c r="N303" s="717"/>
      <c r="O303" s="24">
        <f t="shared" si="52"/>
        <v>1</v>
      </c>
      <c r="P303" s="717"/>
      <c r="Q303" s="24">
        <f t="shared" si="53"/>
        <v>0</v>
      </c>
      <c r="R303" s="713">
        <f t="shared" si="54"/>
        <v>0</v>
      </c>
      <c r="S303" s="361">
        <f t="shared" si="45"/>
        <v>0</v>
      </c>
    </row>
    <row r="304" spans="1:19">
      <c r="A304" s="715"/>
      <c r="B304" s="59"/>
      <c r="C304" s="24">
        <f t="shared" si="46"/>
        <v>1</v>
      </c>
      <c r="D304" s="717"/>
      <c r="E304" s="24">
        <f t="shared" si="47"/>
        <v>0.04</v>
      </c>
      <c r="F304" s="717"/>
      <c r="G304" s="24">
        <f t="shared" si="48"/>
        <v>0.1</v>
      </c>
      <c r="H304" s="717"/>
      <c r="I304" s="24">
        <f t="shared" si="49"/>
        <v>0.02</v>
      </c>
      <c r="J304" s="717"/>
      <c r="K304" s="24">
        <f t="shared" si="50"/>
        <v>1</v>
      </c>
      <c r="L304" s="717"/>
      <c r="M304" s="24">
        <f t="shared" si="51"/>
        <v>1</v>
      </c>
      <c r="N304" s="717"/>
      <c r="O304" s="24">
        <f t="shared" si="52"/>
        <v>1</v>
      </c>
      <c r="P304" s="717"/>
      <c r="Q304" s="24">
        <f t="shared" si="53"/>
        <v>0</v>
      </c>
      <c r="R304" s="713">
        <f t="shared" si="54"/>
        <v>0</v>
      </c>
      <c r="S304" s="361">
        <f t="shared" si="45"/>
        <v>0</v>
      </c>
    </row>
    <row r="305" spans="1:19">
      <c r="A305" s="715"/>
      <c r="B305" s="59"/>
      <c r="C305" s="24">
        <f t="shared" si="46"/>
        <v>1</v>
      </c>
      <c r="D305" s="717"/>
      <c r="E305" s="24">
        <f t="shared" si="47"/>
        <v>0.04</v>
      </c>
      <c r="F305" s="717"/>
      <c r="G305" s="24">
        <f t="shared" si="48"/>
        <v>0.1</v>
      </c>
      <c r="H305" s="717"/>
      <c r="I305" s="24">
        <f t="shared" si="49"/>
        <v>0.02</v>
      </c>
      <c r="J305" s="717"/>
      <c r="K305" s="24">
        <f t="shared" si="50"/>
        <v>1</v>
      </c>
      <c r="L305" s="717"/>
      <c r="M305" s="24">
        <f t="shared" si="51"/>
        <v>1</v>
      </c>
      <c r="N305" s="717"/>
      <c r="O305" s="24">
        <f t="shared" si="52"/>
        <v>1</v>
      </c>
      <c r="P305" s="717"/>
      <c r="Q305" s="24">
        <f t="shared" si="53"/>
        <v>0</v>
      </c>
      <c r="R305" s="713">
        <f t="shared" si="54"/>
        <v>0</v>
      </c>
      <c r="S305" s="361">
        <f t="shared" si="45"/>
        <v>0</v>
      </c>
    </row>
    <row r="306" spans="1:19">
      <c r="A306" s="715"/>
      <c r="B306" s="59"/>
      <c r="C306" s="24">
        <f t="shared" si="46"/>
        <v>1</v>
      </c>
      <c r="D306" s="717"/>
      <c r="E306" s="24">
        <f t="shared" si="47"/>
        <v>0.04</v>
      </c>
      <c r="F306" s="717"/>
      <c r="G306" s="24">
        <f t="shared" si="48"/>
        <v>0.1</v>
      </c>
      <c r="H306" s="717"/>
      <c r="I306" s="24">
        <f t="shared" si="49"/>
        <v>0.02</v>
      </c>
      <c r="J306" s="717"/>
      <c r="K306" s="24">
        <f t="shared" si="50"/>
        <v>1</v>
      </c>
      <c r="L306" s="717"/>
      <c r="M306" s="24">
        <f t="shared" si="51"/>
        <v>1</v>
      </c>
      <c r="N306" s="717"/>
      <c r="O306" s="24">
        <f t="shared" si="52"/>
        <v>1</v>
      </c>
      <c r="P306" s="717"/>
      <c r="Q306" s="24">
        <f t="shared" si="53"/>
        <v>0</v>
      </c>
      <c r="R306" s="713">
        <f t="shared" si="54"/>
        <v>0</v>
      </c>
      <c r="S306" s="361">
        <f t="shared" si="45"/>
        <v>0</v>
      </c>
    </row>
    <row r="307" spans="1:19">
      <c r="A307" s="715"/>
      <c r="B307" s="59"/>
      <c r="C307" s="24">
        <f t="shared" si="46"/>
        <v>1</v>
      </c>
      <c r="D307" s="717"/>
      <c r="E307" s="24">
        <f t="shared" si="47"/>
        <v>0.04</v>
      </c>
      <c r="F307" s="717"/>
      <c r="G307" s="24">
        <f t="shared" si="48"/>
        <v>0.1</v>
      </c>
      <c r="H307" s="717"/>
      <c r="I307" s="24">
        <f t="shared" si="49"/>
        <v>0.02</v>
      </c>
      <c r="J307" s="717"/>
      <c r="K307" s="24">
        <f t="shared" si="50"/>
        <v>1</v>
      </c>
      <c r="L307" s="717"/>
      <c r="M307" s="24">
        <f t="shared" si="51"/>
        <v>1</v>
      </c>
      <c r="N307" s="717"/>
      <c r="O307" s="24">
        <f t="shared" si="52"/>
        <v>1</v>
      </c>
      <c r="P307" s="717"/>
      <c r="Q307" s="24">
        <f t="shared" si="53"/>
        <v>0</v>
      </c>
      <c r="R307" s="713">
        <f t="shared" si="54"/>
        <v>0</v>
      </c>
      <c r="S307" s="361">
        <f t="shared" si="45"/>
        <v>0</v>
      </c>
    </row>
    <row r="308" spans="1:19">
      <c r="A308" s="715"/>
      <c r="B308" s="59"/>
      <c r="C308" s="24">
        <f t="shared" si="46"/>
        <v>1</v>
      </c>
      <c r="D308" s="717"/>
      <c r="E308" s="24">
        <f t="shared" si="47"/>
        <v>0.04</v>
      </c>
      <c r="F308" s="717"/>
      <c r="G308" s="24">
        <f t="shared" si="48"/>
        <v>0.1</v>
      </c>
      <c r="H308" s="717"/>
      <c r="I308" s="24">
        <f t="shared" si="49"/>
        <v>0.02</v>
      </c>
      <c r="J308" s="717"/>
      <c r="K308" s="24">
        <f t="shared" si="50"/>
        <v>1</v>
      </c>
      <c r="L308" s="717"/>
      <c r="M308" s="24">
        <f t="shared" si="51"/>
        <v>1</v>
      </c>
      <c r="N308" s="717"/>
      <c r="O308" s="24">
        <f t="shared" si="52"/>
        <v>1</v>
      </c>
      <c r="P308" s="717"/>
      <c r="Q308" s="24">
        <f t="shared" si="53"/>
        <v>0</v>
      </c>
      <c r="R308" s="713">
        <f t="shared" si="54"/>
        <v>0</v>
      </c>
      <c r="S308" s="361">
        <f t="shared" si="45"/>
        <v>0</v>
      </c>
    </row>
    <row r="309" spans="1:19">
      <c r="A309" s="715"/>
      <c r="B309" s="59"/>
      <c r="C309" s="24">
        <f t="shared" si="46"/>
        <v>1</v>
      </c>
      <c r="D309" s="717"/>
      <c r="E309" s="24">
        <f t="shared" si="47"/>
        <v>0.04</v>
      </c>
      <c r="F309" s="717"/>
      <c r="G309" s="24">
        <f t="shared" si="48"/>
        <v>0.1</v>
      </c>
      <c r="H309" s="717"/>
      <c r="I309" s="24">
        <f t="shared" si="49"/>
        <v>0.02</v>
      </c>
      <c r="J309" s="717"/>
      <c r="K309" s="24">
        <f t="shared" si="50"/>
        <v>1</v>
      </c>
      <c r="L309" s="717"/>
      <c r="M309" s="24">
        <f t="shared" si="51"/>
        <v>1</v>
      </c>
      <c r="N309" s="717"/>
      <c r="O309" s="24">
        <f t="shared" si="52"/>
        <v>1</v>
      </c>
      <c r="P309" s="717"/>
      <c r="Q309" s="24">
        <f t="shared" si="53"/>
        <v>0</v>
      </c>
      <c r="R309" s="713">
        <f t="shared" si="54"/>
        <v>0</v>
      </c>
      <c r="S309" s="361">
        <f t="shared" si="45"/>
        <v>0</v>
      </c>
    </row>
    <row r="310" spans="1:19">
      <c r="A310" s="715"/>
      <c r="B310" s="59"/>
      <c r="C310" s="24">
        <f t="shared" si="46"/>
        <v>1</v>
      </c>
      <c r="D310" s="717"/>
      <c r="E310" s="24">
        <f t="shared" si="47"/>
        <v>0.04</v>
      </c>
      <c r="F310" s="717"/>
      <c r="G310" s="24">
        <f t="shared" si="48"/>
        <v>0.1</v>
      </c>
      <c r="H310" s="717"/>
      <c r="I310" s="24">
        <f t="shared" si="49"/>
        <v>0.02</v>
      </c>
      <c r="J310" s="717"/>
      <c r="K310" s="24">
        <f t="shared" si="50"/>
        <v>1</v>
      </c>
      <c r="L310" s="717"/>
      <c r="M310" s="24">
        <f t="shared" si="51"/>
        <v>1</v>
      </c>
      <c r="N310" s="717"/>
      <c r="O310" s="24">
        <f t="shared" si="52"/>
        <v>1</v>
      </c>
      <c r="P310" s="717"/>
      <c r="Q310" s="24">
        <f t="shared" si="53"/>
        <v>0</v>
      </c>
      <c r="R310" s="713">
        <f t="shared" si="54"/>
        <v>0</v>
      </c>
      <c r="S310" s="361">
        <f t="shared" si="45"/>
        <v>0</v>
      </c>
    </row>
    <row r="311" spans="1:19">
      <c r="A311" s="715"/>
      <c r="B311" s="59"/>
      <c r="C311" s="24">
        <f t="shared" si="46"/>
        <v>1</v>
      </c>
      <c r="D311" s="717"/>
      <c r="E311" s="24">
        <f t="shared" si="47"/>
        <v>0.04</v>
      </c>
      <c r="F311" s="717"/>
      <c r="G311" s="24">
        <f t="shared" si="48"/>
        <v>0.1</v>
      </c>
      <c r="H311" s="717"/>
      <c r="I311" s="24">
        <f t="shared" si="49"/>
        <v>0.02</v>
      </c>
      <c r="J311" s="717"/>
      <c r="K311" s="24">
        <f t="shared" si="50"/>
        <v>1</v>
      </c>
      <c r="L311" s="717"/>
      <c r="M311" s="24">
        <f t="shared" si="51"/>
        <v>1</v>
      </c>
      <c r="N311" s="717"/>
      <c r="O311" s="24">
        <f t="shared" si="52"/>
        <v>1</v>
      </c>
      <c r="P311" s="717"/>
      <c r="Q311" s="24">
        <f t="shared" si="53"/>
        <v>0</v>
      </c>
      <c r="R311" s="713">
        <f t="shared" si="54"/>
        <v>0</v>
      </c>
      <c r="S311" s="361">
        <f t="shared" si="45"/>
        <v>0</v>
      </c>
    </row>
    <row r="312" spans="1:19">
      <c r="A312" s="715"/>
      <c r="B312" s="59"/>
      <c r="C312" s="24">
        <f t="shared" si="46"/>
        <v>1</v>
      </c>
      <c r="D312" s="717"/>
      <c r="E312" s="24">
        <f t="shared" si="47"/>
        <v>0.04</v>
      </c>
      <c r="F312" s="717"/>
      <c r="G312" s="24">
        <f t="shared" si="48"/>
        <v>0.1</v>
      </c>
      <c r="H312" s="717"/>
      <c r="I312" s="24">
        <f t="shared" si="49"/>
        <v>0.02</v>
      </c>
      <c r="J312" s="717"/>
      <c r="K312" s="24">
        <f t="shared" si="50"/>
        <v>1</v>
      </c>
      <c r="L312" s="717"/>
      <c r="M312" s="24">
        <f t="shared" si="51"/>
        <v>1</v>
      </c>
      <c r="N312" s="717"/>
      <c r="O312" s="24">
        <f t="shared" si="52"/>
        <v>1</v>
      </c>
      <c r="P312" s="717"/>
      <c r="Q312" s="24">
        <f t="shared" si="53"/>
        <v>0</v>
      </c>
      <c r="R312" s="713">
        <f t="shared" si="54"/>
        <v>0</v>
      </c>
      <c r="S312" s="361">
        <f t="shared" si="45"/>
        <v>0</v>
      </c>
    </row>
    <row r="313" spans="1:19">
      <c r="A313" s="715"/>
      <c r="B313" s="59"/>
      <c r="C313" s="24">
        <f t="shared" si="46"/>
        <v>1</v>
      </c>
      <c r="D313" s="717"/>
      <c r="E313" s="24">
        <f t="shared" si="47"/>
        <v>0.04</v>
      </c>
      <c r="F313" s="717"/>
      <c r="G313" s="24">
        <f t="shared" si="48"/>
        <v>0.1</v>
      </c>
      <c r="H313" s="717"/>
      <c r="I313" s="24">
        <f t="shared" si="49"/>
        <v>0.02</v>
      </c>
      <c r="J313" s="717"/>
      <c r="K313" s="24">
        <f t="shared" si="50"/>
        <v>1</v>
      </c>
      <c r="L313" s="717"/>
      <c r="M313" s="24">
        <f t="shared" si="51"/>
        <v>1</v>
      </c>
      <c r="N313" s="717"/>
      <c r="O313" s="24">
        <f t="shared" si="52"/>
        <v>1</v>
      </c>
      <c r="P313" s="717"/>
      <c r="Q313" s="24">
        <f t="shared" si="53"/>
        <v>0</v>
      </c>
      <c r="R313" s="713">
        <f t="shared" si="54"/>
        <v>0</v>
      </c>
      <c r="S313" s="361">
        <f t="shared" si="45"/>
        <v>0</v>
      </c>
    </row>
    <row r="314" spans="1:19">
      <c r="A314" s="715"/>
      <c r="B314" s="59"/>
      <c r="C314" s="24">
        <f t="shared" si="46"/>
        <v>1</v>
      </c>
      <c r="D314" s="717"/>
      <c r="E314" s="24">
        <f t="shared" si="47"/>
        <v>0.04</v>
      </c>
      <c r="F314" s="717"/>
      <c r="G314" s="24">
        <f t="shared" si="48"/>
        <v>0.1</v>
      </c>
      <c r="H314" s="717"/>
      <c r="I314" s="24">
        <f t="shared" si="49"/>
        <v>0.02</v>
      </c>
      <c r="J314" s="717"/>
      <c r="K314" s="24">
        <f t="shared" si="50"/>
        <v>1</v>
      </c>
      <c r="L314" s="717"/>
      <c r="M314" s="24">
        <f t="shared" si="51"/>
        <v>1</v>
      </c>
      <c r="N314" s="717"/>
      <c r="O314" s="24">
        <f t="shared" si="52"/>
        <v>1</v>
      </c>
      <c r="P314" s="717"/>
      <c r="Q314" s="24">
        <f t="shared" si="53"/>
        <v>0</v>
      </c>
      <c r="R314" s="713">
        <f t="shared" si="54"/>
        <v>0</v>
      </c>
      <c r="S314" s="361">
        <f t="shared" si="45"/>
        <v>0</v>
      </c>
    </row>
    <row r="315" spans="1:19">
      <c r="A315" s="715"/>
      <c r="B315" s="59"/>
      <c r="C315" s="24">
        <f t="shared" si="46"/>
        <v>1</v>
      </c>
      <c r="D315" s="717"/>
      <c r="E315" s="24">
        <f t="shared" si="47"/>
        <v>0.04</v>
      </c>
      <c r="F315" s="717"/>
      <c r="G315" s="24">
        <f t="shared" si="48"/>
        <v>0.1</v>
      </c>
      <c r="H315" s="717"/>
      <c r="I315" s="24">
        <f t="shared" si="49"/>
        <v>0.02</v>
      </c>
      <c r="J315" s="717"/>
      <c r="K315" s="24">
        <f t="shared" si="50"/>
        <v>1</v>
      </c>
      <c r="L315" s="717"/>
      <c r="M315" s="24">
        <f t="shared" si="51"/>
        <v>1</v>
      </c>
      <c r="N315" s="717"/>
      <c r="O315" s="24">
        <f t="shared" si="52"/>
        <v>1</v>
      </c>
      <c r="P315" s="717"/>
      <c r="Q315" s="24">
        <f t="shared" si="53"/>
        <v>0</v>
      </c>
      <c r="R315" s="713">
        <f t="shared" si="54"/>
        <v>0</v>
      </c>
      <c r="S315" s="361">
        <f t="shared" si="45"/>
        <v>0</v>
      </c>
    </row>
    <row r="316" spans="1:19">
      <c r="A316" s="715"/>
      <c r="B316" s="59"/>
      <c r="C316" s="24">
        <f t="shared" si="46"/>
        <v>1</v>
      </c>
      <c r="D316" s="717"/>
      <c r="E316" s="24">
        <f t="shared" si="47"/>
        <v>0.04</v>
      </c>
      <c r="F316" s="717"/>
      <c r="G316" s="24">
        <f t="shared" si="48"/>
        <v>0.1</v>
      </c>
      <c r="H316" s="717"/>
      <c r="I316" s="24">
        <f t="shared" si="49"/>
        <v>0.02</v>
      </c>
      <c r="J316" s="717"/>
      <c r="K316" s="24">
        <f t="shared" si="50"/>
        <v>1</v>
      </c>
      <c r="L316" s="717"/>
      <c r="M316" s="24">
        <f t="shared" si="51"/>
        <v>1</v>
      </c>
      <c r="N316" s="717"/>
      <c r="O316" s="24">
        <f t="shared" si="52"/>
        <v>1</v>
      </c>
      <c r="P316" s="717"/>
      <c r="Q316" s="24">
        <f t="shared" si="53"/>
        <v>0</v>
      </c>
      <c r="R316" s="713">
        <f t="shared" si="54"/>
        <v>0</v>
      </c>
      <c r="S316" s="361">
        <f t="shared" si="45"/>
        <v>0</v>
      </c>
    </row>
    <row r="317" spans="1:19">
      <c r="A317" s="715"/>
      <c r="B317" s="59"/>
      <c r="C317" s="24">
        <f t="shared" si="46"/>
        <v>1</v>
      </c>
      <c r="D317" s="717"/>
      <c r="E317" s="24">
        <f t="shared" si="47"/>
        <v>0.04</v>
      </c>
      <c r="F317" s="717"/>
      <c r="G317" s="24">
        <f t="shared" si="48"/>
        <v>0.1</v>
      </c>
      <c r="H317" s="717"/>
      <c r="I317" s="24">
        <f t="shared" si="49"/>
        <v>0.02</v>
      </c>
      <c r="J317" s="717"/>
      <c r="K317" s="24">
        <f t="shared" si="50"/>
        <v>1</v>
      </c>
      <c r="L317" s="717"/>
      <c r="M317" s="24">
        <f t="shared" si="51"/>
        <v>1</v>
      </c>
      <c r="N317" s="717"/>
      <c r="O317" s="24">
        <f t="shared" si="52"/>
        <v>1</v>
      </c>
      <c r="P317" s="717"/>
      <c r="Q317" s="24">
        <f t="shared" si="53"/>
        <v>0</v>
      </c>
      <c r="R317" s="713">
        <f t="shared" si="54"/>
        <v>0</v>
      </c>
      <c r="S317" s="361">
        <f t="shared" si="45"/>
        <v>0</v>
      </c>
    </row>
    <row r="318" spans="1:19">
      <c r="A318" s="715"/>
      <c r="B318" s="59"/>
      <c r="C318" s="24">
        <f t="shared" si="46"/>
        <v>1</v>
      </c>
      <c r="D318" s="717"/>
      <c r="E318" s="24">
        <f t="shared" si="47"/>
        <v>0.04</v>
      </c>
      <c r="F318" s="717"/>
      <c r="G318" s="24">
        <f t="shared" si="48"/>
        <v>0.1</v>
      </c>
      <c r="H318" s="717"/>
      <c r="I318" s="24">
        <f t="shared" si="49"/>
        <v>0.02</v>
      </c>
      <c r="J318" s="717"/>
      <c r="K318" s="24">
        <f t="shared" si="50"/>
        <v>1</v>
      </c>
      <c r="L318" s="717"/>
      <c r="M318" s="24">
        <f t="shared" si="51"/>
        <v>1</v>
      </c>
      <c r="N318" s="717"/>
      <c r="O318" s="24">
        <f t="shared" si="52"/>
        <v>1</v>
      </c>
      <c r="P318" s="717"/>
      <c r="Q318" s="24">
        <f t="shared" si="53"/>
        <v>0</v>
      </c>
      <c r="R318" s="713">
        <f t="shared" si="54"/>
        <v>0</v>
      </c>
      <c r="S318" s="361">
        <f t="shared" si="45"/>
        <v>0</v>
      </c>
    </row>
    <row r="319" spans="1:19">
      <c r="A319" s="715"/>
      <c r="B319" s="59"/>
      <c r="C319" s="24">
        <f t="shared" si="46"/>
        <v>1</v>
      </c>
      <c r="D319" s="717"/>
      <c r="E319" s="24">
        <f t="shared" si="47"/>
        <v>0.04</v>
      </c>
      <c r="F319" s="717"/>
      <c r="G319" s="24">
        <f t="shared" si="48"/>
        <v>0.1</v>
      </c>
      <c r="H319" s="717"/>
      <c r="I319" s="24">
        <f t="shared" si="49"/>
        <v>0.02</v>
      </c>
      <c r="J319" s="717"/>
      <c r="K319" s="24">
        <f t="shared" si="50"/>
        <v>1</v>
      </c>
      <c r="L319" s="717"/>
      <c r="M319" s="24">
        <f t="shared" si="51"/>
        <v>1</v>
      </c>
      <c r="N319" s="717"/>
      <c r="O319" s="24">
        <f t="shared" si="52"/>
        <v>1</v>
      </c>
      <c r="P319" s="717"/>
      <c r="Q319" s="24">
        <f t="shared" si="53"/>
        <v>0</v>
      </c>
      <c r="R319" s="713">
        <f t="shared" si="54"/>
        <v>0</v>
      </c>
      <c r="S319" s="361">
        <f t="shared" si="45"/>
        <v>0</v>
      </c>
    </row>
    <row r="320" spans="1:19">
      <c r="A320" s="715"/>
      <c r="B320" s="59"/>
      <c r="C320" s="24">
        <f t="shared" si="46"/>
        <v>1</v>
      </c>
      <c r="D320" s="717"/>
      <c r="E320" s="24">
        <f t="shared" si="47"/>
        <v>0.04</v>
      </c>
      <c r="F320" s="717"/>
      <c r="G320" s="24">
        <f t="shared" si="48"/>
        <v>0.1</v>
      </c>
      <c r="H320" s="717"/>
      <c r="I320" s="24">
        <f t="shared" si="49"/>
        <v>0.02</v>
      </c>
      <c r="J320" s="717"/>
      <c r="K320" s="24">
        <f t="shared" si="50"/>
        <v>1</v>
      </c>
      <c r="L320" s="717"/>
      <c r="M320" s="24">
        <f t="shared" si="51"/>
        <v>1</v>
      </c>
      <c r="N320" s="717"/>
      <c r="O320" s="24">
        <f t="shared" si="52"/>
        <v>1</v>
      </c>
      <c r="P320" s="717"/>
      <c r="Q320" s="24">
        <f t="shared" si="53"/>
        <v>0</v>
      </c>
      <c r="R320" s="713">
        <f t="shared" si="54"/>
        <v>0</v>
      </c>
      <c r="S320" s="361">
        <f t="shared" si="45"/>
        <v>0</v>
      </c>
    </row>
    <row r="321" spans="1:19">
      <c r="A321" s="715"/>
      <c r="B321" s="59"/>
      <c r="C321" s="24">
        <f t="shared" si="46"/>
        <v>1</v>
      </c>
      <c r="D321" s="717"/>
      <c r="E321" s="24">
        <f t="shared" si="47"/>
        <v>0.04</v>
      </c>
      <c r="F321" s="717"/>
      <c r="G321" s="24">
        <f t="shared" si="48"/>
        <v>0.1</v>
      </c>
      <c r="H321" s="717"/>
      <c r="I321" s="24">
        <f t="shared" si="49"/>
        <v>0.02</v>
      </c>
      <c r="J321" s="717"/>
      <c r="K321" s="24">
        <f t="shared" si="50"/>
        <v>1</v>
      </c>
      <c r="L321" s="717"/>
      <c r="M321" s="24">
        <f t="shared" si="51"/>
        <v>1</v>
      </c>
      <c r="N321" s="717"/>
      <c r="O321" s="24">
        <f t="shared" si="52"/>
        <v>1</v>
      </c>
      <c r="P321" s="717"/>
      <c r="Q321" s="24">
        <f t="shared" si="53"/>
        <v>0</v>
      </c>
      <c r="R321" s="713">
        <f t="shared" si="54"/>
        <v>0</v>
      </c>
      <c r="S321" s="361">
        <f t="shared" si="45"/>
        <v>0</v>
      </c>
    </row>
    <row r="322" spans="1:19">
      <c r="A322" s="715"/>
      <c r="B322" s="59"/>
      <c r="C322" s="24">
        <f t="shared" si="46"/>
        <v>1</v>
      </c>
      <c r="D322" s="717"/>
      <c r="E322" s="24">
        <f t="shared" si="47"/>
        <v>0.04</v>
      </c>
      <c r="F322" s="717"/>
      <c r="G322" s="24">
        <f t="shared" si="48"/>
        <v>0.1</v>
      </c>
      <c r="H322" s="717"/>
      <c r="I322" s="24">
        <f t="shared" si="49"/>
        <v>0.02</v>
      </c>
      <c r="J322" s="717"/>
      <c r="K322" s="24">
        <f t="shared" si="50"/>
        <v>1</v>
      </c>
      <c r="L322" s="717"/>
      <c r="M322" s="24">
        <f t="shared" si="51"/>
        <v>1</v>
      </c>
      <c r="N322" s="717"/>
      <c r="O322" s="24">
        <f t="shared" si="52"/>
        <v>1</v>
      </c>
      <c r="P322" s="717"/>
      <c r="Q322" s="24">
        <f t="shared" si="53"/>
        <v>0</v>
      </c>
      <c r="R322" s="713">
        <f t="shared" si="54"/>
        <v>0</v>
      </c>
      <c r="S322" s="361">
        <f t="shared" si="45"/>
        <v>0</v>
      </c>
    </row>
    <row r="323" spans="1:19">
      <c r="A323" s="715"/>
      <c r="B323" s="59"/>
      <c r="C323" s="24">
        <f t="shared" si="46"/>
        <v>1</v>
      </c>
      <c r="D323" s="717"/>
      <c r="E323" s="24">
        <f t="shared" si="47"/>
        <v>0.04</v>
      </c>
      <c r="F323" s="717"/>
      <c r="G323" s="24">
        <f t="shared" si="48"/>
        <v>0.1</v>
      </c>
      <c r="H323" s="717"/>
      <c r="I323" s="24">
        <f t="shared" si="49"/>
        <v>0.02</v>
      </c>
      <c r="J323" s="717"/>
      <c r="K323" s="24">
        <f t="shared" si="50"/>
        <v>1</v>
      </c>
      <c r="L323" s="717"/>
      <c r="M323" s="24">
        <f t="shared" si="51"/>
        <v>1</v>
      </c>
      <c r="N323" s="717"/>
      <c r="O323" s="24">
        <f t="shared" si="52"/>
        <v>1</v>
      </c>
      <c r="P323" s="717"/>
      <c r="Q323" s="24">
        <f t="shared" si="53"/>
        <v>0</v>
      </c>
      <c r="R323" s="713">
        <f t="shared" si="54"/>
        <v>0</v>
      </c>
      <c r="S323" s="361">
        <f t="shared" si="45"/>
        <v>0</v>
      </c>
    </row>
    <row r="324" spans="1:19">
      <c r="A324" s="715"/>
      <c r="B324" s="59"/>
      <c r="C324" s="24">
        <f t="shared" si="46"/>
        <v>1</v>
      </c>
      <c r="D324" s="717"/>
      <c r="E324" s="24">
        <f t="shared" si="47"/>
        <v>0.04</v>
      </c>
      <c r="F324" s="717"/>
      <c r="G324" s="24">
        <f t="shared" si="48"/>
        <v>0.1</v>
      </c>
      <c r="H324" s="717"/>
      <c r="I324" s="24">
        <f t="shared" si="49"/>
        <v>0.02</v>
      </c>
      <c r="J324" s="717"/>
      <c r="K324" s="24">
        <f t="shared" si="50"/>
        <v>1</v>
      </c>
      <c r="L324" s="717"/>
      <c r="M324" s="24">
        <f t="shared" si="51"/>
        <v>1</v>
      </c>
      <c r="N324" s="717"/>
      <c r="O324" s="24">
        <f t="shared" si="52"/>
        <v>1</v>
      </c>
      <c r="P324" s="717"/>
      <c r="Q324" s="24">
        <f t="shared" si="53"/>
        <v>0</v>
      </c>
      <c r="R324" s="713">
        <f t="shared" si="54"/>
        <v>0</v>
      </c>
      <c r="S324" s="361">
        <f t="shared" si="45"/>
        <v>0</v>
      </c>
    </row>
    <row r="325" spans="1:19">
      <c r="A325" s="715"/>
      <c r="B325" s="59"/>
      <c r="C325" s="24">
        <f t="shared" si="46"/>
        <v>1</v>
      </c>
      <c r="D325" s="717"/>
      <c r="E325" s="24">
        <f t="shared" si="47"/>
        <v>0.04</v>
      </c>
      <c r="F325" s="717"/>
      <c r="G325" s="24">
        <f t="shared" si="48"/>
        <v>0.1</v>
      </c>
      <c r="H325" s="717"/>
      <c r="I325" s="24">
        <f t="shared" si="49"/>
        <v>0.02</v>
      </c>
      <c r="J325" s="717"/>
      <c r="K325" s="24">
        <f t="shared" si="50"/>
        <v>1</v>
      </c>
      <c r="L325" s="717"/>
      <c r="M325" s="24">
        <f t="shared" si="51"/>
        <v>1</v>
      </c>
      <c r="N325" s="717"/>
      <c r="O325" s="24">
        <f t="shared" si="52"/>
        <v>1</v>
      </c>
      <c r="P325" s="717"/>
      <c r="Q325" s="24">
        <f t="shared" si="53"/>
        <v>0</v>
      </c>
      <c r="R325" s="713">
        <f t="shared" si="54"/>
        <v>0</v>
      </c>
      <c r="S325" s="361">
        <f t="shared" si="45"/>
        <v>0</v>
      </c>
    </row>
    <row r="326" spans="1:19">
      <c r="A326" s="159"/>
      <c r="B326" s="59"/>
      <c r="C326" s="24">
        <f t="shared" si="46"/>
        <v>1</v>
      </c>
      <c r="D326" s="717"/>
      <c r="E326" s="24">
        <f t="shared" si="47"/>
        <v>0.04</v>
      </c>
      <c r="F326" s="717"/>
      <c r="G326" s="24">
        <f t="shared" si="48"/>
        <v>0.1</v>
      </c>
      <c r="H326" s="717"/>
      <c r="I326" s="24">
        <f t="shared" si="49"/>
        <v>0.02</v>
      </c>
      <c r="J326" s="717"/>
      <c r="K326" s="24">
        <f t="shared" si="50"/>
        <v>1</v>
      </c>
      <c r="L326" s="717"/>
      <c r="M326" s="24">
        <f t="shared" si="51"/>
        <v>1</v>
      </c>
      <c r="N326" s="717"/>
      <c r="O326" s="24">
        <f t="shared" si="52"/>
        <v>1</v>
      </c>
      <c r="P326" s="717"/>
      <c r="Q326" s="24">
        <f t="shared" si="53"/>
        <v>0</v>
      </c>
      <c r="R326" s="713">
        <f t="shared" si="54"/>
        <v>0</v>
      </c>
      <c r="S326" s="361">
        <f t="shared" si="45"/>
        <v>0</v>
      </c>
    </row>
    <row r="327" spans="1:19">
      <c r="A327" s="159"/>
      <c r="B327" s="59"/>
      <c r="C327" s="24">
        <f t="shared" si="46"/>
        <v>1</v>
      </c>
      <c r="D327" s="717"/>
      <c r="E327" s="24">
        <f t="shared" si="47"/>
        <v>0.04</v>
      </c>
      <c r="F327" s="717"/>
      <c r="G327" s="24">
        <f t="shared" si="48"/>
        <v>0.1</v>
      </c>
      <c r="H327" s="717"/>
      <c r="I327" s="24">
        <f t="shared" si="49"/>
        <v>0.02</v>
      </c>
      <c r="J327" s="717"/>
      <c r="K327" s="24">
        <f t="shared" si="50"/>
        <v>1</v>
      </c>
      <c r="L327" s="717"/>
      <c r="M327" s="24">
        <f t="shared" si="51"/>
        <v>1</v>
      </c>
      <c r="N327" s="717"/>
      <c r="O327" s="24">
        <f t="shared" si="52"/>
        <v>1</v>
      </c>
      <c r="P327" s="717"/>
      <c r="Q327" s="24">
        <f t="shared" si="53"/>
        <v>0</v>
      </c>
      <c r="R327" s="713">
        <f t="shared" si="54"/>
        <v>0</v>
      </c>
      <c r="S327" s="361">
        <f t="shared" si="45"/>
        <v>0</v>
      </c>
    </row>
    <row r="328" spans="1:19">
      <c r="A328" s="159"/>
      <c r="B328" s="59"/>
      <c r="C328" s="24">
        <f t="shared" si="46"/>
        <v>1</v>
      </c>
      <c r="D328" s="717"/>
      <c r="E328" s="24">
        <f t="shared" si="47"/>
        <v>0.04</v>
      </c>
      <c r="F328" s="717"/>
      <c r="G328" s="24">
        <f t="shared" si="48"/>
        <v>0.1</v>
      </c>
      <c r="H328" s="717"/>
      <c r="I328" s="24">
        <f t="shared" si="49"/>
        <v>0.02</v>
      </c>
      <c r="J328" s="717"/>
      <c r="K328" s="24">
        <f t="shared" si="50"/>
        <v>1</v>
      </c>
      <c r="L328" s="717"/>
      <c r="M328" s="24">
        <f t="shared" si="51"/>
        <v>1</v>
      </c>
      <c r="N328" s="717"/>
      <c r="O328" s="24">
        <f t="shared" si="52"/>
        <v>1</v>
      </c>
      <c r="P328" s="717"/>
      <c r="Q328" s="24">
        <f t="shared" si="53"/>
        <v>0</v>
      </c>
      <c r="R328" s="713">
        <f t="shared" si="54"/>
        <v>0</v>
      </c>
      <c r="S328" s="361">
        <f t="shared" si="45"/>
        <v>0</v>
      </c>
    </row>
    <row r="329" spans="1:19">
      <c r="A329" s="159"/>
      <c r="B329" s="59"/>
      <c r="C329" s="24">
        <f t="shared" si="46"/>
        <v>1</v>
      </c>
      <c r="D329" s="717"/>
      <c r="E329" s="24">
        <f t="shared" si="47"/>
        <v>0.04</v>
      </c>
      <c r="F329" s="717"/>
      <c r="G329" s="24">
        <f t="shared" si="48"/>
        <v>0.1</v>
      </c>
      <c r="H329" s="717"/>
      <c r="I329" s="24">
        <f t="shared" si="49"/>
        <v>0.02</v>
      </c>
      <c r="J329" s="717"/>
      <c r="K329" s="24">
        <f t="shared" si="50"/>
        <v>1</v>
      </c>
      <c r="L329" s="717"/>
      <c r="M329" s="24">
        <f t="shared" si="51"/>
        <v>1</v>
      </c>
      <c r="N329" s="717"/>
      <c r="O329" s="24">
        <f t="shared" si="52"/>
        <v>1</v>
      </c>
      <c r="P329" s="717"/>
      <c r="Q329" s="24">
        <f t="shared" si="53"/>
        <v>0</v>
      </c>
      <c r="R329" s="713">
        <f t="shared" si="54"/>
        <v>0</v>
      </c>
      <c r="S329" s="361">
        <f t="shared" si="45"/>
        <v>0</v>
      </c>
    </row>
    <row r="330" spans="1:19">
      <c r="A330" s="159"/>
      <c r="B330" s="59"/>
      <c r="C330" s="24">
        <f t="shared" si="46"/>
        <v>1</v>
      </c>
      <c r="D330" s="717"/>
      <c r="E330" s="24">
        <f t="shared" si="47"/>
        <v>0.04</v>
      </c>
      <c r="F330" s="717"/>
      <c r="G330" s="24">
        <f t="shared" si="48"/>
        <v>0.1</v>
      </c>
      <c r="H330" s="717"/>
      <c r="I330" s="24">
        <f t="shared" si="49"/>
        <v>0.02</v>
      </c>
      <c r="J330" s="717"/>
      <c r="K330" s="24">
        <f t="shared" si="50"/>
        <v>1</v>
      </c>
      <c r="L330" s="717"/>
      <c r="M330" s="24">
        <f t="shared" si="51"/>
        <v>1</v>
      </c>
      <c r="N330" s="717"/>
      <c r="O330" s="24">
        <f t="shared" si="52"/>
        <v>1</v>
      </c>
      <c r="P330" s="717"/>
      <c r="Q330" s="24">
        <f t="shared" si="53"/>
        <v>0</v>
      </c>
      <c r="R330" s="713">
        <f t="shared" si="54"/>
        <v>0</v>
      </c>
      <c r="S330" s="361">
        <f t="shared" si="45"/>
        <v>0</v>
      </c>
    </row>
    <row r="331" spans="1:19">
      <c r="A331" s="159"/>
      <c r="B331" s="59"/>
      <c r="C331" s="24">
        <f t="shared" si="46"/>
        <v>1</v>
      </c>
      <c r="D331" s="717"/>
      <c r="E331" s="24">
        <f t="shared" si="47"/>
        <v>0.04</v>
      </c>
      <c r="F331" s="717"/>
      <c r="G331" s="24">
        <f t="shared" si="48"/>
        <v>0.1</v>
      </c>
      <c r="H331" s="717"/>
      <c r="I331" s="24">
        <f t="shared" si="49"/>
        <v>0.02</v>
      </c>
      <c r="J331" s="717"/>
      <c r="K331" s="24">
        <f t="shared" si="50"/>
        <v>1</v>
      </c>
      <c r="L331" s="717"/>
      <c r="M331" s="24">
        <f t="shared" si="51"/>
        <v>1</v>
      </c>
      <c r="N331" s="717"/>
      <c r="O331" s="24">
        <f t="shared" si="52"/>
        <v>1</v>
      </c>
      <c r="P331" s="717"/>
      <c r="Q331" s="24">
        <f t="shared" si="53"/>
        <v>0</v>
      </c>
      <c r="R331" s="713">
        <f t="shared" si="54"/>
        <v>0</v>
      </c>
      <c r="S331" s="361">
        <f t="shared" si="45"/>
        <v>0</v>
      </c>
    </row>
    <row r="332" spans="1:19">
      <c r="A332" s="159"/>
      <c r="B332" s="59"/>
      <c r="C332" s="24">
        <f t="shared" si="46"/>
        <v>1</v>
      </c>
      <c r="D332" s="717"/>
      <c r="E332" s="24">
        <f t="shared" si="47"/>
        <v>0.04</v>
      </c>
      <c r="F332" s="717"/>
      <c r="G332" s="24">
        <f t="shared" si="48"/>
        <v>0.1</v>
      </c>
      <c r="H332" s="717"/>
      <c r="I332" s="24">
        <f t="shared" si="49"/>
        <v>0.02</v>
      </c>
      <c r="J332" s="717"/>
      <c r="K332" s="24">
        <f t="shared" si="50"/>
        <v>1</v>
      </c>
      <c r="L332" s="717"/>
      <c r="M332" s="24">
        <f t="shared" si="51"/>
        <v>1</v>
      </c>
      <c r="N332" s="717"/>
      <c r="O332" s="24">
        <f t="shared" si="52"/>
        <v>1</v>
      </c>
      <c r="P332" s="717"/>
      <c r="Q332" s="24">
        <f t="shared" si="53"/>
        <v>0</v>
      </c>
      <c r="R332" s="713">
        <f t="shared" si="54"/>
        <v>0</v>
      </c>
      <c r="S332" s="361">
        <f t="shared" si="45"/>
        <v>0</v>
      </c>
    </row>
    <row r="333" spans="1:19">
      <c r="A333" s="159"/>
      <c r="B333" s="59"/>
      <c r="C333" s="24">
        <f t="shared" si="46"/>
        <v>1</v>
      </c>
      <c r="D333" s="717"/>
      <c r="E333" s="24">
        <f t="shared" si="47"/>
        <v>0.04</v>
      </c>
      <c r="F333" s="717"/>
      <c r="G333" s="24">
        <f t="shared" si="48"/>
        <v>0.1</v>
      </c>
      <c r="H333" s="717"/>
      <c r="I333" s="24">
        <f t="shared" si="49"/>
        <v>0.02</v>
      </c>
      <c r="J333" s="717"/>
      <c r="K333" s="24">
        <f t="shared" si="50"/>
        <v>1</v>
      </c>
      <c r="L333" s="717"/>
      <c r="M333" s="24">
        <f t="shared" si="51"/>
        <v>1</v>
      </c>
      <c r="N333" s="717"/>
      <c r="O333" s="24">
        <f t="shared" si="52"/>
        <v>1</v>
      </c>
      <c r="P333" s="717"/>
      <c r="Q333" s="24">
        <f t="shared" si="53"/>
        <v>0</v>
      </c>
      <c r="R333" s="713">
        <f t="shared" si="54"/>
        <v>0</v>
      </c>
      <c r="S333" s="361">
        <f t="shared" si="45"/>
        <v>0</v>
      </c>
    </row>
    <row r="334" spans="1:19">
      <c r="A334" s="159"/>
      <c r="B334" s="59"/>
      <c r="C334" s="24">
        <f t="shared" si="46"/>
        <v>1</v>
      </c>
      <c r="D334" s="717"/>
      <c r="E334" s="24">
        <f t="shared" si="47"/>
        <v>0.04</v>
      </c>
      <c r="F334" s="717"/>
      <c r="G334" s="24">
        <f t="shared" si="48"/>
        <v>0.1</v>
      </c>
      <c r="H334" s="717"/>
      <c r="I334" s="24">
        <f t="shared" si="49"/>
        <v>0.02</v>
      </c>
      <c r="J334" s="717"/>
      <c r="K334" s="24">
        <f t="shared" si="50"/>
        <v>1</v>
      </c>
      <c r="L334" s="717"/>
      <c r="M334" s="24">
        <f t="shared" si="51"/>
        <v>1</v>
      </c>
      <c r="N334" s="717"/>
      <c r="O334" s="24">
        <f t="shared" si="52"/>
        <v>1</v>
      </c>
      <c r="P334" s="717"/>
      <c r="Q334" s="24">
        <f t="shared" si="53"/>
        <v>0</v>
      </c>
      <c r="R334" s="713">
        <f t="shared" si="54"/>
        <v>0</v>
      </c>
      <c r="S334" s="361">
        <f t="shared" si="45"/>
        <v>0</v>
      </c>
    </row>
    <row r="335" spans="1:19">
      <c r="A335" s="159"/>
      <c r="B335" s="59"/>
      <c r="C335" s="24">
        <f t="shared" si="46"/>
        <v>1</v>
      </c>
      <c r="D335" s="717"/>
      <c r="E335" s="24">
        <f t="shared" si="47"/>
        <v>0.04</v>
      </c>
      <c r="F335" s="717"/>
      <c r="G335" s="24">
        <f t="shared" si="48"/>
        <v>0.1</v>
      </c>
      <c r="H335" s="717"/>
      <c r="I335" s="24">
        <f t="shared" si="49"/>
        <v>0.02</v>
      </c>
      <c r="J335" s="717"/>
      <c r="K335" s="24">
        <f t="shared" si="50"/>
        <v>1</v>
      </c>
      <c r="L335" s="717"/>
      <c r="M335" s="24">
        <f t="shared" si="51"/>
        <v>1</v>
      </c>
      <c r="N335" s="717"/>
      <c r="O335" s="24">
        <f t="shared" si="52"/>
        <v>1</v>
      </c>
      <c r="P335" s="717"/>
      <c r="Q335" s="24">
        <f t="shared" si="53"/>
        <v>0</v>
      </c>
      <c r="R335" s="713">
        <f t="shared" si="54"/>
        <v>0</v>
      </c>
      <c r="S335" s="361">
        <f t="shared" si="45"/>
        <v>0</v>
      </c>
    </row>
    <row r="336" spans="1:19">
      <c r="A336" s="159"/>
      <c r="B336" s="59"/>
      <c r="C336" s="24">
        <f t="shared" si="46"/>
        <v>1</v>
      </c>
      <c r="D336" s="717"/>
      <c r="E336" s="24">
        <f t="shared" si="47"/>
        <v>0.04</v>
      </c>
      <c r="F336" s="717"/>
      <c r="G336" s="24">
        <f t="shared" si="48"/>
        <v>0.1</v>
      </c>
      <c r="H336" s="717"/>
      <c r="I336" s="24">
        <f t="shared" si="49"/>
        <v>0.02</v>
      </c>
      <c r="J336" s="717"/>
      <c r="K336" s="24">
        <f t="shared" si="50"/>
        <v>1</v>
      </c>
      <c r="L336" s="717"/>
      <c r="M336" s="24">
        <f t="shared" si="51"/>
        <v>1</v>
      </c>
      <c r="N336" s="717"/>
      <c r="O336" s="24">
        <f t="shared" si="52"/>
        <v>1</v>
      </c>
      <c r="P336" s="717"/>
      <c r="Q336" s="24">
        <f t="shared" si="53"/>
        <v>0</v>
      </c>
      <c r="R336" s="713">
        <f t="shared" si="54"/>
        <v>0</v>
      </c>
      <c r="S336" s="361">
        <f t="shared" si="45"/>
        <v>0</v>
      </c>
    </row>
    <row r="337" spans="1:19">
      <c r="A337" s="159"/>
      <c r="B337" s="59"/>
      <c r="C337" s="24">
        <f t="shared" si="46"/>
        <v>1</v>
      </c>
      <c r="D337" s="717"/>
      <c r="E337" s="24">
        <f t="shared" si="47"/>
        <v>0.04</v>
      </c>
      <c r="F337" s="717"/>
      <c r="G337" s="24">
        <f t="shared" si="48"/>
        <v>0.1</v>
      </c>
      <c r="H337" s="717"/>
      <c r="I337" s="24">
        <f t="shared" si="49"/>
        <v>0.02</v>
      </c>
      <c r="J337" s="717"/>
      <c r="K337" s="24">
        <f t="shared" si="50"/>
        <v>1</v>
      </c>
      <c r="L337" s="717"/>
      <c r="M337" s="24">
        <f t="shared" si="51"/>
        <v>1</v>
      </c>
      <c r="N337" s="717"/>
      <c r="O337" s="24">
        <f t="shared" si="52"/>
        <v>1</v>
      </c>
      <c r="P337" s="717"/>
      <c r="Q337" s="24">
        <f t="shared" si="53"/>
        <v>0</v>
      </c>
      <c r="R337" s="713">
        <f t="shared" si="54"/>
        <v>0</v>
      </c>
      <c r="S337" s="361">
        <f t="shared" si="45"/>
        <v>0</v>
      </c>
    </row>
    <row r="338" spans="1:19">
      <c r="A338" s="159"/>
      <c r="B338" s="59"/>
      <c r="C338" s="24">
        <f t="shared" si="46"/>
        <v>1</v>
      </c>
      <c r="D338" s="717"/>
      <c r="E338" s="24">
        <f t="shared" si="47"/>
        <v>0.04</v>
      </c>
      <c r="F338" s="717"/>
      <c r="G338" s="24">
        <f t="shared" si="48"/>
        <v>0.1</v>
      </c>
      <c r="H338" s="717"/>
      <c r="I338" s="24">
        <f t="shared" si="49"/>
        <v>0.02</v>
      </c>
      <c r="J338" s="717"/>
      <c r="K338" s="24">
        <f t="shared" si="50"/>
        <v>1</v>
      </c>
      <c r="L338" s="717"/>
      <c r="M338" s="24">
        <f t="shared" si="51"/>
        <v>1</v>
      </c>
      <c r="N338" s="717"/>
      <c r="O338" s="24">
        <f t="shared" si="52"/>
        <v>1</v>
      </c>
      <c r="P338" s="717"/>
      <c r="Q338" s="24">
        <f t="shared" si="53"/>
        <v>0</v>
      </c>
      <c r="R338" s="713">
        <f t="shared" si="54"/>
        <v>0</v>
      </c>
      <c r="S338" s="361">
        <f t="shared" si="45"/>
        <v>0</v>
      </c>
    </row>
    <row r="339" spans="1:19">
      <c r="A339" s="159"/>
      <c r="B339" s="59"/>
      <c r="C339" s="24">
        <f t="shared" si="46"/>
        <v>1</v>
      </c>
      <c r="D339" s="717"/>
      <c r="E339" s="24">
        <f t="shared" si="47"/>
        <v>0.04</v>
      </c>
      <c r="F339" s="717"/>
      <c r="G339" s="24">
        <f t="shared" si="48"/>
        <v>0.1</v>
      </c>
      <c r="H339" s="717"/>
      <c r="I339" s="24">
        <f t="shared" si="49"/>
        <v>0.02</v>
      </c>
      <c r="J339" s="717"/>
      <c r="K339" s="24">
        <f t="shared" si="50"/>
        <v>1</v>
      </c>
      <c r="L339" s="717"/>
      <c r="M339" s="24">
        <f t="shared" si="51"/>
        <v>1</v>
      </c>
      <c r="N339" s="717"/>
      <c r="O339" s="24">
        <f t="shared" si="52"/>
        <v>1</v>
      </c>
      <c r="P339" s="717"/>
      <c r="Q339" s="24">
        <f t="shared" si="53"/>
        <v>0</v>
      </c>
      <c r="R339" s="713">
        <f t="shared" si="54"/>
        <v>0</v>
      </c>
      <c r="S339" s="361">
        <f t="shared" si="45"/>
        <v>0</v>
      </c>
    </row>
    <row r="340" spans="1:19">
      <c r="A340" s="159"/>
      <c r="B340" s="59"/>
      <c r="C340" s="24">
        <f t="shared" si="46"/>
        <v>1</v>
      </c>
      <c r="D340" s="717"/>
      <c r="E340" s="24">
        <f t="shared" si="47"/>
        <v>0.04</v>
      </c>
      <c r="F340" s="717"/>
      <c r="G340" s="24">
        <f t="shared" si="48"/>
        <v>0.1</v>
      </c>
      <c r="H340" s="717"/>
      <c r="I340" s="24">
        <f t="shared" si="49"/>
        <v>0.02</v>
      </c>
      <c r="J340" s="717"/>
      <c r="K340" s="24">
        <f t="shared" si="50"/>
        <v>1</v>
      </c>
      <c r="L340" s="717"/>
      <c r="M340" s="24">
        <f t="shared" si="51"/>
        <v>1</v>
      </c>
      <c r="N340" s="717"/>
      <c r="O340" s="24">
        <f t="shared" si="52"/>
        <v>1</v>
      </c>
      <c r="P340" s="717"/>
      <c r="Q340" s="24">
        <f t="shared" si="53"/>
        <v>0</v>
      </c>
      <c r="R340" s="713">
        <f t="shared" si="54"/>
        <v>0</v>
      </c>
      <c r="S340" s="361">
        <f t="shared" si="45"/>
        <v>0</v>
      </c>
    </row>
    <row r="341" spans="1:19">
      <c r="A341" s="159"/>
      <c r="B341" s="59"/>
      <c r="C341" s="24">
        <f t="shared" si="46"/>
        <v>1</v>
      </c>
      <c r="D341" s="717"/>
      <c r="E341" s="24">
        <f t="shared" si="47"/>
        <v>0.04</v>
      </c>
      <c r="F341" s="717"/>
      <c r="G341" s="24">
        <f t="shared" si="48"/>
        <v>0.1</v>
      </c>
      <c r="H341" s="717"/>
      <c r="I341" s="24">
        <f t="shared" si="49"/>
        <v>0.02</v>
      </c>
      <c r="J341" s="717"/>
      <c r="K341" s="24">
        <f t="shared" si="50"/>
        <v>1</v>
      </c>
      <c r="L341" s="717"/>
      <c r="M341" s="24">
        <f t="shared" si="51"/>
        <v>1</v>
      </c>
      <c r="N341" s="717"/>
      <c r="O341" s="24">
        <f t="shared" si="52"/>
        <v>1</v>
      </c>
      <c r="P341" s="717"/>
      <c r="Q341" s="24">
        <f t="shared" si="53"/>
        <v>0</v>
      </c>
      <c r="R341" s="713">
        <f t="shared" si="54"/>
        <v>0</v>
      </c>
      <c r="S341" s="361">
        <f t="shared" si="45"/>
        <v>0</v>
      </c>
    </row>
    <row r="342" spans="1:19">
      <c r="A342" s="159"/>
      <c r="B342" s="59"/>
      <c r="C342" s="24">
        <f t="shared" si="46"/>
        <v>1</v>
      </c>
      <c r="D342" s="717"/>
      <c r="E342" s="24">
        <f t="shared" si="47"/>
        <v>0.04</v>
      </c>
      <c r="F342" s="717"/>
      <c r="G342" s="24">
        <f t="shared" si="48"/>
        <v>0.1</v>
      </c>
      <c r="H342" s="717"/>
      <c r="I342" s="24">
        <f t="shared" si="49"/>
        <v>0.02</v>
      </c>
      <c r="J342" s="717"/>
      <c r="K342" s="24">
        <f t="shared" si="50"/>
        <v>1</v>
      </c>
      <c r="L342" s="717"/>
      <c r="M342" s="24">
        <f t="shared" si="51"/>
        <v>1</v>
      </c>
      <c r="N342" s="717"/>
      <c r="O342" s="24">
        <f t="shared" si="52"/>
        <v>1</v>
      </c>
      <c r="P342" s="717"/>
      <c r="Q342" s="24">
        <f t="shared" si="53"/>
        <v>0</v>
      </c>
      <c r="R342" s="713">
        <f t="shared" si="54"/>
        <v>0</v>
      </c>
      <c r="S342" s="361">
        <f t="shared" si="45"/>
        <v>0</v>
      </c>
    </row>
    <row r="343" spans="1:19">
      <c r="A343" s="159"/>
      <c r="B343" s="59"/>
      <c r="C343" s="24">
        <f t="shared" si="46"/>
        <v>1</v>
      </c>
      <c r="D343" s="717"/>
      <c r="E343" s="24">
        <f t="shared" si="47"/>
        <v>0.04</v>
      </c>
      <c r="F343" s="717"/>
      <c r="G343" s="24">
        <f t="shared" si="48"/>
        <v>0.1</v>
      </c>
      <c r="H343" s="717"/>
      <c r="I343" s="24">
        <f t="shared" si="49"/>
        <v>0.02</v>
      </c>
      <c r="J343" s="717"/>
      <c r="K343" s="24">
        <f t="shared" si="50"/>
        <v>1</v>
      </c>
      <c r="L343" s="717"/>
      <c r="M343" s="24">
        <f t="shared" si="51"/>
        <v>1</v>
      </c>
      <c r="N343" s="717"/>
      <c r="O343" s="24">
        <f t="shared" si="52"/>
        <v>1</v>
      </c>
      <c r="P343" s="717"/>
      <c r="Q343" s="24">
        <f t="shared" si="53"/>
        <v>0</v>
      </c>
      <c r="R343" s="713">
        <f t="shared" si="54"/>
        <v>0</v>
      </c>
      <c r="S343" s="361">
        <f t="shared" si="45"/>
        <v>0</v>
      </c>
    </row>
    <row r="344" spans="1:19">
      <c r="A344" s="159"/>
      <c r="B344" s="59"/>
      <c r="C344" s="24">
        <f t="shared" si="46"/>
        <v>1</v>
      </c>
      <c r="D344" s="717"/>
      <c r="E344" s="24">
        <f t="shared" si="47"/>
        <v>0.04</v>
      </c>
      <c r="F344" s="717"/>
      <c r="G344" s="24">
        <f t="shared" si="48"/>
        <v>0.1</v>
      </c>
      <c r="H344" s="717"/>
      <c r="I344" s="24">
        <f t="shared" si="49"/>
        <v>0.02</v>
      </c>
      <c r="J344" s="717"/>
      <c r="K344" s="24">
        <f t="shared" si="50"/>
        <v>1</v>
      </c>
      <c r="L344" s="717"/>
      <c r="M344" s="24">
        <f t="shared" si="51"/>
        <v>1</v>
      </c>
      <c r="N344" s="717"/>
      <c r="O344" s="24">
        <f t="shared" si="52"/>
        <v>1</v>
      </c>
      <c r="P344" s="717"/>
      <c r="Q344" s="24">
        <f t="shared" si="53"/>
        <v>0</v>
      </c>
      <c r="R344" s="713">
        <f t="shared" si="54"/>
        <v>0</v>
      </c>
      <c r="S344" s="361">
        <f t="shared" ref="S344:S407" si="55">ROUND(R344*B344/10000,0)</f>
        <v>0</v>
      </c>
    </row>
    <row r="345" spans="1:19">
      <c r="A345" s="159"/>
      <c r="B345" s="59"/>
      <c r="C345" s="24">
        <f t="shared" si="46"/>
        <v>1</v>
      </c>
      <c r="D345" s="717"/>
      <c r="E345" s="24">
        <f t="shared" si="47"/>
        <v>0.04</v>
      </c>
      <c r="F345" s="717"/>
      <c r="G345" s="24">
        <f t="shared" si="48"/>
        <v>0.1</v>
      </c>
      <c r="H345" s="717"/>
      <c r="I345" s="24">
        <f t="shared" si="49"/>
        <v>0.02</v>
      </c>
      <c r="J345" s="717"/>
      <c r="K345" s="24">
        <f t="shared" si="50"/>
        <v>1</v>
      </c>
      <c r="L345" s="717"/>
      <c r="M345" s="24">
        <f t="shared" si="51"/>
        <v>1</v>
      </c>
      <c r="N345" s="717"/>
      <c r="O345" s="24">
        <f t="shared" si="52"/>
        <v>1</v>
      </c>
      <c r="P345" s="717"/>
      <c r="Q345" s="24">
        <f t="shared" si="53"/>
        <v>0</v>
      </c>
      <c r="R345" s="713">
        <f t="shared" si="54"/>
        <v>0</v>
      </c>
      <c r="S345" s="361">
        <f t="shared" si="55"/>
        <v>0</v>
      </c>
    </row>
    <row r="346" spans="1:19">
      <c r="A346" s="159"/>
      <c r="B346" s="59"/>
      <c r="C346" s="24">
        <f t="shared" ref="C346:C409" si="56">IF(B346="",1,(LOOKUP(B346,$3:$3,$4:$4)-LOOKUP($B$24,$3:$3,$4:$4)+100)/100)</f>
        <v>1</v>
      </c>
      <c r="D346" s="717"/>
      <c r="E346" s="24">
        <f t="shared" ref="E346:E409" si="57">(SUMIF($5:$5,D346,$6:$6)-SUMIF($5:$5,$D$24,$6:$6)+100)/100</f>
        <v>0.04</v>
      </c>
      <c r="F346" s="717"/>
      <c r="G346" s="24">
        <f t="shared" ref="G346:G409" si="58">(SUMIF($7:$7,F346,$8:$8)-SUMIF($7:$7,$F$24,$8:$8)+100)/100</f>
        <v>0.1</v>
      </c>
      <c r="H346" s="717"/>
      <c r="I346" s="24">
        <f t="shared" ref="I346:I409" si="59">(SUMIF($9:$9,H346,$10:$10)-SUMIF($9:$9,$H$24,$10:$10)+100)/100</f>
        <v>0.02</v>
      </c>
      <c r="J346" s="717"/>
      <c r="K346" s="24">
        <f t="shared" ref="K346:K409" si="60">(SUMIF($11:$11,J346,$12:$12)-SUMIF($11:$11,$J$24,$12:$12)+100)/100</f>
        <v>1</v>
      </c>
      <c r="L346" s="717"/>
      <c r="M346" s="24">
        <f t="shared" ref="M346:M409" si="61">(SUMIF($13:$13,L346,$14:$14)-SUMIF($13:$13,$L$24,$14:$14)+100)/100</f>
        <v>1</v>
      </c>
      <c r="N346" s="717"/>
      <c r="O346" s="24">
        <f t="shared" ref="O346:O409" si="62">(SUMIF($15:$15,N346,$16:$16)-SUMIF($15:$15,$N$24,$16:$16)+100)/100</f>
        <v>1</v>
      </c>
      <c r="P346" s="717"/>
      <c r="Q346" s="24">
        <f t="shared" ref="Q346:Q409" si="63">(SUMIF($17:$17,P346,$18:$18)-SUMIF($17:$17,$P$24,$18:$18)+100)/100</f>
        <v>0</v>
      </c>
      <c r="R346" s="713">
        <f t="shared" ref="R346:R409" si="64">IF(B346="",0,ROUND($R$24*C346*E346*G346*I346*K346*M346*O346*Q346,0))</f>
        <v>0</v>
      </c>
      <c r="S346" s="361">
        <f t="shared" si="55"/>
        <v>0</v>
      </c>
    </row>
    <row r="347" spans="1:19">
      <c r="A347" s="159"/>
      <c r="B347" s="59"/>
      <c r="C347" s="24">
        <f t="shared" si="56"/>
        <v>1</v>
      </c>
      <c r="D347" s="717"/>
      <c r="E347" s="24">
        <f t="shared" si="57"/>
        <v>0.04</v>
      </c>
      <c r="F347" s="717"/>
      <c r="G347" s="24">
        <f t="shared" si="58"/>
        <v>0.1</v>
      </c>
      <c r="H347" s="717"/>
      <c r="I347" s="24">
        <f t="shared" si="59"/>
        <v>0.02</v>
      </c>
      <c r="J347" s="717"/>
      <c r="K347" s="24">
        <f t="shared" si="60"/>
        <v>1</v>
      </c>
      <c r="L347" s="717"/>
      <c r="M347" s="24">
        <f t="shared" si="61"/>
        <v>1</v>
      </c>
      <c r="N347" s="717"/>
      <c r="O347" s="24">
        <f t="shared" si="62"/>
        <v>1</v>
      </c>
      <c r="P347" s="717"/>
      <c r="Q347" s="24">
        <f t="shared" si="63"/>
        <v>0</v>
      </c>
      <c r="R347" s="713">
        <f t="shared" si="64"/>
        <v>0</v>
      </c>
      <c r="S347" s="361">
        <f t="shared" si="55"/>
        <v>0</v>
      </c>
    </row>
    <row r="348" spans="1:19">
      <c r="A348" s="159"/>
      <c r="B348" s="59"/>
      <c r="C348" s="24">
        <f t="shared" si="56"/>
        <v>1</v>
      </c>
      <c r="D348" s="717"/>
      <c r="E348" s="24">
        <f t="shared" si="57"/>
        <v>0.04</v>
      </c>
      <c r="F348" s="717"/>
      <c r="G348" s="24">
        <f t="shared" si="58"/>
        <v>0.1</v>
      </c>
      <c r="H348" s="717"/>
      <c r="I348" s="24">
        <f t="shared" si="59"/>
        <v>0.02</v>
      </c>
      <c r="J348" s="717"/>
      <c r="K348" s="24">
        <f t="shared" si="60"/>
        <v>1</v>
      </c>
      <c r="L348" s="717"/>
      <c r="M348" s="24">
        <f t="shared" si="61"/>
        <v>1</v>
      </c>
      <c r="N348" s="717"/>
      <c r="O348" s="24">
        <f t="shared" si="62"/>
        <v>1</v>
      </c>
      <c r="P348" s="717"/>
      <c r="Q348" s="24">
        <f t="shared" si="63"/>
        <v>0</v>
      </c>
      <c r="R348" s="713">
        <f t="shared" si="64"/>
        <v>0</v>
      </c>
      <c r="S348" s="361">
        <f t="shared" si="55"/>
        <v>0</v>
      </c>
    </row>
    <row r="349" spans="1:19">
      <c r="A349" s="159"/>
      <c r="B349" s="59"/>
      <c r="C349" s="24">
        <f t="shared" si="56"/>
        <v>1</v>
      </c>
      <c r="D349" s="717"/>
      <c r="E349" s="24">
        <f t="shared" si="57"/>
        <v>0.04</v>
      </c>
      <c r="F349" s="717"/>
      <c r="G349" s="24">
        <f t="shared" si="58"/>
        <v>0.1</v>
      </c>
      <c r="H349" s="717"/>
      <c r="I349" s="24">
        <f t="shared" si="59"/>
        <v>0.02</v>
      </c>
      <c r="J349" s="717"/>
      <c r="K349" s="24">
        <f t="shared" si="60"/>
        <v>1</v>
      </c>
      <c r="L349" s="717"/>
      <c r="M349" s="24">
        <f t="shared" si="61"/>
        <v>1</v>
      </c>
      <c r="N349" s="717"/>
      <c r="O349" s="24">
        <f t="shared" si="62"/>
        <v>1</v>
      </c>
      <c r="P349" s="717"/>
      <c r="Q349" s="24">
        <f t="shared" si="63"/>
        <v>0</v>
      </c>
      <c r="R349" s="713">
        <f t="shared" si="64"/>
        <v>0</v>
      </c>
      <c r="S349" s="361">
        <f t="shared" si="55"/>
        <v>0</v>
      </c>
    </row>
    <row r="350" spans="1:19">
      <c r="A350" s="159"/>
      <c r="B350" s="59"/>
      <c r="C350" s="24">
        <f t="shared" si="56"/>
        <v>1</v>
      </c>
      <c r="D350" s="717"/>
      <c r="E350" s="24">
        <f t="shared" si="57"/>
        <v>0.04</v>
      </c>
      <c r="F350" s="717"/>
      <c r="G350" s="24">
        <f t="shared" si="58"/>
        <v>0.1</v>
      </c>
      <c r="H350" s="717"/>
      <c r="I350" s="24">
        <f t="shared" si="59"/>
        <v>0.02</v>
      </c>
      <c r="J350" s="717"/>
      <c r="K350" s="24">
        <f t="shared" si="60"/>
        <v>1</v>
      </c>
      <c r="L350" s="717"/>
      <c r="M350" s="24">
        <f t="shared" si="61"/>
        <v>1</v>
      </c>
      <c r="N350" s="717"/>
      <c r="O350" s="24">
        <f t="shared" si="62"/>
        <v>1</v>
      </c>
      <c r="P350" s="717"/>
      <c r="Q350" s="24">
        <f t="shared" si="63"/>
        <v>0</v>
      </c>
      <c r="R350" s="713">
        <f t="shared" si="64"/>
        <v>0</v>
      </c>
      <c r="S350" s="361">
        <f t="shared" si="55"/>
        <v>0</v>
      </c>
    </row>
    <row r="351" spans="1:19">
      <c r="A351" s="159"/>
      <c r="B351" s="59"/>
      <c r="C351" s="24">
        <f t="shared" si="56"/>
        <v>1</v>
      </c>
      <c r="D351" s="717"/>
      <c r="E351" s="24">
        <f t="shared" si="57"/>
        <v>0.04</v>
      </c>
      <c r="F351" s="717"/>
      <c r="G351" s="24">
        <f t="shared" si="58"/>
        <v>0.1</v>
      </c>
      <c r="H351" s="717"/>
      <c r="I351" s="24">
        <f t="shared" si="59"/>
        <v>0.02</v>
      </c>
      <c r="J351" s="717"/>
      <c r="K351" s="24">
        <f t="shared" si="60"/>
        <v>1</v>
      </c>
      <c r="L351" s="717"/>
      <c r="M351" s="24">
        <f t="shared" si="61"/>
        <v>1</v>
      </c>
      <c r="N351" s="717"/>
      <c r="O351" s="24">
        <f t="shared" si="62"/>
        <v>1</v>
      </c>
      <c r="P351" s="717"/>
      <c r="Q351" s="24">
        <f t="shared" si="63"/>
        <v>0</v>
      </c>
      <c r="R351" s="713">
        <f t="shared" si="64"/>
        <v>0</v>
      </c>
      <c r="S351" s="361">
        <f t="shared" si="55"/>
        <v>0</v>
      </c>
    </row>
    <row r="352" spans="1:19">
      <c r="A352" s="159"/>
      <c r="B352" s="59"/>
      <c r="C352" s="24">
        <f t="shared" si="56"/>
        <v>1</v>
      </c>
      <c r="D352" s="717"/>
      <c r="E352" s="24">
        <f t="shared" si="57"/>
        <v>0.04</v>
      </c>
      <c r="F352" s="717"/>
      <c r="G352" s="24">
        <f t="shared" si="58"/>
        <v>0.1</v>
      </c>
      <c r="H352" s="717"/>
      <c r="I352" s="24">
        <f t="shared" si="59"/>
        <v>0.02</v>
      </c>
      <c r="J352" s="717"/>
      <c r="K352" s="24">
        <f t="shared" si="60"/>
        <v>1</v>
      </c>
      <c r="L352" s="717"/>
      <c r="M352" s="24">
        <f t="shared" si="61"/>
        <v>1</v>
      </c>
      <c r="N352" s="717"/>
      <c r="O352" s="24">
        <f t="shared" si="62"/>
        <v>1</v>
      </c>
      <c r="P352" s="717"/>
      <c r="Q352" s="24">
        <f t="shared" si="63"/>
        <v>0</v>
      </c>
      <c r="R352" s="713">
        <f t="shared" si="64"/>
        <v>0</v>
      </c>
      <c r="S352" s="361">
        <f t="shared" si="55"/>
        <v>0</v>
      </c>
    </row>
    <row r="353" spans="1:19">
      <c r="A353" s="159"/>
      <c r="B353" s="59"/>
      <c r="C353" s="24">
        <f t="shared" si="56"/>
        <v>1</v>
      </c>
      <c r="D353" s="717"/>
      <c r="E353" s="24">
        <f t="shared" si="57"/>
        <v>0.04</v>
      </c>
      <c r="F353" s="717"/>
      <c r="G353" s="24">
        <f t="shared" si="58"/>
        <v>0.1</v>
      </c>
      <c r="H353" s="717"/>
      <c r="I353" s="24">
        <f t="shared" si="59"/>
        <v>0.02</v>
      </c>
      <c r="J353" s="717"/>
      <c r="K353" s="24">
        <f t="shared" si="60"/>
        <v>1</v>
      </c>
      <c r="L353" s="717"/>
      <c r="M353" s="24">
        <f t="shared" si="61"/>
        <v>1</v>
      </c>
      <c r="N353" s="717"/>
      <c r="O353" s="24">
        <f t="shared" si="62"/>
        <v>1</v>
      </c>
      <c r="P353" s="717"/>
      <c r="Q353" s="24">
        <f t="shared" si="63"/>
        <v>0</v>
      </c>
      <c r="R353" s="713">
        <f t="shared" si="64"/>
        <v>0</v>
      </c>
      <c r="S353" s="361">
        <f t="shared" si="55"/>
        <v>0</v>
      </c>
    </row>
    <row r="354" spans="1:19">
      <c r="A354" s="159"/>
      <c r="B354" s="59"/>
      <c r="C354" s="24">
        <f t="shared" si="56"/>
        <v>1</v>
      </c>
      <c r="D354" s="717"/>
      <c r="E354" s="24">
        <f t="shared" si="57"/>
        <v>0.04</v>
      </c>
      <c r="F354" s="717"/>
      <c r="G354" s="24">
        <f t="shared" si="58"/>
        <v>0.1</v>
      </c>
      <c r="H354" s="717"/>
      <c r="I354" s="24">
        <f t="shared" si="59"/>
        <v>0.02</v>
      </c>
      <c r="J354" s="717"/>
      <c r="K354" s="24">
        <f t="shared" si="60"/>
        <v>1</v>
      </c>
      <c r="L354" s="717"/>
      <c r="M354" s="24">
        <f t="shared" si="61"/>
        <v>1</v>
      </c>
      <c r="N354" s="717"/>
      <c r="O354" s="24">
        <f t="shared" si="62"/>
        <v>1</v>
      </c>
      <c r="P354" s="717"/>
      <c r="Q354" s="24">
        <f t="shared" si="63"/>
        <v>0</v>
      </c>
      <c r="R354" s="713">
        <f t="shared" si="64"/>
        <v>0</v>
      </c>
      <c r="S354" s="361">
        <f t="shared" si="55"/>
        <v>0</v>
      </c>
    </row>
    <row r="355" spans="1:19">
      <c r="A355" s="159"/>
      <c r="B355" s="59"/>
      <c r="C355" s="24">
        <f t="shared" si="56"/>
        <v>1</v>
      </c>
      <c r="D355" s="717"/>
      <c r="E355" s="24">
        <f t="shared" si="57"/>
        <v>0.04</v>
      </c>
      <c r="F355" s="717"/>
      <c r="G355" s="24">
        <f t="shared" si="58"/>
        <v>0.1</v>
      </c>
      <c r="H355" s="717"/>
      <c r="I355" s="24">
        <f t="shared" si="59"/>
        <v>0.02</v>
      </c>
      <c r="J355" s="717"/>
      <c r="K355" s="24">
        <f t="shared" si="60"/>
        <v>1</v>
      </c>
      <c r="L355" s="717"/>
      <c r="M355" s="24">
        <f t="shared" si="61"/>
        <v>1</v>
      </c>
      <c r="N355" s="717"/>
      <c r="O355" s="24">
        <f t="shared" si="62"/>
        <v>1</v>
      </c>
      <c r="P355" s="717"/>
      <c r="Q355" s="24">
        <f t="shared" si="63"/>
        <v>0</v>
      </c>
      <c r="R355" s="713">
        <f t="shared" si="64"/>
        <v>0</v>
      </c>
      <c r="S355" s="361">
        <f t="shared" si="55"/>
        <v>0</v>
      </c>
    </row>
    <row r="356" spans="1:19">
      <c r="A356" s="159"/>
      <c r="B356" s="59"/>
      <c r="C356" s="24">
        <f t="shared" si="56"/>
        <v>1</v>
      </c>
      <c r="D356" s="717"/>
      <c r="E356" s="24">
        <f t="shared" si="57"/>
        <v>0.04</v>
      </c>
      <c r="F356" s="717"/>
      <c r="G356" s="24">
        <f t="shared" si="58"/>
        <v>0.1</v>
      </c>
      <c r="H356" s="717"/>
      <c r="I356" s="24">
        <f t="shared" si="59"/>
        <v>0.02</v>
      </c>
      <c r="J356" s="717"/>
      <c r="K356" s="24">
        <f t="shared" si="60"/>
        <v>1</v>
      </c>
      <c r="L356" s="717"/>
      <c r="M356" s="24">
        <f t="shared" si="61"/>
        <v>1</v>
      </c>
      <c r="N356" s="717"/>
      <c r="O356" s="24">
        <f t="shared" si="62"/>
        <v>1</v>
      </c>
      <c r="P356" s="717"/>
      <c r="Q356" s="24">
        <f t="shared" si="63"/>
        <v>0</v>
      </c>
      <c r="R356" s="713">
        <f t="shared" si="64"/>
        <v>0</v>
      </c>
      <c r="S356" s="361">
        <f t="shared" si="55"/>
        <v>0</v>
      </c>
    </row>
    <row r="357" spans="1:19">
      <c r="A357" s="159"/>
      <c r="B357" s="59"/>
      <c r="C357" s="24">
        <f t="shared" si="56"/>
        <v>1</v>
      </c>
      <c r="D357" s="717"/>
      <c r="E357" s="24">
        <f t="shared" si="57"/>
        <v>0.04</v>
      </c>
      <c r="F357" s="717"/>
      <c r="G357" s="24">
        <f t="shared" si="58"/>
        <v>0.1</v>
      </c>
      <c r="H357" s="717"/>
      <c r="I357" s="24">
        <f t="shared" si="59"/>
        <v>0.02</v>
      </c>
      <c r="J357" s="717"/>
      <c r="K357" s="24">
        <f t="shared" si="60"/>
        <v>1</v>
      </c>
      <c r="L357" s="717"/>
      <c r="M357" s="24">
        <f t="shared" si="61"/>
        <v>1</v>
      </c>
      <c r="N357" s="717"/>
      <c r="O357" s="24">
        <f t="shared" si="62"/>
        <v>1</v>
      </c>
      <c r="P357" s="717"/>
      <c r="Q357" s="24">
        <f t="shared" si="63"/>
        <v>0</v>
      </c>
      <c r="R357" s="713">
        <f t="shared" si="64"/>
        <v>0</v>
      </c>
      <c r="S357" s="361">
        <f t="shared" si="55"/>
        <v>0</v>
      </c>
    </row>
    <row r="358" spans="1:19">
      <c r="A358" s="159"/>
      <c r="B358" s="59"/>
      <c r="C358" s="24">
        <f t="shared" si="56"/>
        <v>1</v>
      </c>
      <c r="D358" s="717"/>
      <c r="E358" s="24">
        <f t="shared" si="57"/>
        <v>0.04</v>
      </c>
      <c r="F358" s="717"/>
      <c r="G358" s="24">
        <f t="shared" si="58"/>
        <v>0.1</v>
      </c>
      <c r="H358" s="717"/>
      <c r="I358" s="24">
        <f t="shared" si="59"/>
        <v>0.02</v>
      </c>
      <c r="J358" s="717"/>
      <c r="K358" s="24">
        <f t="shared" si="60"/>
        <v>1</v>
      </c>
      <c r="L358" s="717"/>
      <c r="M358" s="24">
        <f t="shared" si="61"/>
        <v>1</v>
      </c>
      <c r="N358" s="717"/>
      <c r="O358" s="24">
        <f t="shared" si="62"/>
        <v>1</v>
      </c>
      <c r="P358" s="717"/>
      <c r="Q358" s="24">
        <f t="shared" si="63"/>
        <v>0</v>
      </c>
      <c r="R358" s="713">
        <f t="shared" si="64"/>
        <v>0</v>
      </c>
      <c r="S358" s="361">
        <f t="shared" si="55"/>
        <v>0</v>
      </c>
    </row>
    <row r="359" spans="1:19">
      <c r="A359" s="159"/>
      <c r="B359" s="59"/>
      <c r="C359" s="24">
        <f t="shared" si="56"/>
        <v>1</v>
      </c>
      <c r="D359" s="717"/>
      <c r="E359" s="24">
        <f t="shared" si="57"/>
        <v>0.04</v>
      </c>
      <c r="F359" s="717"/>
      <c r="G359" s="24">
        <f t="shared" si="58"/>
        <v>0.1</v>
      </c>
      <c r="H359" s="717"/>
      <c r="I359" s="24">
        <f t="shared" si="59"/>
        <v>0.02</v>
      </c>
      <c r="J359" s="717"/>
      <c r="K359" s="24">
        <f t="shared" si="60"/>
        <v>1</v>
      </c>
      <c r="L359" s="717"/>
      <c r="M359" s="24">
        <f t="shared" si="61"/>
        <v>1</v>
      </c>
      <c r="N359" s="717"/>
      <c r="O359" s="24">
        <f t="shared" si="62"/>
        <v>1</v>
      </c>
      <c r="P359" s="717"/>
      <c r="Q359" s="24">
        <f t="shared" si="63"/>
        <v>0</v>
      </c>
      <c r="R359" s="713">
        <f t="shared" si="64"/>
        <v>0</v>
      </c>
      <c r="S359" s="361">
        <f t="shared" si="55"/>
        <v>0</v>
      </c>
    </row>
    <row r="360" spans="1:19">
      <c r="A360" s="159"/>
      <c r="B360" s="59"/>
      <c r="C360" s="24">
        <f t="shared" si="56"/>
        <v>1</v>
      </c>
      <c r="D360" s="717"/>
      <c r="E360" s="24">
        <f t="shared" si="57"/>
        <v>0.04</v>
      </c>
      <c r="F360" s="717"/>
      <c r="G360" s="24">
        <f t="shared" si="58"/>
        <v>0.1</v>
      </c>
      <c r="H360" s="717"/>
      <c r="I360" s="24">
        <f t="shared" si="59"/>
        <v>0.02</v>
      </c>
      <c r="J360" s="717"/>
      <c r="K360" s="24">
        <f t="shared" si="60"/>
        <v>1</v>
      </c>
      <c r="L360" s="717"/>
      <c r="M360" s="24">
        <f t="shared" si="61"/>
        <v>1</v>
      </c>
      <c r="N360" s="717"/>
      <c r="O360" s="24">
        <f t="shared" si="62"/>
        <v>1</v>
      </c>
      <c r="P360" s="717"/>
      <c r="Q360" s="24">
        <f t="shared" si="63"/>
        <v>0</v>
      </c>
      <c r="R360" s="713">
        <f t="shared" si="64"/>
        <v>0</v>
      </c>
      <c r="S360" s="361">
        <f t="shared" si="55"/>
        <v>0</v>
      </c>
    </row>
    <row r="361" spans="1:19">
      <c r="A361" s="159"/>
      <c r="B361" s="59"/>
      <c r="C361" s="24">
        <f t="shared" si="56"/>
        <v>1</v>
      </c>
      <c r="D361" s="717"/>
      <c r="E361" s="24">
        <f t="shared" si="57"/>
        <v>0.04</v>
      </c>
      <c r="F361" s="717"/>
      <c r="G361" s="24">
        <f t="shared" si="58"/>
        <v>0.1</v>
      </c>
      <c r="H361" s="717"/>
      <c r="I361" s="24">
        <f t="shared" si="59"/>
        <v>0.02</v>
      </c>
      <c r="J361" s="717"/>
      <c r="K361" s="24">
        <f t="shared" si="60"/>
        <v>1</v>
      </c>
      <c r="L361" s="717"/>
      <c r="M361" s="24">
        <f t="shared" si="61"/>
        <v>1</v>
      </c>
      <c r="N361" s="717"/>
      <c r="O361" s="24">
        <f t="shared" si="62"/>
        <v>1</v>
      </c>
      <c r="P361" s="717"/>
      <c r="Q361" s="24">
        <f t="shared" si="63"/>
        <v>0</v>
      </c>
      <c r="R361" s="713">
        <f t="shared" si="64"/>
        <v>0</v>
      </c>
      <c r="S361" s="361">
        <f t="shared" si="55"/>
        <v>0</v>
      </c>
    </row>
    <row r="362" spans="1:19">
      <c r="A362" s="159"/>
      <c r="B362" s="59"/>
      <c r="C362" s="24">
        <f t="shared" si="56"/>
        <v>1</v>
      </c>
      <c r="D362" s="717"/>
      <c r="E362" s="24">
        <f t="shared" si="57"/>
        <v>0.04</v>
      </c>
      <c r="F362" s="717"/>
      <c r="G362" s="24">
        <f t="shared" si="58"/>
        <v>0.1</v>
      </c>
      <c r="H362" s="717"/>
      <c r="I362" s="24">
        <f t="shared" si="59"/>
        <v>0.02</v>
      </c>
      <c r="J362" s="717"/>
      <c r="K362" s="24">
        <f t="shared" si="60"/>
        <v>1</v>
      </c>
      <c r="L362" s="717"/>
      <c r="M362" s="24">
        <f t="shared" si="61"/>
        <v>1</v>
      </c>
      <c r="N362" s="717"/>
      <c r="O362" s="24">
        <f t="shared" si="62"/>
        <v>1</v>
      </c>
      <c r="P362" s="717"/>
      <c r="Q362" s="24">
        <f t="shared" si="63"/>
        <v>0</v>
      </c>
      <c r="R362" s="713">
        <f t="shared" si="64"/>
        <v>0</v>
      </c>
      <c r="S362" s="361">
        <f t="shared" si="55"/>
        <v>0</v>
      </c>
    </row>
    <row r="363" spans="1:19">
      <c r="A363" s="159"/>
      <c r="B363" s="59"/>
      <c r="C363" s="24">
        <f t="shared" si="56"/>
        <v>1</v>
      </c>
      <c r="D363" s="717"/>
      <c r="E363" s="24">
        <f t="shared" si="57"/>
        <v>0.04</v>
      </c>
      <c r="F363" s="717"/>
      <c r="G363" s="24">
        <f t="shared" si="58"/>
        <v>0.1</v>
      </c>
      <c r="H363" s="717"/>
      <c r="I363" s="24">
        <f t="shared" si="59"/>
        <v>0.02</v>
      </c>
      <c r="J363" s="717"/>
      <c r="K363" s="24">
        <f t="shared" si="60"/>
        <v>1</v>
      </c>
      <c r="L363" s="717"/>
      <c r="M363" s="24">
        <f t="shared" si="61"/>
        <v>1</v>
      </c>
      <c r="N363" s="717"/>
      <c r="O363" s="24">
        <f t="shared" si="62"/>
        <v>1</v>
      </c>
      <c r="P363" s="717"/>
      <c r="Q363" s="24">
        <f t="shared" si="63"/>
        <v>0</v>
      </c>
      <c r="R363" s="713">
        <f t="shared" si="64"/>
        <v>0</v>
      </c>
      <c r="S363" s="361">
        <f t="shared" si="55"/>
        <v>0</v>
      </c>
    </row>
    <row r="364" spans="1:19">
      <c r="A364" s="159"/>
      <c r="B364" s="59"/>
      <c r="C364" s="24">
        <f t="shared" si="56"/>
        <v>1</v>
      </c>
      <c r="D364" s="717"/>
      <c r="E364" s="24">
        <f t="shared" si="57"/>
        <v>0.04</v>
      </c>
      <c r="F364" s="717"/>
      <c r="G364" s="24">
        <f t="shared" si="58"/>
        <v>0.1</v>
      </c>
      <c r="H364" s="717"/>
      <c r="I364" s="24">
        <f t="shared" si="59"/>
        <v>0.02</v>
      </c>
      <c r="J364" s="717"/>
      <c r="K364" s="24">
        <f t="shared" si="60"/>
        <v>1</v>
      </c>
      <c r="L364" s="717"/>
      <c r="M364" s="24">
        <f t="shared" si="61"/>
        <v>1</v>
      </c>
      <c r="N364" s="717"/>
      <c r="O364" s="24">
        <f t="shared" si="62"/>
        <v>1</v>
      </c>
      <c r="P364" s="717"/>
      <c r="Q364" s="24">
        <f t="shared" si="63"/>
        <v>0</v>
      </c>
      <c r="R364" s="713">
        <f t="shared" si="64"/>
        <v>0</v>
      </c>
      <c r="S364" s="361">
        <f t="shared" si="55"/>
        <v>0</v>
      </c>
    </row>
    <row r="365" spans="1:19">
      <c r="A365" s="159"/>
      <c r="B365" s="59"/>
      <c r="C365" s="24">
        <f t="shared" si="56"/>
        <v>1</v>
      </c>
      <c r="D365" s="717"/>
      <c r="E365" s="24">
        <f t="shared" si="57"/>
        <v>0.04</v>
      </c>
      <c r="F365" s="717"/>
      <c r="G365" s="24">
        <f t="shared" si="58"/>
        <v>0.1</v>
      </c>
      <c r="H365" s="717"/>
      <c r="I365" s="24">
        <f t="shared" si="59"/>
        <v>0.02</v>
      </c>
      <c r="J365" s="717"/>
      <c r="K365" s="24">
        <f t="shared" si="60"/>
        <v>1</v>
      </c>
      <c r="L365" s="717"/>
      <c r="M365" s="24">
        <f t="shared" si="61"/>
        <v>1</v>
      </c>
      <c r="N365" s="717"/>
      <c r="O365" s="24">
        <f t="shared" si="62"/>
        <v>1</v>
      </c>
      <c r="P365" s="717"/>
      <c r="Q365" s="24">
        <f t="shared" si="63"/>
        <v>0</v>
      </c>
      <c r="R365" s="713">
        <f t="shared" si="64"/>
        <v>0</v>
      </c>
      <c r="S365" s="361">
        <f t="shared" si="55"/>
        <v>0</v>
      </c>
    </row>
    <row r="366" spans="1:19">
      <c r="A366" s="159"/>
      <c r="B366" s="59"/>
      <c r="C366" s="24">
        <f t="shared" si="56"/>
        <v>1</v>
      </c>
      <c r="D366" s="717"/>
      <c r="E366" s="24">
        <f t="shared" si="57"/>
        <v>0.04</v>
      </c>
      <c r="F366" s="717"/>
      <c r="G366" s="24">
        <f t="shared" si="58"/>
        <v>0.1</v>
      </c>
      <c r="H366" s="717"/>
      <c r="I366" s="24">
        <f t="shared" si="59"/>
        <v>0.02</v>
      </c>
      <c r="J366" s="717"/>
      <c r="K366" s="24">
        <f t="shared" si="60"/>
        <v>1</v>
      </c>
      <c r="L366" s="717"/>
      <c r="M366" s="24">
        <f t="shared" si="61"/>
        <v>1</v>
      </c>
      <c r="N366" s="717"/>
      <c r="O366" s="24">
        <f t="shared" si="62"/>
        <v>1</v>
      </c>
      <c r="P366" s="717"/>
      <c r="Q366" s="24">
        <f t="shared" si="63"/>
        <v>0</v>
      </c>
      <c r="R366" s="713">
        <f t="shared" si="64"/>
        <v>0</v>
      </c>
      <c r="S366" s="361">
        <f t="shared" si="55"/>
        <v>0</v>
      </c>
    </row>
    <row r="367" spans="1:19">
      <c r="A367" s="159"/>
      <c r="B367" s="59"/>
      <c r="C367" s="24">
        <f t="shared" si="56"/>
        <v>1</v>
      </c>
      <c r="D367" s="717"/>
      <c r="E367" s="24">
        <f t="shared" si="57"/>
        <v>0.04</v>
      </c>
      <c r="F367" s="717"/>
      <c r="G367" s="24">
        <f t="shared" si="58"/>
        <v>0.1</v>
      </c>
      <c r="H367" s="717"/>
      <c r="I367" s="24">
        <f t="shared" si="59"/>
        <v>0.02</v>
      </c>
      <c r="J367" s="717"/>
      <c r="K367" s="24">
        <f t="shared" si="60"/>
        <v>1</v>
      </c>
      <c r="L367" s="717"/>
      <c r="M367" s="24">
        <f t="shared" si="61"/>
        <v>1</v>
      </c>
      <c r="N367" s="717"/>
      <c r="O367" s="24">
        <f t="shared" si="62"/>
        <v>1</v>
      </c>
      <c r="P367" s="717"/>
      <c r="Q367" s="24">
        <f t="shared" si="63"/>
        <v>0</v>
      </c>
      <c r="R367" s="713">
        <f t="shared" si="64"/>
        <v>0</v>
      </c>
      <c r="S367" s="361">
        <f t="shared" si="55"/>
        <v>0</v>
      </c>
    </row>
    <row r="368" spans="1:19">
      <c r="A368" s="159"/>
      <c r="B368" s="59"/>
      <c r="C368" s="24">
        <f t="shared" si="56"/>
        <v>1</v>
      </c>
      <c r="D368" s="717"/>
      <c r="E368" s="24">
        <f t="shared" si="57"/>
        <v>0.04</v>
      </c>
      <c r="F368" s="717"/>
      <c r="G368" s="24">
        <f t="shared" si="58"/>
        <v>0.1</v>
      </c>
      <c r="H368" s="717"/>
      <c r="I368" s="24">
        <f t="shared" si="59"/>
        <v>0.02</v>
      </c>
      <c r="J368" s="717"/>
      <c r="K368" s="24">
        <f t="shared" si="60"/>
        <v>1</v>
      </c>
      <c r="L368" s="717"/>
      <c r="M368" s="24">
        <f t="shared" si="61"/>
        <v>1</v>
      </c>
      <c r="N368" s="717"/>
      <c r="O368" s="24">
        <f t="shared" si="62"/>
        <v>1</v>
      </c>
      <c r="P368" s="717"/>
      <c r="Q368" s="24">
        <f t="shared" si="63"/>
        <v>0</v>
      </c>
      <c r="R368" s="713">
        <f t="shared" si="64"/>
        <v>0</v>
      </c>
      <c r="S368" s="361">
        <f t="shared" si="55"/>
        <v>0</v>
      </c>
    </row>
    <row r="369" spans="1:19">
      <c r="A369" s="159"/>
      <c r="B369" s="59"/>
      <c r="C369" s="24">
        <f t="shared" si="56"/>
        <v>1</v>
      </c>
      <c r="D369" s="717"/>
      <c r="E369" s="24">
        <f t="shared" si="57"/>
        <v>0.04</v>
      </c>
      <c r="F369" s="717"/>
      <c r="G369" s="24">
        <f t="shared" si="58"/>
        <v>0.1</v>
      </c>
      <c r="H369" s="717"/>
      <c r="I369" s="24">
        <f t="shared" si="59"/>
        <v>0.02</v>
      </c>
      <c r="J369" s="717"/>
      <c r="K369" s="24">
        <f t="shared" si="60"/>
        <v>1</v>
      </c>
      <c r="L369" s="717"/>
      <c r="M369" s="24">
        <f t="shared" si="61"/>
        <v>1</v>
      </c>
      <c r="N369" s="717"/>
      <c r="O369" s="24">
        <f t="shared" si="62"/>
        <v>1</v>
      </c>
      <c r="P369" s="717"/>
      <c r="Q369" s="24">
        <f t="shared" si="63"/>
        <v>0</v>
      </c>
      <c r="R369" s="713">
        <f t="shared" si="64"/>
        <v>0</v>
      </c>
      <c r="S369" s="361">
        <f t="shared" si="55"/>
        <v>0</v>
      </c>
    </row>
    <row r="370" spans="1:19">
      <c r="A370" s="159"/>
      <c r="B370" s="59"/>
      <c r="C370" s="24">
        <f t="shared" si="56"/>
        <v>1</v>
      </c>
      <c r="D370" s="717"/>
      <c r="E370" s="24">
        <f t="shared" si="57"/>
        <v>0.04</v>
      </c>
      <c r="F370" s="717"/>
      <c r="G370" s="24">
        <f t="shared" si="58"/>
        <v>0.1</v>
      </c>
      <c r="H370" s="717"/>
      <c r="I370" s="24">
        <f t="shared" si="59"/>
        <v>0.02</v>
      </c>
      <c r="J370" s="717"/>
      <c r="K370" s="24">
        <f t="shared" si="60"/>
        <v>1</v>
      </c>
      <c r="L370" s="717"/>
      <c r="M370" s="24">
        <f t="shared" si="61"/>
        <v>1</v>
      </c>
      <c r="N370" s="717"/>
      <c r="O370" s="24">
        <f t="shared" si="62"/>
        <v>1</v>
      </c>
      <c r="P370" s="717"/>
      <c r="Q370" s="24">
        <f t="shared" si="63"/>
        <v>0</v>
      </c>
      <c r="R370" s="713">
        <f t="shared" si="64"/>
        <v>0</v>
      </c>
      <c r="S370" s="361">
        <f t="shared" si="55"/>
        <v>0</v>
      </c>
    </row>
    <row r="371" spans="1:19">
      <c r="A371" s="159"/>
      <c r="B371" s="59"/>
      <c r="C371" s="24">
        <f t="shared" si="56"/>
        <v>1</v>
      </c>
      <c r="D371" s="717"/>
      <c r="E371" s="24">
        <f t="shared" si="57"/>
        <v>0.04</v>
      </c>
      <c r="F371" s="717"/>
      <c r="G371" s="24">
        <f t="shared" si="58"/>
        <v>0.1</v>
      </c>
      <c r="H371" s="717"/>
      <c r="I371" s="24">
        <f t="shared" si="59"/>
        <v>0.02</v>
      </c>
      <c r="J371" s="717"/>
      <c r="K371" s="24">
        <f t="shared" si="60"/>
        <v>1</v>
      </c>
      <c r="L371" s="717"/>
      <c r="M371" s="24">
        <f t="shared" si="61"/>
        <v>1</v>
      </c>
      <c r="N371" s="717"/>
      <c r="O371" s="24">
        <f t="shared" si="62"/>
        <v>1</v>
      </c>
      <c r="P371" s="717"/>
      <c r="Q371" s="24">
        <f t="shared" si="63"/>
        <v>0</v>
      </c>
      <c r="R371" s="713">
        <f t="shared" si="64"/>
        <v>0</v>
      </c>
      <c r="S371" s="361">
        <f t="shared" si="55"/>
        <v>0</v>
      </c>
    </row>
    <row r="372" spans="1:19">
      <c r="A372" s="159"/>
      <c r="B372" s="59"/>
      <c r="C372" s="24">
        <f t="shared" si="56"/>
        <v>1</v>
      </c>
      <c r="D372" s="717"/>
      <c r="E372" s="24">
        <f t="shared" si="57"/>
        <v>0.04</v>
      </c>
      <c r="F372" s="717"/>
      <c r="G372" s="24">
        <f t="shared" si="58"/>
        <v>0.1</v>
      </c>
      <c r="H372" s="717"/>
      <c r="I372" s="24">
        <f t="shared" si="59"/>
        <v>0.02</v>
      </c>
      <c r="J372" s="717"/>
      <c r="K372" s="24">
        <f t="shared" si="60"/>
        <v>1</v>
      </c>
      <c r="L372" s="717"/>
      <c r="M372" s="24">
        <f t="shared" si="61"/>
        <v>1</v>
      </c>
      <c r="N372" s="717"/>
      <c r="O372" s="24">
        <f t="shared" si="62"/>
        <v>1</v>
      </c>
      <c r="P372" s="717"/>
      <c r="Q372" s="24">
        <f t="shared" si="63"/>
        <v>0</v>
      </c>
      <c r="R372" s="713">
        <f t="shared" si="64"/>
        <v>0</v>
      </c>
      <c r="S372" s="361">
        <f t="shared" si="55"/>
        <v>0</v>
      </c>
    </row>
    <row r="373" spans="1:19">
      <c r="A373" s="159"/>
      <c r="B373" s="59"/>
      <c r="C373" s="24">
        <f t="shared" si="56"/>
        <v>1</v>
      </c>
      <c r="D373" s="717"/>
      <c r="E373" s="24">
        <f t="shared" si="57"/>
        <v>0.04</v>
      </c>
      <c r="F373" s="717"/>
      <c r="G373" s="24">
        <f t="shared" si="58"/>
        <v>0.1</v>
      </c>
      <c r="H373" s="717"/>
      <c r="I373" s="24">
        <f t="shared" si="59"/>
        <v>0.02</v>
      </c>
      <c r="J373" s="717"/>
      <c r="K373" s="24">
        <f t="shared" si="60"/>
        <v>1</v>
      </c>
      <c r="L373" s="717"/>
      <c r="M373" s="24">
        <f t="shared" si="61"/>
        <v>1</v>
      </c>
      <c r="N373" s="717"/>
      <c r="O373" s="24">
        <f t="shared" si="62"/>
        <v>1</v>
      </c>
      <c r="P373" s="717"/>
      <c r="Q373" s="24">
        <f t="shared" si="63"/>
        <v>0</v>
      </c>
      <c r="R373" s="713">
        <f t="shared" si="64"/>
        <v>0</v>
      </c>
      <c r="S373" s="361">
        <f t="shared" si="55"/>
        <v>0</v>
      </c>
    </row>
    <row r="374" spans="1:19">
      <c r="A374" s="159"/>
      <c r="B374" s="59"/>
      <c r="C374" s="24">
        <f t="shared" si="56"/>
        <v>1</v>
      </c>
      <c r="D374" s="717"/>
      <c r="E374" s="24">
        <f t="shared" si="57"/>
        <v>0.04</v>
      </c>
      <c r="F374" s="717"/>
      <c r="G374" s="24">
        <f t="shared" si="58"/>
        <v>0.1</v>
      </c>
      <c r="H374" s="717"/>
      <c r="I374" s="24">
        <f t="shared" si="59"/>
        <v>0.02</v>
      </c>
      <c r="J374" s="717"/>
      <c r="K374" s="24">
        <f t="shared" si="60"/>
        <v>1</v>
      </c>
      <c r="L374" s="717"/>
      <c r="M374" s="24">
        <f t="shared" si="61"/>
        <v>1</v>
      </c>
      <c r="N374" s="717"/>
      <c r="O374" s="24">
        <f t="shared" si="62"/>
        <v>1</v>
      </c>
      <c r="P374" s="717"/>
      <c r="Q374" s="24">
        <f t="shared" si="63"/>
        <v>0</v>
      </c>
      <c r="R374" s="713">
        <f t="shared" si="64"/>
        <v>0</v>
      </c>
      <c r="S374" s="361">
        <f t="shared" si="55"/>
        <v>0</v>
      </c>
    </row>
    <row r="375" spans="1:19">
      <c r="A375" s="159"/>
      <c r="B375" s="59"/>
      <c r="C375" s="24">
        <f t="shared" si="56"/>
        <v>1</v>
      </c>
      <c r="D375" s="717"/>
      <c r="E375" s="24">
        <f t="shared" si="57"/>
        <v>0.04</v>
      </c>
      <c r="F375" s="717"/>
      <c r="G375" s="24">
        <f t="shared" si="58"/>
        <v>0.1</v>
      </c>
      <c r="H375" s="717"/>
      <c r="I375" s="24">
        <f t="shared" si="59"/>
        <v>0.02</v>
      </c>
      <c r="J375" s="717"/>
      <c r="K375" s="24">
        <f t="shared" si="60"/>
        <v>1</v>
      </c>
      <c r="L375" s="717"/>
      <c r="M375" s="24">
        <f t="shared" si="61"/>
        <v>1</v>
      </c>
      <c r="N375" s="717"/>
      <c r="O375" s="24">
        <f t="shared" si="62"/>
        <v>1</v>
      </c>
      <c r="P375" s="717"/>
      <c r="Q375" s="24">
        <f t="shared" si="63"/>
        <v>0</v>
      </c>
      <c r="R375" s="713">
        <f t="shared" si="64"/>
        <v>0</v>
      </c>
      <c r="S375" s="361">
        <f t="shared" si="55"/>
        <v>0</v>
      </c>
    </row>
    <row r="376" spans="1:19">
      <c r="A376" s="159"/>
      <c r="B376" s="59"/>
      <c r="C376" s="24">
        <f t="shared" si="56"/>
        <v>1</v>
      </c>
      <c r="D376" s="717"/>
      <c r="E376" s="24">
        <f t="shared" si="57"/>
        <v>0.04</v>
      </c>
      <c r="F376" s="717"/>
      <c r="G376" s="24">
        <f t="shared" si="58"/>
        <v>0.1</v>
      </c>
      <c r="H376" s="717"/>
      <c r="I376" s="24">
        <f t="shared" si="59"/>
        <v>0.02</v>
      </c>
      <c r="J376" s="717"/>
      <c r="K376" s="24">
        <f t="shared" si="60"/>
        <v>1</v>
      </c>
      <c r="L376" s="717"/>
      <c r="M376" s="24">
        <f t="shared" si="61"/>
        <v>1</v>
      </c>
      <c r="N376" s="717"/>
      <c r="O376" s="24">
        <f t="shared" si="62"/>
        <v>1</v>
      </c>
      <c r="P376" s="717"/>
      <c r="Q376" s="24">
        <f t="shared" si="63"/>
        <v>0</v>
      </c>
      <c r="R376" s="713">
        <f t="shared" si="64"/>
        <v>0</v>
      </c>
      <c r="S376" s="361">
        <f t="shared" si="55"/>
        <v>0</v>
      </c>
    </row>
    <row r="377" spans="1:19">
      <c r="A377" s="159"/>
      <c r="B377" s="59"/>
      <c r="C377" s="24">
        <f t="shared" si="56"/>
        <v>1</v>
      </c>
      <c r="D377" s="717"/>
      <c r="E377" s="24">
        <f t="shared" si="57"/>
        <v>0.04</v>
      </c>
      <c r="F377" s="717"/>
      <c r="G377" s="24">
        <f t="shared" si="58"/>
        <v>0.1</v>
      </c>
      <c r="H377" s="717"/>
      <c r="I377" s="24">
        <f t="shared" si="59"/>
        <v>0.02</v>
      </c>
      <c r="J377" s="717"/>
      <c r="K377" s="24">
        <f t="shared" si="60"/>
        <v>1</v>
      </c>
      <c r="L377" s="717"/>
      <c r="M377" s="24">
        <f t="shared" si="61"/>
        <v>1</v>
      </c>
      <c r="N377" s="717"/>
      <c r="O377" s="24">
        <f t="shared" si="62"/>
        <v>1</v>
      </c>
      <c r="P377" s="717"/>
      <c r="Q377" s="24">
        <f t="shared" si="63"/>
        <v>0</v>
      </c>
      <c r="R377" s="713">
        <f t="shared" si="64"/>
        <v>0</v>
      </c>
      <c r="S377" s="361">
        <f t="shared" si="55"/>
        <v>0</v>
      </c>
    </row>
    <row r="378" spans="1:19">
      <c r="A378" s="159"/>
      <c r="B378" s="59"/>
      <c r="C378" s="24">
        <f t="shared" si="56"/>
        <v>1</v>
      </c>
      <c r="D378" s="717"/>
      <c r="E378" s="24">
        <f t="shared" si="57"/>
        <v>0.04</v>
      </c>
      <c r="F378" s="717"/>
      <c r="G378" s="24">
        <f t="shared" si="58"/>
        <v>0.1</v>
      </c>
      <c r="H378" s="717"/>
      <c r="I378" s="24">
        <f t="shared" si="59"/>
        <v>0.02</v>
      </c>
      <c r="J378" s="717"/>
      <c r="K378" s="24">
        <f t="shared" si="60"/>
        <v>1</v>
      </c>
      <c r="L378" s="717"/>
      <c r="M378" s="24">
        <f t="shared" si="61"/>
        <v>1</v>
      </c>
      <c r="N378" s="717"/>
      <c r="O378" s="24">
        <f t="shared" si="62"/>
        <v>1</v>
      </c>
      <c r="P378" s="717"/>
      <c r="Q378" s="24">
        <f t="shared" si="63"/>
        <v>0</v>
      </c>
      <c r="R378" s="713">
        <f t="shared" si="64"/>
        <v>0</v>
      </c>
      <c r="S378" s="361">
        <f t="shared" si="55"/>
        <v>0</v>
      </c>
    </row>
    <row r="379" spans="1:19">
      <c r="A379" s="159"/>
      <c r="B379" s="59"/>
      <c r="C379" s="24">
        <f t="shared" si="56"/>
        <v>1</v>
      </c>
      <c r="D379" s="717"/>
      <c r="E379" s="24">
        <f t="shared" si="57"/>
        <v>0.04</v>
      </c>
      <c r="F379" s="717"/>
      <c r="G379" s="24">
        <f t="shared" si="58"/>
        <v>0.1</v>
      </c>
      <c r="H379" s="717"/>
      <c r="I379" s="24">
        <f t="shared" si="59"/>
        <v>0.02</v>
      </c>
      <c r="J379" s="717"/>
      <c r="K379" s="24">
        <f t="shared" si="60"/>
        <v>1</v>
      </c>
      <c r="L379" s="717"/>
      <c r="M379" s="24">
        <f t="shared" si="61"/>
        <v>1</v>
      </c>
      <c r="N379" s="717"/>
      <c r="O379" s="24">
        <f t="shared" si="62"/>
        <v>1</v>
      </c>
      <c r="P379" s="717"/>
      <c r="Q379" s="24">
        <f t="shared" si="63"/>
        <v>0</v>
      </c>
      <c r="R379" s="713">
        <f t="shared" si="64"/>
        <v>0</v>
      </c>
      <c r="S379" s="361">
        <f t="shared" si="55"/>
        <v>0</v>
      </c>
    </row>
    <row r="380" spans="1:19">
      <c r="A380" s="159"/>
      <c r="B380" s="59"/>
      <c r="C380" s="24">
        <f t="shared" si="56"/>
        <v>1</v>
      </c>
      <c r="D380" s="717"/>
      <c r="E380" s="24">
        <f t="shared" si="57"/>
        <v>0.04</v>
      </c>
      <c r="F380" s="717"/>
      <c r="G380" s="24">
        <f t="shared" si="58"/>
        <v>0.1</v>
      </c>
      <c r="H380" s="717"/>
      <c r="I380" s="24">
        <f t="shared" si="59"/>
        <v>0.02</v>
      </c>
      <c r="J380" s="717"/>
      <c r="K380" s="24">
        <f t="shared" si="60"/>
        <v>1</v>
      </c>
      <c r="L380" s="717"/>
      <c r="M380" s="24">
        <f t="shared" si="61"/>
        <v>1</v>
      </c>
      <c r="N380" s="717"/>
      <c r="O380" s="24">
        <f t="shared" si="62"/>
        <v>1</v>
      </c>
      <c r="P380" s="717"/>
      <c r="Q380" s="24">
        <f t="shared" si="63"/>
        <v>0</v>
      </c>
      <c r="R380" s="713">
        <f t="shared" si="64"/>
        <v>0</v>
      </c>
      <c r="S380" s="361">
        <f t="shared" si="55"/>
        <v>0</v>
      </c>
    </row>
    <row r="381" spans="1:19">
      <c r="A381" s="159"/>
      <c r="B381" s="59"/>
      <c r="C381" s="24">
        <f t="shared" si="56"/>
        <v>1</v>
      </c>
      <c r="D381" s="717"/>
      <c r="E381" s="24">
        <f t="shared" si="57"/>
        <v>0.04</v>
      </c>
      <c r="F381" s="717"/>
      <c r="G381" s="24">
        <f t="shared" si="58"/>
        <v>0.1</v>
      </c>
      <c r="H381" s="717"/>
      <c r="I381" s="24">
        <f t="shared" si="59"/>
        <v>0.02</v>
      </c>
      <c r="J381" s="717"/>
      <c r="K381" s="24">
        <f t="shared" si="60"/>
        <v>1</v>
      </c>
      <c r="L381" s="717"/>
      <c r="M381" s="24">
        <f t="shared" si="61"/>
        <v>1</v>
      </c>
      <c r="N381" s="717"/>
      <c r="O381" s="24">
        <f t="shared" si="62"/>
        <v>1</v>
      </c>
      <c r="P381" s="717"/>
      <c r="Q381" s="24">
        <f t="shared" si="63"/>
        <v>0</v>
      </c>
      <c r="R381" s="713">
        <f t="shared" si="64"/>
        <v>0</v>
      </c>
      <c r="S381" s="361">
        <f t="shared" si="55"/>
        <v>0</v>
      </c>
    </row>
    <row r="382" spans="1:19">
      <c r="A382" s="159"/>
      <c r="B382" s="59"/>
      <c r="C382" s="24">
        <f t="shared" si="56"/>
        <v>1</v>
      </c>
      <c r="D382" s="717"/>
      <c r="E382" s="24">
        <f t="shared" si="57"/>
        <v>0.04</v>
      </c>
      <c r="F382" s="717"/>
      <c r="G382" s="24">
        <f t="shared" si="58"/>
        <v>0.1</v>
      </c>
      <c r="H382" s="717"/>
      <c r="I382" s="24">
        <f t="shared" si="59"/>
        <v>0.02</v>
      </c>
      <c r="J382" s="717"/>
      <c r="K382" s="24">
        <f t="shared" si="60"/>
        <v>1</v>
      </c>
      <c r="L382" s="717"/>
      <c r="M382" s="24">
        <f t="shared" si="61"/>
        <v>1</v>
      </c>
      <c r="N382" s="717"/>
      <c r="O382" s="24">
        <f t="shared" si="62"/>
        <v>1</v>
      </c>
      <c r="P382" s="717"/>
      <c r="Q382" s="24">
        <f t="shared" si="63"/>
        <v>0</v>
      </c>
      <c r="R382" s="713">
        <f t="shared" si="64"/>
        <v>0</v>
      </c>
      <c r="S382" s="361">
        <f t="shared" si="55"/>
        <v>0</v>
      </c>
    </row>
    <row r="383" spans="1:19">
      <c r="A383" s="159"/>
      <c r="B383" s="59"/>
      <c r="C383" s="24">
        <f t="shared" si="56"/>
        <v>1</v>
      </c>
      <c r="D383" s="717"/>
      <c r="E383" s="24">
        <f t="shared" si="57"/>
        <v>0.04</v>
      </c>
      <c r="F383" s="717"/>
      <c r="G383" s="24">
        <f t="shared" si="58"/>
        <v>0.1</v>
      </c>
      <c r="H383" s="717"/>
      <c r="I383" s="24">
        <f t="shared" si="59"/>
        <v>0.02</v>
      </c>
      <c r="J383" s="717"/>
      <c r="K383" s="24">
        <f t="shared" si="60"/>
        <v>1</v>
      </c>
      <c r="L383" s="717"/>
      <c r="M383" s="24">
        <f t="shared" si="61"/>
        <v>1</v>
      </c>
      <c r="N383" s="717"/>
      <c r="O383" s="24">
        <f t="shared" si="62"/>
        <v>1</v>
      </c>
      <c r="P383" s="717"/>
      <c r="Q383" s="24">
        <f t="shared" si="63"/>
        <v>0</v>
      </c>
      <c r="R383" s="713">
        <f t="shared" si="64"/>
        <v>0</v>
      </c>
      <c r="S383" s="361">
        <f t="shared" si="55"/>
        <v>0</v>
      </c>
    </row>
    <row r="384" spans="1:19">
      <c r="A384" s="159"/>
      <c r="B384" s="59"/>
      <c r="C384" s="24">
        <f t="shared" si="56"/>
        <v>1</v>
      </c>
      <c r="D384" s="717"/>
      <c r="E384" s="24">
        <f t="shared" si="57"/>
        <v>0.04</v>
      </c>
      <c r="F384" s="717"/>
      <c r="G384" s="24">
        <f t="shared" si="58"/>
        <v>0.1</v>
      </c>
      <c r="H384" s="717"/>
      <c r="I384" s="24">
        <f t="shared" si="59"/>
        <v>0.02</v>
      </c>
      <c r="J384" s="717"/>
      <c r="K384" s="24">
        <f t="shared" si="60"/>
        <v>1</v>
      </c>
      <c r="L384" s="717"/>
      <c r="M384" s="24">
        <f t="shared" si="61"/>
        <v>1</v>
      </c>
      <c r="N384" s="717"/>
      <c r="O384" s="24">
        <f t="shared" si="62"/>
        <v>1</v>
      </c>
      <c r="P384" s="717"/>
      <c r="Q384" s="24">
        <f t="shared" si="63"/>
        <v>0</v>
      </c>
      <c r="R384" s="713">
        <f t="shared" si="64"/>
        <v>0</v>
      </c>
      <c r="S384" s="361">
        <f t="shared" si="55"/>
        <v>0</v>
      </c>
    </row>
    <row r="385" spans="1:19">
      <c r="A385" s="159"/>
      <c r="B385" s="59"/>
      <c r="C385" s="24">
        <f t="shared" si="56"/>
        <v>1</v>
      </c>
      <c r="D385" s="717"/>
      <c r="E385" s="24">
        <f t="shared" si="57"/>
        <v>0.04</v>
      </c>
      <c r="F385" s="717"/>
      <c r="G385" s="24">
        <f t="shared" si="58"/>
        <v>0.1</v>
      </c>
      <c r="H385" s="717"/>
      <c r="I385" s="24">
        <f t="shared" si="59"/>
        <v>0.02</v>
      </c>
      <c r="J385" s="717"/>
      <c r="K385" s="24">
        <f t="shared" si="60"/>
        <v>1</v>
      </c>
      <c r="L385" s="717"/>
      <c r="M385" s="24">
        <f t="shared" si="61"/>
        <v>1</v>
      </c>
      <c r="N385" s="717"/>
      <c r="O385" s="24">
        <f t="shared" si="62"/>
        <v>1</v>
      </c>
      <c r="P385" s="717"/>
      <c r="Q385" s="24">
        <f t="shared" si="63"/>
        <v>0</v>
      </c>
      <c r="R385" s="713">
        <f t="shared" si="64"/>
        <v>0</v>
      </c>
      <c r="S385" s="361">
        <f t="shared" si="55"/>
        <v>0</v>
      </c>
    </row>
    <row r="386" spans="1:19">
      <c r="A386" s="159"/>
      <c r="B386" s="59"/>
      <c r="C386" s="24">
        <f t="shared" si="56"/>
        <v>1</v>
      </c>
      <c r="D386" s="717"/>
      <c r="E386" s="24">
        <f t="shared" si="57"/>
        <v>0.04</v>
      </c>
      <c r="F386" s="717"/>
      <c r="G386" s="24">
        <f t="shared" si="58"/>
        <v>0.1</v>
      </c>
      <c r="H386" s="717"/>
      <c r="I386" s="24">
        <f t="shared" si="59"/>
        <v>0.02</v>
      </c>
      <c r="J386" s="717"/>
      <c r="K386" s="24">
        <f t="shared" si="60"/>
        <v>1</v>
      </c>
      <c r="L386" s="717"/>
      <c r="M386" s="24">
        <f t="shared" si="61"/>
        <v>1</v>
      </c>
      <c r="N386" s="717"/>
      <c r="O386" s="24">
        <f t="shared" si="62"/>
        <v>1</v>
      </c>
      <c r="P386" s="717"/>
      <c r="Q386" s="24">
        <f t="shared" si="63"/>
        <v>0</v>
      </c>
      <c r="R386" s="713">
        <f t="shared" si="64"/>
        <v>0</v>
      </c>
      <c r="S386" s="361">
        <f t="shared" si="55"/>
        <v>0</v>
      </c>
    </row>
    <row r="387" spans="1:19">
      <c r="A387" s="159"/>
      <c r="B387" s="59"/>
      <c r="C387" s="24">
        <f t="shared" si="56"/>
        <v>1</v>
      </c>
      <c r="D387" s="717"/>
      <c r="E387" s="24">
        <f t="shared" si="57"/>
        <v>0.04</v>
      </c>
      <c r="F387" s="717"/>
      <c r="G387" s="24">
        <f t="shared" si="58"/>
        <v>0.1</v>
      </c>
      <c r="H387" s="717"/>
      <c r="I387" s="24">
        <f t="shared" si="59"/>
        <v>0.02</v>
      </c>
      <c r="J387" s="717"/>
      <c r="K387" s="24">
        <f t="shared" si="60"/>
        <v>1</v>
      </c>
      <c r="L387" s="717"/>
      <c r="M387" s="24">
        <f t="shared" si="61"/>
        <v>1</v>
      </c>
      <c r="N387" s="717"/>
      <c r="O387" s="24">
        <f t="shared" si="62"/>
        <v>1</v>
      </c>
      <c r="P387" s="717"/>
      <c r="Q387" s="24">
        <f t="shared" si="63"/>
        <v>0</v>
      </c>
      <c r="R387" s="713">
        <f t="shared" si="64"/>
        <v>0</v>
      </c>
      <c r="S387" s="361">
        <f t="shared" si="55"/>
        <v>0</v>
      </c>
    </row>
    <row r="388" spans="1:19">
      <c r="A388" s="159"/>
      <c r="B388" s="59"/>
      <c r="C388" s="24">
        <f t="shared" si="56"/>
        <v>1</v>
      </c>
      <c r="D388" s="717"/>
      <c r="E388" s="24">
        <f t="shared" si="57"/>
        <v>0.04</v>
      </c>
      <c r="F388" s="717"/>
      <c r="G388" s="24">
        <f t="shared" si="58"/>
        <v>0.1</v>
      </c>
      <c r="H388" s="717"/>
      <c r="I388" s="24">
        <f t="shared" si="59"/>
        <v>0.02</v>
      </c>
      <c r="J388" s="717"/>
      <c r="K388" s="24">
        <f t="shared" si="60"/>
        <v>1</v>
      </c>
      <c r="L388" s="717"/>
      <c r="M388" s="24">
        <f t="shared" si="61"/>
        <v>1</v>
      </c>
      <c r="N388" s="717"/>
      <c r="O388" s="24">
        <f t="shared" si="62"/>
        <v>1</v>
      </c>
      <c r="P388" s="717"/>
      <c r="Q388" s="24">
        <f t="shared" si="63"/>
        <v>0</v>
      </c>
      <c r="R388" s="713">
        <f t="shared" si="64"/>
        <v>0</v>
      </c>
      <c r="S388" s="361">
        <f t="shared" si="55"/>
        <v>0</v>
      </c>
    </row>
    <row r="389" spans="1:19">
      <c r="A389" s="159"/>
      <c r="B389" s="59"/>
      <c r="C389" s="24">
        <f t="shared" si="56"/>
        <v>1</v>
      </c>
      <c r="D389" s="717"/>
      <c r="E389" s="24">
        <f t="shared" si="57"/>
        <v>0.04</v>
      </c>
      <c r="F389" s="717"/>
      <c r="G389" s="24">
        <f t="shared" si="58"/>
        <v>0.1</v>
      </c>
      <c r="H389" s="717"/>
      <c r="I389" s="24">
        <f t="shared" si="59"/>
        <v>0.02</v>
      </c>
      <c r="J389" s="717"/>
      <c r="K389" s="24">
        <f t="shared" si="60"/>
        <v>1</v>
      </c>
      <c r="L389" s="717"/>
      <c r="M389" s="24">
        <f t="shared" si="61"/>
        <v>1</v>
      </c>
      <c r="N389" s="717"/>
      <c r="O389" s="24">
        <f t="shared" si="62"/>
        <v>1</v>
      </c>
      <c r="P389" s="717"/>
      <c r="Q389" s="24">
        <f t="shared" si="63"/>
        <v>0</v>
      </c>
      <c r="R389" s="713">
        <f t="shared" si="64"/>
        <v>0</v>
      </c>
      <c r="S389" s="361">
        <f t="shared" si="55"/>
        <v>0</v>
      </c>
    </row>
    <row r="390" spans="1:19">
      <c r="A390" s="159"/>
      <c r="B390" s="59"/>
      <c r="C390" s="24">
        <f t="shared" si="56"/>
        <v>1</v>
      </c>
      <c r="D390" s="717"/>
      <c r="E390" s="24">
        <f t="shared" si="57"/>
        <v>0.04</v>
      </c>
      <c r="F390" s="717"/>
      <c r="G390" s="24">
        <f t="shared" si="58"/>
        <v>0.1</v>
      </c>
      <c r="H390" s="717"/>
      <c r="I390" s="24">
        <f t="shared" si="59"/>
        <v>0.02</v>
      </c>
      <c r="J390" s="717"/>
      <c r="K390" s="24">
        <f t="shared" si="60"/>
        <v>1</v>
      </c>
      <c r="L390" s="717"/>
      <c r="M390" s="24">
        <f t="shared" si="61"/>
        <v>1</v>
      </c>
      <c r="N390" s="717"/>
      <c r="O390" s="24">
        <f t="shared" si="62"/>
        <v>1</v>
      </c>
      <c r="P390" s="717"/>
      <c r="Q390" s="24">
        <f t="shared" si="63"/>
        <v>0</v>
      </c>
      <c r="R390" s="713">
        <f t="shared" si="64"/>
        <v>0</v>
      </c>
      <c r="S390" s="361">
        <f t="shared" si="55"/>
        <v>0</v>
      </c>
    </row>
    <row r="391" spans="1:19">
      <c r="A391" s="159"/>
      <c r="B391" s="59"/>
      <c r="C391" s="24">
        <f t="shared" si="56"/>
        <v>1</v>
      </c>
      <c r="D391" s="717"/>
      <c r="E391" s="24">
        <f t="shared" si="57"/>
        <v>0.04</v>
      </c>
      <c r="F391" s="717"/>
      <c r="G391" s="24">
        <f t="shared" si="58"/>
        <v>0.1</v>
      </c>
      <c r="H391" s="717"/>
      <c r="I391" s="24">
        <f t="shared" si="59"/>
        <v>0.02</v>
      </c>
      <c r="J391" s="717"/>
      <c r="K391" s="24">
        <f t="shared" si="60"/>
        <v>1</v>
      </c>
      <c r="L391" s="717"/>
      <c r="M391" s="24">
        <f t="shared" si="61"/>
        <v>1</v>
      </c>
      <c r="N391" s="717"/>
      <c r="O391" s="24">
        <f t="shared" si="62"/>
        <v>1</v>
      </c>
      <c r="P391" s="717"/>
      <c r="Q391" s="24">
        <f t="shared" si="63"/>
        <v>0</v>
      </c>
      <c r="R391" s="713">
        <f t="shared" si="64"/>
        <v>0</v>
      </c>
      <c r="S391" s="361">
        <f t="shared" si="55"/>
        <v>0</v>
      </c>
    </row>
    <row r="392" spans="1:19">
      <c r="A392" s="159"/>
      <c r="B392" s="59"/>
      <c r="C392" s="24">
        <f t="shared" si="56"/>
        <v>1</v>
      </c>
      <c r="D392" s="717"/>
      <c r="E392" s="24">
        <f t="shared" si="57"/>
        <v>0.04</v>
      </c>
      <c r="F392" s="717"/>
      <c r="G392" s="24">
        <f t="shared" si="58"/>
        <v>0.1</v>
      </c>
      <c r="H392" s="717"/>
      <c r="I392" s="24">
        <f t="shared" si="59"/>
        <v>0.02</v>
      </c>
      <c r="J392" s="717"/>
      <c r="K392" s="24">
        <f t="shared" si="60"/>
        <v>1</v>
      </c>
      <c r="L392" s="717"/>
      <c r="M392" s="24">
        <f t="shared" si="61"/>
        <v>1</v>
      </c>
      <c r="N392" s="717"/>
      <c r="O392" s="24">
        <f t="shared" si="62"/>
        <v>1</v>
      </c>
      <c r="P392" s="717"/>
      <c r="Q392" s="24">
        <f t="shared" si="63"/>
        <v>0</v>
      </c>
      <c r="R392" s="713">
        <f t="shared" si="64"/>
        <v>0</v>
      </c>
      <c r="S392" s="361">
        <f t="shared" si="55"/>
        <v>0</v>
      </c>
    </row>
    <row r="393" spans="1:19">
      <c r="A393" s="159"/>
      <c r="B393" s="59"/>
      <c r="C393" s="24">
        <f t="shared" si="56"/>
        <v>1</v>
      </c>
      <c r="D393" s="717"/>
      <c r="E393" s="24">
        <f t="shared" si="57"/>
        <v>0.04</v>
      </c>
      <c r="F393" s="717"/>
      <c r="G393" s="24">
        <f t="shared" si="58"/>
        <v>0.1</v>
      </c>
      <c r="H393" s="717"/>
      <c r="I393" s="24">
        <f t="shared" si="59"/>
        <v>0.02</v>
      </c>
      <c r="J393" s="717"/>
      <c r="K393" s="24">
        <f t="shared" si="60"/>
        <v>1</v>
      </c>
      <c r="L393" s="717"/>
      <c r="M393" s="24">
        <f t="shared" si="61"/>
        <v>1</v>
      </c>
      <c r="N393" s="717"/>
      <c r="O393" s="24">
        <f t="shared" si="62"/>
        <v>1</v>
      </c>
      <c r="P393" s="717"/>
      <c r="Q393" s="24">
        <f t="shared" si="63"/>
        <v>0</v>
      </c>
      <c r="R393" s="713">
        <f t="shared" si="64"/>
        <v>0</v>
      </c>
      <c r="S393" s="361">
        <f t="shared" si="55"/>
        <v>0</v>
      </c>
    </row>
    <row r="394" spans="1:19">
      <c r="A394" s="159"/>
      <c r="B394" s="59"/>
      <c r="C394" s="24">
        <f t="shared" si="56"/>
        <v>1</v>
      </c>
      <c r="D394" s="717"/>
      <c r="E394" s="24">
        <f t="shared" si="57"/>
        <v>0.04</v>
      </c>
      <c r="F394" s="717"/>
      <c r="G394" s="24">
        <f t="shared" si="58"/>
        <v>0.1</v>
      </c>
      <c r="H394" s="717"/>
      <c r="I394" s="24">
        <f t="shared" si="59"/>
        <v>0.02</v>
      </c>
      <c r="J394" s="717"/>
      <c r="K394" s="24">
        <f t="shared" si="60"/>
        <v>1</v>
      </c>
      <c r="L394" s="717"/>
      <c r="M394" s="24">
        <f t="shared" si="61"/>
        <v>1</v>
      </c>
      <c r="N394" s="717"/>
      <c r="O394" s="24">
        <f t="shared" si="62"/>
        <v>1</v>
      </c>
      <c r="P394" s="717"/>
      <c r="Q394" s="24">
        <f t="shared" si="63"/>
        <v>0</v>
      </c>
      <c r="R394" s="713">
        <f t="shared" si="64"/>
        <v>0</v>
      </c>
      <c r="S394" s="361">
        <f t="shared" si="55"/>
        <v>0</v>
      </c>
    </row>
    <row r="395" spans="1:19">
      <c r="A395" s="159"/>
      <c r="B395" s="59"/>
      <c r="C395" s="24">
        <f t="shared" si="56"/>
        <v>1</v>
      </c>
      <c r="D395" s="717"/>
      <c r="E395" s="24">
        <f t="shared" si="57"/>
        <v>0.04</v>
      </c>
      <c r="F395" s="717"/>
      <c r="G395" s="24">
        <f t="shared" si="58"/>
        <v>0.1</v>
      </c>
      <c r="H395" s="717"/>
      <c r="I395" s="24">
        <f t="shared" si="59"/>
        <v>0.02</v>
      </c>
      <c r="J395" s="717"/>
      <c r="K395" s="24">
        <f t="shared" si="60"/>
        <v>1</v>
      </c>
      <c r="L395" s="717"/>
      <c r="M395" s="24">
        <f t="shared" si="61"/>
        <v>1</v>
      </c>
      <c r="N395" s="717"/>
      <c r="O395" s="24">
        <f t="shared" si="62"/>
        <v>1</v>
      </c>
      <c r="P395" s="717"/>
      <c r="Q395" s="24">
        <f t="shared" si="63"/>
        <v>0</v>
      </c>
      <c r="R395" s="713">
        <f t="shared" si="64"/>
        <v>0</v>
      </c>
      <c r="S395" s="361">
        <f t="shared" si="55"/>
        <v>0</v>
      </c>
    </row>
    <row r="396" spans="1:19">
      <c r="A396" s="159"/>
      <c r="B396" s="59"/>
      <c r="C396" s="24">
        <f t="shared" si="56"/>
        <v>1</v>
      </c>
      <c r="D396" s="717"/>
      <c r="E396" s="24">
        <f t="shared" si="57"/>
        <v>0.04</v>
      </c>
      <c r="F396" s="717"/>
      <c r="G396" s="24">
        <f t="shared" si="58"/>
        <v>0.1</v>
      </c>
      <c r="H396" s="717"/>
      <c r="I396" s="24">
        <f t="shared" si="59"/>
        <v>0.02</v>
      </c>
      <c r="J396" s="717"/>
      <c r="K396" s="24">
        <f t="shared" si="60"/>
        <v>1</v>
      </c>
      <c r="L396" s="717"/>
      <c r="M396" s="24">
        <f t="shared" si="61"/>
        <v>1</v>
      </c>
      <c r="N396" s="717"/>
      <c r="O396" s="24">
        <f t="shared" si="62"/>
        <v>1</v>
      </c>
      <c r="P396" s="717"/>
      <c r="Q396" s="24">
        <f t="shared" si="63"/>
        <v>0</v>
      </c>
      <c r="R396" s="713">
        <f t="shared" si="64"/>
        <v>0</v>
      </c>
      <c r="S396" s="361">
        <f t="shared" si="55"/>
        <v>0</v>
      </c>
    </row>
    <row r="397" spans="1:19">
      <c r="A397" s="159"/>
      <c r="B397" s="59"/>
      <c r="C397" s="24">
        <f t="shared" si="56"/>
        <v>1</v>
      </c>
      <c r="D397" s="717"/>
      <c r="E397" s="24">
        <f t="shared" si="57"/>
        <v>0.04</v>
      </c>
      <c r="F397" s="717"/>
      <c r="G397" s="24">
        <f t="shared" si="58"/>
        <v>0.1</v>
      </c>
      <c r="H397" s="717"/>
      <c r="I397" s="24">
        <f t="shared" si="59"/>
        <v>0.02</v>
      </c>
      <c r="J397" s="717"/>
      <c r="K397" s="24">
        <f t="shared" si="60"/>
        <v>1</v>
      </c>
      <c r="L397" s="717"/>
      <c r="M397" s="24">
        <f t="shared" si="61"/>
        <v>1</v>
      </c>
      <c r="N397" s="717"/>
      <c r="O397" s="24">
        <f t="shared" si="62"/>
        <v>1</v>
      </c>
      <c r="P397" s="717"/>
      <c r="Q397" s="24">
        <f t="shared" si="63"/>
        <v>0</v>
      </c>
      <c r="R397" s="713">
        <f t="shared" si="64"/>
        <v>0</v>
      </c>
      <c r="S397" s="361">
        <f t="shared" si="55"/>
        <v>0</v>
      </c>
    </row>
    <row r="398" spans="1:19">
      <c r="A398" s="159"/>
      <c r="B398" s="59"/>
      <c r="C398" s="24">
        <f t="shared" si="56"/>
        <v>1</v>
      </c>
      <c r="D398" s="717"/>
      <c r="E398" s="24">
        <f t="shared" si="57"/>
        <v>0.04</v>
      </c>
      <c r="F398" s="717"/>
      <c r="G398" s="24">
        <f t="shared" si="58"/>
        <v>0.1</v>
      </c>
      <c r="H398" s="717"/>
      <c r="I398" s="24">
        <f t="shared" si="59"/>
        <v>0.02</v>
      </c>
      <c r="J398" s="717"/>
      <c r="K398" s="24">
        <f t="shared" si="60"/>
        <v>1</v>
      </c>
      <c r="L398" s="717"/>
      <c r="M398" s="24">
        <f t="shared" si="61"/>
        <v>1</v>
      </c>
      <c r="N398" s="717"/>
      <c r="O398" s="24">
        <f t="shared" si="62"/>
        <v>1</v>
      </c>
      <c r="P398" s="717"/>
      <c r="Q398" s="24">
        <f t="shared" si="63"/>
        <v>0</v>
      </c>
      <c r="R398" s="713">
        <f t="shared" si="64"/>
        <v>0</v>
      </c>
      <c r="S398" s="361">
        <f t="shared" si="55"/>
        <v>0</v>
      </c>
    </row>
    <row r="399" spans="1:19">
      <c r="A399" s="159"/>
      <c r="B399" s="59"/>
      <c r="C399" s="24">
        <f t="shared" si="56"/>
        <v>1</v>
      </c>
      <c r="D399" s="717"/>
      <c r="E399" s="24">
        <f t="shared" si="57"/>
        <v>0.04</v>
      </c>
      <c r="F399" s="717"/>
      <c r="G399" s="24">
        <f t="shared" si="58"/>
        <v>0.1</v>
      </c>
      <c r="H399" s="717"/>
      <c r="I399" s="24">
        <f t="shared" si="59"/>
        <v>0.02</v>
      </c>
      <c r="J399" s="717"/>
      <c r="K399" s="24">
        <f t="shared" si="60"/>
        <v>1</v>
      </c>
      <c r="L399" s="717"/>
      <c r="M399" s="24">
        <f t="shared" si="61"/>
        <v>1</v>
      </c>
      <c r="N399" s="717"/>
      <c r="O399" s="24">
        <f t="shared" si="62"/>
        <v>1</v>
      </c>
      <c r="P399" s="717"/>
      <c r="Q399" s="24">
        <f t="shared" si="63"/>
        <v>0</v>
      </c>
      <c r="R399" s="713">
        <f t="shared" si="64"/>
        <v>0</v>
      </c>
      <c r="S399" s="361">
        <f t="shared" si="55"/>
        <v>0</v>
      </c>
    </row>
    <row r="400" spans="1:19">
      <c r="A400" s="159"/>
      <c r="B400" s="59"/>
      <c r="C400" s="24">
        <f t="shared" si="56"/>
        <v>1</v>
      </c>
      <c r="D400" s="717"/>
      <c r="E400" s="24">
        <f t="shared" si="57"/>
        <v>0.04</v>
      </c>
      <c r="F400" s="717"/>
      <c r="G400" s="24">
        <f t="shared" si="58"/>
        <v>0.1</v>
      </c>
      <c r="H400" s="717"/>
      <c r="I400" s="24">
        <f t="shared" si="59"/>
        <v>0.02</v>
      </c>
      <c r="J400" s="717"/>
      <c r="K400" s="24">
        <f t="shared" si="60"/>
        <v>1</v>
      </c>
      <c r="L400" s="717"/>
      <c r="M400" s="24">
        <f t="shared" si="61"/>
        <v>1</v>
      </c>
      <c r="N400" s="717"/>
      <c r="O400" s="24">
        <f t="shared" si="62"/>
        <v>1</v>
      </c>
      <c r="P400" s="717"/>
      <c r="Q400" s="24">
        <f t="shared" si="63"/>
        <v>0</v>
      </c>
      <c r="R400" s="713">
        <f t="shared" si="64"/>
        <v>0</v>
      </c>
      <c r="S400" s="361">
        <f t="shared" si="55"/>
        <v>0</v>
      </c>
    </row>
    <row r="401" spans="1:19">
      <c r="A401" s="159"/>
      <c r="B401" s="59"/>
      <c r="C401" s="24">
        <f t="shared" si="56"/>
        <v>1</v>
      </c>
      <c r="D401" s="717"/>
      <c r="E401" s="24">
        <f t="shared" si="57"/>
        <v>0.04</v>
      </c>
      <c r="F401" s="717"/>
      <c r="G401" s="24">
        <f t="shared" si="58"/>
        <v>0.1</v>
      </c>
      <c r="H401" s="717"/>
      <c r="I401" s="24">
        <f t="shared" si="59"/>
        <v>0.02</v>
      </c>
      <c r="J401" s="717"/>
      <c r="K401" s="24">
        <f t="shared" si="60"/>
        <v>1</v>
      </c>
      <c r="L401" s="717"/>
      <c r="M401" s="24">
        <f t="shared" si="61"/>
        <v>1</v>
      </c>
      <c r="N401" s="717"/>
      <c r="O401" s="24">
        <f t="shared" si="62"/>
        <v>1</v>
      </c>
      <c r="P401" s="717"/>
      <c r="Q401" s="24">
        <f t="shared" si="63"/>
        <v>0</v>
      </c>
      <c r="R401" s="713">
        <f t="shared" si="64"/>
        <v>0</v>
      </c>
      <c r="S401" s="361">
        <f t="shared" si="55"/>
        <v>0</v>
      </c>
    </row>
    <row r="402" spans="1:19">
      <c r="A402" s="159"/>
      <c r="B402" s="59"/>
      <c r="C402" s="24">
        <f t="shared" si="56"/>
        <v>1</v>
      </c>
      <c r="D402" s="717"/>
      <c r="E402" s="24">
        <f t="shared" si="57"/>
        <v>0.04</v>
      </c>
      <c r="F402" s="717"/>
      <c r="G402" s="24">
        <f t="shared" si="58"/>
        <v>0.1</v>
      </c>
      <c r="H402" s="717"/>
      <c r="I402" s="24">
        <f t="shared" si="59"/>
        <v>0.02</v>
      </c>
      <c r="J402" s="717"/>
      <c r="K402" s="24">
        <f t="shared" si="60"/>
        <v>1</v>
      </c>
      <c r="L402" s="717"/>
      <c r="M402" s="24">
        <f t="shared" si="61"/>
        <v>1</v>
      </c>
      <c r="N402" s="717"/>
      <c r="O402" s="24">
        <f t="shared" si="62"/>
        <v>1</v>
      </c>
      <c r="P402" s="717"/>
      <c r="Q402" s="24">
        <f t="shared" si="63"/>
        <v>0</v>
      </c>
      <c r="R402" s="713">
        <f t="shared" si="64"/>
        <v>0</v>
      </c>
      <c r="S402" s="361">
        <f t="shared" si="55"/>
        <v>0</v>
      </c>
    </row>
    <row r="403" spans="1:19">
      <c r="A403" s="159"/>
      <c r="B403" s="59"/>
      <c r="C403" s="24">
        <f t="shared" si="56"/>
        <v>1</v>
      </c>
      <c r="D403" s="717"/>
      <c r="E403" s="24">
        <f t="shared" si="57"/>
        <v>0.04</v>
      </c>
      <c r="F403" s="717"/>
      <c r="G403" s="24">
        <f t="shared" si="58"/>
        <v>0.1</v>
      </c>
      <c r="H403" s="717"/>
      <c r="I403" s="24">
        <f t="shared" si="59"/>
        <v>0.02</v>
      </c>
      <c r="J403" s="717"/>
      <c r="K403" s="24">
        <f t="shared" si="60"/>
        <v>1</v>
      </c>
      <c r="L403" s="717"/>
      <c r="M403" s="24">
        <f t="shared" si="61"/>
        <v>1</v>
      </c>
      <c r="N403" s="717"/>
      <c r="O403" s="24">
        <f t="shared" si="62"/>
        <v>1</v>
      </c>
      <c r="P403" s="717"/>
      <c r="Q403" s="24">
        <f t="shared" si="63"/>
        <v>0</v>
      </c>
      <c r="R403" s="713">
        <f t="shared" si="64"/>
        <v>0</v>
      </c>
      <c r="S403" s="361">
        <f t="shared" si="55"/>
        <v>0</v>
      </c>
    </row>
    <row r="404" spans="1:19">
      <c r="A404" s="159"/>
      <c r="B404" s="59"/>
      <c r="C404" s="24">
        <f t="shared" si="56"/>
        <v>1</v>
      </c>
      <c r="D404" s="717"/>
      <c r="E404" s="24">
        <f t="shared" si="57"/>
        <v>0.04</v>
      </c>
      <c r="F404" s="717"/>
      <c r="G404" s="24">
        <f t="shared" si="58"/>
        <v>0.1</v>
      </c>
      <c r="H404" s="717"/>
      <c r="I404" s="24">
        <f t="shared" si="59"/>
        <v>0.02</v>
      </c>
      <c r="J404" s="717"/>
      <c r="K404" s="24">
        <f t="shared" si="60"/>
        <v>1</v>
      </c>
      <c r="L404" s="717"/>
      <c r="M404" s="24">
        <f t="shared" si="61"/>
        <v>1</v>
      </c>
      <c r="N404" s="717"/>
      <c r="O404" s="24">
        <f t="shared" si="62"/>
        <v>1</v>
      </c>
      <c r="P404" s="717"/>
      <c r="Q404" s="24">
        <f t="shared" si="63"/>
        <v>0</v>
      </c>
      <c r="R404" s="713">
        <f t="shared" si="64"/>
        <v>0</v>
      </c>
      <c r="S404" s="361">
        <f t="shared" si="55"/>
        <v>0</v>
      </c>
    </row>
    <row r="405" spans="1:19">
      <c r="A405" s="159"/>
      <c r="B405" s="59"/>
      <c r="C405" s="24">
        <f t="shared" si="56"/>
        <v>1</v>
      </c>
      <c r="D405" s="717"/>
      <c r="E405" s="24">
        <f t="shared" si="57"/>
        <v>0.04</v>
      </c>
      <c r="F405" s="717"/>
      <c r="G405" s="24">
        <f t="shared" si="58"/>
        <v>0.1</v>
      </c>
      <c r="H405" s="717"/>
      <c r="I405" s="24">
        <f t="shared" si="59"/>
        <v>0.02</v>
      </c>
      <c r="J405" s="717"/>
      <c r="K405" s="24">
        <f t="shared" si="60"/>
        <v>1</v>
      </c>
      <c r="L405" s="717"/>
      <c r="M405" s="24">
        <f t="shared" si="61"/>
        <v>1</v>
      </c>
      <c r="N405" s="717"/>
      <c r="O405" s="24">
        <f t="shared" si="62"/>
        <v>1</v>
      </c>
      <c r="P405" s="717"/>
      <c r="Q405" s="24">
        <f t="shared" si="63"/>
        <v>0</v>
      </c>
      <c r="R405" s="713">
        <f t="shared" si="64"/>
        <v>0</v>
      </c>
      <c r="S405" s="361">
        <f t="shared" si="55"/>
        <v>0</v>
      </c>
    </row>
    <row r="406" spans="1:19">
      <c r="A406" s="159"/>
      <c r="B406" s="59"/>
      <c r="C406" s="24">
        <f t="shared" si="56"/>
        <v>1</v>
      </c>
      <c r="D406" s="717"/>
      <c r="E406" s="24">
        <f t="shared" si="57"/>
        <v>0.04</v>
      </c>
      <c r="F406" s="717"/>
      <c r="G406" s="24">
        <f t="shared" si="58"/>
        <v>0.1</v>
      </c>
      <c r="H406" s="717"/>
      <c r="I406" s="24">
        <f t="shared" si="59"/>
        <v>0.02</v>
      </c>
      <c r="J406" s="717"/>
      <c r="K406" s="24">
        <f t="shared" si="60"/>
        <v>1</v>
      </c>
      <c r="L406" s="717"/>
      <c r="M406" s="24">
        <f t="shared" si="61"/>
        <v>1</v>
      </c>
      <c r="N406" s="717"/>
      <c r="O406" s="24">
        <f t="shared" si="62"/>
        <v>1</v>
      </c>
      <c r="P406" s="717"/>
      <c r="Q406" s="24">
        <f t="shared" si="63"/>
        <v>0</v>
      </c>
      <c r="R406" s="713">
        <f t="shared" si="64"/>
        <v>0</v>
      </c>
      <c r="S406" s="361">
        <f t="shared" si="55"/>
        <v>0</v>
      </c>
    </row>
    <row r="407" spans="1:19">
      <c r="A407" s="159"/>
      <c r="B407" s="59"/>
      <c r="C407" s="24">
        <f t="shared" si="56"/>
        <v>1</v>
      </c>
      <c r="D407" s="717"/>
      <c r="E407" s="24">
        <f t="shared" si="57"/>
        <v>0.04</v>
      </c>
      <c r="F407" s="717"/>
      <c r="G407" s="24">
        <f t="shared" si="58"/>
        <v>0.1</v>
      </c>
      <c r="H407" s="717"/>
      <c r="I407" s="24">
        <f t="shared" si="59"/>
        <v>0.02</v>
      </c>
      <c r="J407" s="717"/>
      <c r="K407" s="24">
        <f t="shared" si="60"/>
        <v>1</v>
      </c>
      <c r="L407" s="717"/>
      <c r="M407" s="24">
        <f t="shared" si="61"/>
        <v>1</v>
      </c>
      <c r="N407" s="717"/>
      <c r="O407" s="24">
        <f t="shared" si="62"/>
        <v>1</v>
      </c>
      <c r="P407" s="717"/>
      <c r="Q407" s="24">
        <f t="shared" si="63"/>
        <v>0</v>
      </c>
      <c r="R407" s="713">
        <f t="shared" si="64"/>
        <v>0</v>
      </c>
      <c r="S407" s="361">
        <f t="shared" si="55"/>
        <v>0</v>
      </c>
    </row>
    <row r="408" spans="1:19">
      <c r="A408" s="159"/>
      <c r="B408" s="59"/>
      <c r="C408" s="24">
        <f t="shared" si="56"/>
        <v>1</v>
      </c>
      <c r="D408" s="717"/>
      <c r="E408" s="24">
        <f t="shared" si="57"/>
        <v>0.04</v>
      </c>
      <c r="F408" s="717"/>
      <c r="G408" s="24">
        <f t="shared" si="58"/>
        <v>0.1</v>
      </c>
      <c r="H408" s="717"/>
      <c r="I408" s="24">
        <f t="shared" si="59"/>
        <v>0.02</v>
      </c>
      <c r="J408" s="717"/>
      <c r="K408" s="24">
        <f t="shared" si="60"/>
        <v>1</v>
      </c>
      <c r="L408" s="717"/>
      <c r="M408" s="24">
        <f t="shared" si="61"/>
        <v>1</v>
      </c>
      <c r="N408" s="717"/>
      <c r="O408" s="24">
        <f t="shared" si="62"/>
        <v>1</v>
      </c>
      <c r="P408" s="717"/>
      <c r="Q408" s="24">
        <f t="shared" si="63"/>
        <v>0</v>
      </c>
      <c r="R408" s="713">
        <f t="shared" si="64"/>
        <v>0</v>
      </c>
      <c r="S408" s="361">
        <f t="shared" ref="S408:S471" si="65">ROUND(R408*B408/10000,0)</f>
        <v>0</v>
      </c>
    </row>
    <row r="409" spans="1:19">
      <c r="A409" s="159"/>
      <c r="B409" s="59"/>
      <c r="C409" s="24">
        <f t="shared" si="56"/>
        <v>1</v>
      </c>
      <c r="D409" s="717"/>
      <c r="E409" s="24">
        <f t="shared" si="57"/>
        <v>0.04</v>
      </c>
      <c r="F409" s="717"/>
      <c r="G409" s="24">
        <f t="shared" si="58"/>
        <v>0.1</v>
      </c>
      <c r="H409" s="717"/>
      <c r="I409" s="24">
        <f t="shared" si="59"/>
        <v>0.02</v>
      </c>
      <c r="J409" s="717"/>
      <c r="K409" s="24">
        <f t="shared" si="60"/>
        <v>1</v>
      </c>
      <c r="L409" s="717"/>
      <c r="M409" s="24">
        <f t="shared" si="61"/>
        <v>1</v>
      </c>
      <c r="N409" s="717"/>
      <c r="O409" s="24">
        <f t="shared" si="62"/>
        <v>1</v>
      </c>
      <c r="P409" s="717"/>
      <c r="Q409" s="24">
        <f t="shared" si="63"/>
        <v>0</v>
      </c>
      <c r="R409" s="713">
        <f t="shared" si="64"/>
        <v>0</v>
      </c>
      <c r="S409" s="361">
        <f t="shared" si="65"/>
        <v>0</v>
      </c>
    </row>
    <row r="410" spans="1:19">
      <c r="A410" s="159"/>
      <c r="B410" s="59"/>
      <c r="C410" s="24">
        <f t="shared" ref="C410:C473" si="66">IF(B410="",1,(LOOKUP(B410,$3:$3,$4:$4)-LOOKUP($B$24,$3:$3,$4:$4)+100)/100)</f>
        <v>1</v>
      </c>
      <c r="D410" s="717"/>
      <c r="E410" s="24">
        <f t="shared" ref="E410:E473" si="67">(SUMIF($5:$5,D410,$6:$6)-SUMIF($5:$5,$D$24,$6:$6)+100)/100</f>
        <v>0.04</v>
      </c>
      <c r="F410" s="717"/>
      <c r="G410" s="24">
        <f t="shared" ref="G410:G473" si="68">(SUMIF($7:$7,F410,$8:$8)-SUMIF($7:$7,$F$24,$8:$8)+100)/100</f>
        <v>0.1</v>
      </c>
      <c r="H410" s="717"/>
      <c r="I410" s="24">
        <f t="shared" ref="I410:I473" si="69">(SUMIF($9:$9,H410,$10:$10)-SUMIF($9:$9,$H$24,$10:$10)+100)/100</f>
        <v>0.02</v>
      </c>
      <c r="J410" s="717"/>
      <c r="K410" s="24">
        <f t="shared" ref="K410:K473" si="70">(SUMIF($11:$11,J410,$12:$12)-SUMIF($11:$11,$J$24,$12:$12)+100)/100</f>
        <v>1</v>
      </c>
      <c r="L410" s="717"/>
      <c r="M410" s="24">
        <f t="shared" ref="M410:M473" si="71">(SUMIF($13:$13,L410,$14:$14)-SUMIF($13:$13,$L$24,$14:$14)+100)/100</f>
        <v>1</v>
      </c>
      <c r="N410" s="717"/>
      <c r="O410" s="24">
        <f t="shared" ref="O410:O473" si="72">(SUMIF($15:$15,N410,$16:$16)-SUMIF($15:$15,$N$24,$16:$16)+100)/100</f>
        <v>1</v>
      </c>
      <c r="P410" s="717"/>
      <c r="Q410" s="24">
        <f t="shared" ref="Q410:Q473" si="73">(SUMIF($17:$17,P410,$18:$18)-SUMIF($17:$17,$P$24,$18:$18)+100)/100</f>
        <v>0</v>
      </c>
      <c r="R410" s="713">
        <f t="shared" ref="R410:R473" si="74">IF(B410="",0,ROUND($R$24*C410*E410*G410*I410*K410*M410*O410*Q410,0))</f>
        <v>0</v>
      </c>
      <c r="S410" s="361">
        <f t="shared" si="65"/>
        <v>0</v>
      </c>
    </row>
    <row r="411" spans="1:19">
      <c r="A411" s="159"/>
      <c r="B411" s="59"/>
      <c r="C411" s="24">
        <f t="shared" si="66"/>
        <v>1</v>
      </c>
      <c r="D411" s="717"/>
      <c r="E411" s="24">
        <f t="shared" si="67"/>
        <v>0.04</v>
      </c>
      <c r="F411" s="717"/>
      <c r="G411" s="24">
        <f t="shared" si="68"/>
        <v>0.1</v>
      </c>
      <c r="H411" s="717"/>
      <c r="I411" s="24">
        <f t="shared" si="69"/>
        <v>0.02</v>
      </c>
      <c r="J411" s="717"/>
      <c r="K411" s="24">
        <f t="shared" si="70"/>
        <v>1</v>
      </c>
      <c r="L411" s="717"/>
      <c r="M411" s="24">
        <f t="shared" si="71"/>
        <v>1</v>
      </c>
      <c r="N411" s="717"/>
      <c r="O411" s="24">
        <f t="shared" si="72"/>
        <v>1</v>
      </c>
      <c r="P411" s="717"/>
      <c r="Q411" s="24">
        <f t="shared" si="73"/>
        <v>0</v>
      </c>
      <c r="R411" s="713">
        <f t="shared" si="74"/>
        <v>0</v>
      </c>
      <c r="S411" s="361">
        <f t="shared" si="65"/>
        <v>0</v>
      </c>
    </row>
    <row r="412" spans="1:19">
      <c r="A412" s="159"/>
      <c r="B412" s="59"/>
      <c r="C412" s="24">
        <f t="shared" si="66"/>
        <v>1</v>
      </c>
      <c r="D412" s="717"/>
      <c r="E412" s="24">
        <f t="shared" si="67"/>
        <v>0.04</v>
      </c>
      <c r="F412" s="717"/>
      <c r="G412" s="24">
        <f t="shared" si="68"/>
        <v>0.1</v>
      </c>
      <c r="H412" s="717"/>
      <c r="I412" s="24">
        <f t="shared" si="69"/>
        <v>0.02</v>
      </c>
      <c r="J412" s="717"/>
      <c r="K412" s="24">
        <f t="shared" si="70"/>
        <v>1</v>
      </c>
      <c r="L412" s="717"/>
      <c r="M412" s="24">
        <f t="shared" si="71"/>
        <v>1</v>
      </c>
      <c r="N412" s="717"/>
      <c r="O412" s="24">
        <f t="shared" si="72"/>
        <v>1</v>
      </c>
      <c r="P412" s="717"/>
      <c r="Q412" s="24">
        <f t="shared" si="73"/>
        <v>0</v>
      </c>
      <c r="R412" s="713">
        <f t="shared" si="74"/>
        <v>0</v>
      </c>
      <c r="S412" s="361">
        <f t="shared" si="65"/>
        <v>0</v>
      </c>
    </row>
    <row r="413" spans="1:19">
      <c r="A413" s="159"/>
      <c r="B413" s="59"/>
      <c r="C413" s="24">
        <f t="shared" si="66"/>
        <v>1</v>
      </c>
      <c r="D413" s="717"/>
      <c r="E413" s="24">
        <f t="shared" si="67"/>
        <v>0.04</v>
      </c>
      <c r="F413" s="717"/>
      <c r="G413" s="24">
        <f t="shared" si="68"/>
        <v>0.1</v>
      </c>
      <c r="H413" s="717"/>
      <c r="I413" s="24">
        <f t="shared" si="69"/>
        <v>0.02</v>
      </c>
      <c r="J413" s="717"/>
      <c r="K413" s="24">
        <f t="shared" si="70"/>
        <v>1</v>
      </c>
      <c r="L413" s="717"/>
      <c r="M413" s="24">
        <f t="shared" si="71"/>
        <v>1</v>
      </c>
      <c r="N413" s="717"/>
      <c r="O413" s="24">
        <f t="shared" si="72"/>
        <v>1</v>
      </c>
      <c r="P413" s="717"/>
      <c r="Q413" s="24">
        <f t="shared" si="73"/>
        <v>0</v>
      </c>
      <c r="R413" s="713">
        <f t="shared" si="74"/>
        <v>0</v>
      </c>
      <c r="S413" s="361">
        <f t="shared" si="65"/>
        <v>0</v>
      </c>
    </row>
    <row r="414" spans="1:19">
      <c r="A414" s="159"/>
      <c r="B414" s="59"/>
      <c r="C414" s="24">
        <f t="shared" si="66"/>
        <v>1</v>
      </c>
      <c r="D414" s="717"/>
      <c r="E414" s="24">
        <f t="shared" si="67"/>
        <v>0.04</v>
      </c>
      <c r="F414" s="717"/>
      <c r="G414" s="24">
        <f t="shared" si="68"/>
        <v>0.1</v>
      </c>
      <c r="H414" s="717"/>
      <c r="I414" s="24">
        <f t="shared" si="69"/>
        <v>0.02</v>
      </c>
      <c r="J414" s="717"/>
      <c r="K414" s="24">
        <f t="shared" si="70"/>
        <v>1</v>
      </c>
      <c r="L414" s="717"/>
      <c r="M414" s="24">
        <f t="shared" si="71"/>
        <v>1</v>
      </c>
      <c r="N414" s="717"/>
      <c r="O414" s="24">
        <f t="shared" si="72"/>
        <v>1</v>
      </c>
      <c r="P414" s="717"/>
      <c r="Q414" s="24">
        <f t="shared" si="73"/>
        <v>0</v>
      </c>
      <c r="R414" s="713">
        <f t="shared" si="74"/>
        <v>0</v>
      </c>
      <c r="S414" s="361">
        <f t="shared" si="65"/>
        <v>0</v>
      </c>
    </row>
    <row r="415" spans="1:19">
      <c r="A415" s="159"/>
      <c r="B415" s="59"/>
      <c r="C415" s="24">
        <f t="shared" si="66"/>
        <v>1</v>
      </c>
      <c r="D415" s="717"/>
      <c r="E415" s="24">
        <f t="shared" si="67"/>
        <v>0.04</v>
      </c>
      <c r="F415" s="717"/>
      <c r="G415" s="24">
        <f t="shared" si="68"/>
        <v>0.1</v>
      </c>
      <c r="H415" s="717"/>
      <c r="I415" s="24">
        <f t="shared" si="69"/>
        <v>0.02</v>
      </c>
      <c r="J415" s="717"/>
      <c r="K415" s="24">
        <f t="shared" si="70"/>
        <v>1</v>
      </c>
      <c r="L415" s="717"/>
      <c r="M415" s="24">
        <f t="shared" si="71"/>
        <v>1</v>
      </c>
      <c r="N415" s="717"/>
      <c r="O415" s="24">
        <f t="shared" si="72"/>
        <v>1</v>
      </c>
      <c r="P415" s="717"/>
      <c r="Q415" s="24">
        <f t="shared" si="73"/>
        <v>0</v>
      </c>
      <c r="R415" s="713">
        <f t="shared" si="74"/>
        <v>0</v>
      </c>
      <c r="S415" s="361">
        <f t="shared" si="65"/>
        <v>0</v>
      </c>
    </row>
    <row r="416" spans="1:19">
      <c r="A416" s="159"/>
      <c r="B416" s="59"/>
      <c r="C416" s="24">
        <f t="shared" si="66"/>
        <v>1</v>
      </c>
      <c r="D416" s="717"/>
      <c r="E416" s="24">
        <f t="shared" si="67"/>
        <v>0.04</v>
      </c>
      <c r="F416" s="717"/>
      <c r="G416" s="24">
        <f t="shared" si="68"/>
        <v>0.1</v>
      </c>
      <c r="H416" s="717"/>
      <c r="I416" s="24">
        <f t="shared" si="69"/>
        <v>0.02</v>
      </c>
      <c r="J416" s="717"/>
      <c r="K416" s="24">
        <f t="shared" si="70"/>
        <v>1</v>
      </c>
      <c r="L416" s="717"/>
      <c r="M416" s="24">
        <f t="shared" si="71"/>
        <v>1</v>
      </c>
      <c r="N416" s="717"/>
      <c r="O416" s="24">
        <f t="shared" si="72"/>
        <v>1</v>
      </c>
      <c r="P416" s="717"/>
      <c r="Q416" s="24">
        <f t="shared" si="73"/>
        <v>0</v>
      </c>
      <c r="R416" s="713">
        <f t="shared" si="74"/>
        <v>0</v>
      </c>
      <c r="S416" s="361">
        <f t="shared" si="65"/>
        <v>0</v>
      </c>
    </row>
    <row r="417" spans="1:19">
      <c r="A417" s="159"/>
      <c r="B417" s="59"/>
      <c r="C417" s="24">
        <f t="shared" si="66"/>
        <v>1</v>
      </c>
      <c r="D417" s="717"/>
      <c r="E417" s="24">
        <f t="shared" si="67"/>
        <v>0.04</v>
      </c>
      <c r="F417" s="717"/>
      <c r="G417" s="24">
        <f t="shared" si="68"/>
        <v>0.1</v>
      </c>
      <c r="H417" s="717"/>
      <c r="I417" s="24">
        <f t="shared" si="69"/>
        <v>0.02</v>
      </c>
      <c r="J417" s="717"/>
      <c r="K417" s="24">
        <f t="shared" si="70"/>
        <v>1</v>
      </c>
      <c r="L417" s="717"/>
      <c r="M417" s="24">
        <f t="shared" si="71"/>
        <v>1</v>
      </c>
      <c r="N417" s="717"/>
      <c r="O417" s="24">
        <f t="shared" si="72"/>
        <v>1</v>
      </c>
      <c r="P417" s="717"/>
      <c r="Q417" s="24">
        <f t="shared" si="73"/>
        <v>0</v>
      </c>
      <c r="R417" s="713">
        <f t="shared" si="74"/>
        <v>0</v>
      </c>
      <c r="S417" s="361">
        <f t="shared" si="65"/>
        <v>0</v>
      </c>
    </row>
    <row r="418" spans="1:19">
      <c r="A418" s="159"/>
      <c r="B418" s="59"/>
      <c r="C418" s="24">
        <f t="shared" si="66"/>
        <v>1</v>
      </c>
      <c r="D418" s="717"/>
      <c r="E418" s="24">
        <f t="shared" si="67"/>
        <v>0.04</v>
      </c>
      <c r="F418" s="717"/>
      <c r="G418" s="24">
        <f t="shared" si="68"/>
        <v>0.1</v>
      </c>
      <c r="H418" s="717"/>
      <c r="I418" s="24">
        <f t="shared" si="69"/>
        <v>0.02</v>
      </c>
      <c r="J418" s="717"/>
      <c r="K418" s="24">
        <f t="shared" si="70"/>
        <v>1</v>
      </c>
      <c r="L418" s="717"/>
      <c r="M418" s="24">
        <f t="shared" si="71"/>
        <v>1</v>
      </c>
      <c r="N418" s="717"/>
      <c r="O418" s="24">
        <f t="shared" si="72"/>
        <v>1</v>
      </c>
      <c r="P418" s="717"/>
      <c r="Q418" s="24">
        <f t="shared" si="73"/>
        <v>0</v>
      </c>
      <c r="R418" s="713">
        <f t="shared" si="74"/>
        <v>0</v>
      </c>
      <c r="S418" s="361">
        <f t="shared" si="65"/>
        <v>0</v>
      </c>
    </row>
    <row r="419" spans="1:19">
      <c r="A419" s="159"/>
      <c r="B419" s="59"/>
      <c r="C419" s="24">
        <f t="shared" si="66"/>
        <v>1</v>
      </c>
      <c r="D419" s="717"/>
      <c r="E419" s="24">
        <f t="shared" si="67"/>
        <v>0.04</v>
      </c>
      <c r="F419" s="717"/>
      <c r="G419" s="24">
        <f t="shared" si="68"/>
        <v>0.1</v>
      </c>
      <c r="H419" s="717"/>
      <c r="I419" s="24">
        <f t="shared" si="69"/>
        <v>0.02</v>
      </c>
      <c r="J419" s="717"/>
      <c r="K419" s="24">
        <f t="shared" si="70"/>
        <v>1</v>
      </c>
      <c r="L419" s="717"/>
      <c r="M419" s="24">
        <f t="shared" si="71"/>
        <v>1</v>
      </c>
      <c r="N419" s="717"/>
      <c r="O419" s="24">
        <f t="shared" si="72"/>
        <v>1</v>
      </c>
      <c r="P419" s="717"/>
      <c r="Q419" s="24">
        <f t="shared" si="73"/>
        <v>0</v>
      </c>
      <c r="R419" s="713">
        <f t="shared" si="74"/>
        <v>0</v>
      </c>
      <c r="S419" s="361">
        <f t="shared" si="65"/>
        <v>0</v>
      </c>
    </row>
    <row r="420" spans="1:19">
      <c r="A420" s="159"/>
      <c r="B420" s="59"/>
      <c r="C420" s="24">
        <f t="shared" si="66"/>
        <v>1</v>
      </c>
      <c r="D420" s="717"/>
      <c r="E420" s="24">
        <f t="shared" si="67"/>
        <v>0.04</v>
      </c>
      <c r="F420" s="717"/>
      <c r="G420" s="24">
        <f t="shared" si="68"/>
        <v>0.1</v>
      </c>
      <c r="H420" s="717"/>
      <c r="I420" s="24">
        <f t="shared" si="69"/>
        <v>0.02</v>
      </c>
      <c r="J420" s="717"/>
      <c r="K420" s="24">
        <f t="shared" si="70"/>
        <v>1</v>
      </c>
      <c r="L420" s="717"/>
      <c r="M420" s="24">
        <f t="shared" si="71"/>
        <v>1</v>
      </c>
      <c r="N420" s="717"/>
      <c r="O420" s="24">
        <f t="shared" si="72"/>
        <v>1</v>
      </c>
      <c r="P420" s="717"/>
      <c r="Q420" s="24">
        <f t="shared" si="73"/>
        <v>0</v>
      </c>
      <c r="R420" s="713">
        <f t="shared" si="74"/>
        <v>0</v>
      </c>
      <c r="S420" s="361">
        <f t="shared" si="65"/>
        <v>0</v>
      </c>
    </row>
    <row r="421" spans="1:19">
      <c r="A421" s="159"/>
      <c r="B421" s="59"/>
      <c r="C421" s="24">
        <f t="shared" si="66"/>
        <v>1</v>
      </c>
      <c r="D421" s="717"/>
      <c r="E421" s="24">
        <f t="shared" si="67"/>
        <v>0.04</v>
      </c>
      <c r="F421" s="717"/>
      <c r="G421" s="24">
        <f t="shared" si="68"/>
        <v>0.1</v>
      </c>
      <c r="H421" s="717"/>
      <c r="I421" s="24">
        <f t="shared" si="69"/>
        <v>0.02</v>
      </c>
      <c r="J421" s="717"/>
      <c r="K421" s="24">
        <f t="shared" si="70"/>
        <v>1</v>
      </c>
      <c r="L421" s="717"/>
      <c r="M421" s="24">
        <f t="shared" si="71"/>
        <v>1</v>
      </c>
      <c r="N421" s="717"/>
      <c r="O421" s="24">
        <f t="shared" si="72"/>
        <v>1</v>
      </c>
      <c r="P421" s="717"/>
      <c r="Q421" s="24">
        <f t="shared" si="73"/>
        <v>0</v>
      </c>
      <c r="R421" s="713">
        <f t="shared" si="74"/>
        <v>0</v>
      </c>
      <c r="S421" s="361">
        <f t="shared" si="65"/>
        <v>0</v>
      </c>
    </row>
    <row r="422" spans="1:19">
      <c r="A422" s="159"/>
      <c r="B422" s="59"/>
      <c r="C422" s="24">
        <f t="shared" si="66"/>
        <v>1</v>
      </c>
      <c r="D422" s="717"/>
      <c r="E422" s="24">
        <f t="shared" si="67"/>
        <v>0.04</v>
      </c>
      <c r="F422" s="717"/>
      <c r="G422" s="24">
        <f t="shared" si="68"/>
        <v>0.1</v>
      </c>
      <c r="H422" s="717"/>
      <c r="I422" s="24">
        <f t="shared" si="69"/>
        <v>0.02</v>
      </c>
      <c r="J422" s="717"/>
      <c r="K422" s="24">
        <f t="shared" si="70"/>
        <v>1</v>
      </c>
      <c r="L422" s="717"/>
      <c r="M422" s="24">
        <f t="shared" si="71"/>
        <v>1</v>
      </c>
      <c r="N422" s="717"/>
      <c r="O422" s="24">
        <f t="shared" si="72"/>
        <v>1</v>
      </c>
      <c r="P422" s="717"/>
      <c r="Q422" s="24">
        <f t="shared" si="73"/>
        <v>0</v>
      </c>
      <c r="R422" s="713">
        <f t="shared" si="74"/>
        <v>0</v>
      </c>
      <c r="S422" s="361">
        <f t="shared" si="65"/>
        <v>0</v>
      </c>
    </row>
    <row r="423" spans="1:19">
      <c r="A423" s="159"/>
      <c r="B423" s="59"/>
      <c r="C423" s="24">
        <f t="shared" si="66"/>
        <v>1</v>
      </c>
      <c r="D423" s="717"/>
      <c r="E423" s="24">
        <f t="shared" si="67"/>
        <v>0.04</v>
      </c>
      <c r="F423" s="717"/>
      <c r="G423" s="24">
        <f t="shared" si="68"/>
        <v>0.1</v>
      </c>
      <c r="H423" s="717"/>
      <c r="I423" s="24">
        <f t="shared" si="69"/>
        <v>0.02</v>
      </c>
      <c r="J423" s="717"/>
      <c r="K423" s="24">
        <f t="shared" si="70"/>
        <v>1</v>
      </c>
      <c r="L423" s="717"/>
      <c r="M423" s="24">
        <f t="shared" si="71"/>
        <v>1</v>
      </c>
      <c r="N423" s="717"/>
      <c r="O423" s="24">
        <f t="shared" si="72"/>
        <v>1</v>
      </c>
      <c r="P423" s="717"/>
      <c r="Q423" s="24">
        <f t="shared" si="73"/>
        <v>0</v>
      </c>
      <c r="R423" s="713">
        <f t="shared" si="74"/>
        <v>0</v>
      </c>
      <c r="S423" s="361">
        <f t="shared" si="65"/>
        <v>0</v>
      </c>
    </row>
    <row r="424" spans="1:19">
      <c r="A424" s="159"/>
      <c r="B424" s="59"/>
      <c r="C424" s="24">
        <f t="shared" si="66"/>
        <v>1</v>
      </c>
      <c r="D424" s="717"/>
      <c r="E424" s="24">
        <f t="shared" si="67"/>
        <v>0.04</v>
      </c>
      <c r="F424" s="717"/>
      <c r="G424" s="24">
        <f t="shared" si="68"/>
        <v>0.1</v>
      </c>
      <c r="H424" s="717"/>
      <c r="I424" s="24">
        <f t="shared" si="69"/>
        <v>0.02</v>
      </c>
      <c r="J424" s="717"/>
      <c r="K424" s="24">
        <f t="shared" si="70"/>
        <v>1</v>
      </c>
      <c r="L424" s="717"/>
      <c r="M424" s="24">
        <f t="shared" si="71"/>
        <v>1</v>
      </c>
      <c r="N424" s="717"/>
      <c r="O424" s="24">
        <f t="shared" si="72"/>
        <v>1</v>
      </c>
      <c r="P424" s="717"/>
      <c r="Q424" s="24">
        <f t="shared" si="73"/>
        <v>0</v>
      </c>
      <c r="R424" s="713">
        <f t="shared" si="74"/>
        <v>0</v>
      </c>
      <c r="S424" s="361">
        <f t="shared" si="65"/>
        <v>0</v>
      </c>
    </row>
    <row r="425" spans="1:19">
      <c r="A425" s="159"/>
      <c r="B425" s="59"/>
      <c r="C425" s="24">
        <f t="shared" si="66"/>
        <v>1</v>
      </c>
      <c r="D425" s="717"/>
      <c r="E425" s="24">
        <f t="shared" si="67"/>
        <v>0.04</v>
      </c>
      <c r="F425" s="717"/>
      <c r="G425" s="24">
        <f t="shared" si="68"/>
        <v>0.1</v>
      </c>
      <c r="H425" s="717"/>
      <c r="I425" s="24">
        <f t="shared" si="69"/>
        <v>0.02</v>
      </c>
      <c r="J425" s="717"/>
      <c r="K425" s="24">
        <f t="shared" si="70"/>
        <v>1</v>
      </c>
      <c r="L425" s="717"/>
      <c r="M425" s="24">
        <f t="shared" si="71"/>
        <v>1</v>
      </c>
      <c r="N425" s="717"/>
      <c r="O425" s="24">
        <f t="shared" si="72"/>
        <v>1</v>
      </c>
      <c r="P425" s="717"/>
      <c r="Q425" s="24">
        <f t="shared" si="73"/>
        <v>0</v>
      </c>
      <c r="R425" s="713">
        <f t="shared" si="74"/>
        <v>0</v>
      </c>
      <c r="S425" s="361">
        <f t="shared" si="65"/>
        <v>0</v>
      </c>
    </row>
    <row r="426" spans="1:19">
      <c r="A426" s="159"/>
      <c r="B426" s="59"/>
      <c r="C426" s="24">
        <f t="shared" si="66"/>
        <v>1</v>
      </c>
      <c r="D426" s="717"/>
      <c r="E426" s="24">
        <f t="shared" si="67"/>
        <v>0.04</v>
      </c>
      <c r="F426" s="717"/>
      <c r="G426" s="24">
        <f t="shared" si="68"/>
        <v>0.1</v>
      </c>
      <c r="H426" s="717"/>
      <c r="I426" s="24">
        <f t="shared" si="69"/>
        <v>0.02</v>
      </c>
      <c r="J426" s="717"/>
      <c r="K426" s="24">
        <f t="shared" si="70"/>
        <v>1</v>
      </c>
      <c r="L426" s="717"/>
      <c r="M426" s="24">
        <f t="shared" si="71"/>
        <v>1</v>
      </c>
      <c r="N426" s="717"/>
      <c r="O426" s="24">
        <f t="shared" si="72"/>
        <v>1</v>
      </c>
      <c r="P426" s="717"/>
      <c r="Q426" s="24">
        <f t="shared" si="73"/>
        <v>0</v>
      </c>
      <c r="R426" s="713">
        <f t="shared" si="74"/>
        <v>0</v>
      </c>
      <c r="S426" s="361">
        <f t="shared" si="65"/>
        <v>0</v>
      </c>
    </row>
    <row r="427" spans="1:19">
      <c r="A427" s="159"/>
      <c r="B427" s="59"/>
      <c r="C427" s="24">
        <f t="shared" si="66"/>
        <v>1</v>
      </c>
      <c r="D427" s="717"/>
      <c r="E427" s="24">
        <f t="shared" si="67"/>
        <v>0.04</v>
      </c>
      <c r="F427" s="717"/>
      <c r="G427" s="24">
        <f t="shared" si="68"/>
        <v>0.1</v>
      </c>
      <c r="H427" s="717"/>
      <c r="I427" s="24">
        <f t="shared" si="69"/>
        <v>0.02</v>
      </c>
      <c r="J427" s="717"/>
      <c r="K427" s="24">
        <f t="shared" si="70"/>
        <v>1</v>
      </c>
      <c r="L427" s="717"/>
      <c r="M427" s="24">
        <f t="shared" si="71"/>
        <v>1</v>
      </c>
      <c r="N427" s="717"/>
      <c r="O427" s="24">
        <f t="shared" si="72"/>
        <v>1</v>
      </c>
      <c r="P427" s="717"/>
      <c r="Q427" s="24">
        <f t="shared" si="73"/>
        <v>0</v>
      </c>
      <c r="R427" s="713">
        <f t="shared" si="74"/>
        <v>0</v>
      </c>
      <c r="S427" s="361">
        <f t="shared" si="65"/>
        <v>0</v>
      </c>
    </row>
    <row r="428" spans="1:19">
      <c r="A428" s="159"/>
      <c r="B428" s="59"/>
      <c r="C428" s="24">
        <f t="shared" si="66"/>
        <v>1</v>
      </c>
      <c r="D428" s="717"/>
      <c r="E428" s="24">
        <f t="shared" si="67"/>
        <v>0.04</v>
      </c>
      <c r="F428" s="717"/>
      <c r="G428" s="24">
        <f t="shared" si="68"/>
        <v>0.1</v>
      </c>
      <c r="H428" s="717"/>
      <c r="I428" s="24">
        <f t="shared" si="69"/>
        <v>0.02</v>
      </c>
      <c r="J428" s="717"/>
      <c r="K428" s="24">
        <f t="shared" si="70"/>
        <v>1</v>
      </c>
      <c r="L428" s="717"/>
      <c r="M428" s="24">
        <f t="shared" si="71"/>
        <v>1</v>
      </c>
      <c r="N428" s="717"/>
      <c r="O428" s="24">
        <f t="shared" si="72"/>
        <v>1</v>
      </c>
      <c r="P428" s="717"/>
      <c r="Q428" s="24">
        <f t="shared" si="73"/>
        <v>0</v>
      </c>
      <c r="R428" s="713">
        <f t="shared" si="74"/>
        <v>0</v>
      </c>
      <c r="S428" s="361">
        <f t="shared" si="65"/>
        <v>0</v>
      </c>
    </row>
    <row r="429" spans="1:19">
      <c r="A429" s="159"/>
      <c r="B429" s="59"/>
      <c r="C429" s="24">
        <f t="shared" si="66"/>
        <v>1</v>
      </c>
      <c r="D429" s="717"/>
      <c r="E429" s="24">
        <f t="shared" si="67"/>
        <v>0.04</v>
      </c>
      <c r="F429" s="717"/>
      <c r="G429" s="24">
        <f t="shared" si="68"/>
        <v>0.1</v>
      </c>
      <c r="H429" s="717"/>
      <c r="I429" s="24">
        <f t="shared" si="69"/>
        <v>0.02</v>
      </c>
      <c r="J429" s="717"/>
      <c r="K429" s="24">
        <f t="shared" si="70"/>
        <v>1</v>
      </c>
      <c r="L429" s="717"/>
      <c r="M429" s="24">
        <f t="shared" si="71"/>
        <v>1</v>
      </c>
      <c r="N429" s="717"/>
      <c r="O429" s="24">
        <f t="shared" si="72"/>
        <v>1</v>
      </c>
      <c r="P429" s="717"/>
      <c r="Q429" s="24">
        <f t="shared" si="73"/>
        <v>0</v>
      </c>
      <c r="R429" s="713">
        <f t="shared" si="74"/>
        <v>0</v>
      </c>
      <c r="S429" s="361">
        <f t="shared" si="65"/>
        <v>0</v>
      </c>
    </row>
    <row r="430" spans="1:19">
      <c r="A430" s="159"/>
      <c r="B430" s="59"/>
      <c r="C430" s="24">
        <f t="shared" si="66"/>
        <v>1</v>
      </c>
      <c r="D430" s="717"/>
      <c r="E430" s="24">
        <f t="shared" si="67"/>
        <v>0.04</v>
      </c>
      <c r="F430" s="717"/>
      <c r="G430" s="24">
        <f t="shared" si="68"/>
        <v>0.1</v>
      </c>
      <c r="H430" s="717"/>
      <c r="I430" s="24">
        <f t="shared" si="69"/>
        <v>0.02</v>
      </c>
      <c r="J430" s="717"/>
      <c r="K430" s="24">
        <f t="shared" si="70"/>
        <v>1</v>
      </c>
      <c r="L430" s="717"/>
      <c r="M430" s="24">
        <f t="shared" si="71"/>
        <v>1</v>
      </c>
      <c r="N430" s="717"/>
      <c r="O430" s="24">
        <f t="shared" si="72"/>
        <v>1</v>
      </c>
      <c r="P430" s="717"/>
      <c r="Q430" s="24">
        <f t="shared" si="73"/>
        <v>0</v>
      </c>
      <c r="R430" s="713">
        <f t="shared" si="74"/>
        <v>0</v>
      </c>
      <c r="S430" s="361">
        <f t="shared" si="65"/>
        <v>0</v>
      </c>
    </row>
    <row r="431" spans="1:19">
      <c r="A431" s="159"/>
      <c r="B431" s="59"/>
      <c r="C431" s="24">
        <f t="shared" si="66"/>
        <v>1</v>
      </c>
      <c r="D431" s="717"/>
      <c r="E431" s="24">
        <f t="shared" si="67"/>
        <v>0.04</v>
      </c>
      <c r="F431" s="717"/>
      <c r="G431" s="24">
        <f t="shared" si="68"/>
        <v>0.1</v>
      </c>
      <c r="H431" s="717"/>
      <c r="I431" s="24">
        <f t="shared" si="69"/>
        <v>0.02</v>
      </c>
      <c r="J431" s="717"/>
      <c r="K431" s="24">
        <f t="shared" si="70"/>
        <v>1</v>
      </c>
      <c r="L431" s="717"/>
      <c r="M431" s="24">
        <f t="shared" si="71"/>
        <v>1</v>
      </c>
      <c r="N431" s="717"/>
      <c r="O431" s="24">
        <f t="shared" si="72"/>
        <v>1</v>
      </c>
      <c r="P431" s="717"/>
      <c r="Q431" s="24">
        <f t="shared" si="73"/>
        <v>0</v>
      </c>
      <c r="R431" s="713">
        <f t="shared" si="74"/>
        <v>0</v>
      </c>
      <c r="S431" s="361">
        <f t="shared" si="65"/>
        <v>0</v>
      </c>
    </row>
    <row r="432" spans="1:19">
      <c r="A432" s="159"/>
      <c r="B432" s="59"/>
      <c r="C432" s="24">
        <f t="shared" si="66"/>
        <v>1</v>
      </c>
      <c r="D432" s="717"/>
      <c r="E432" s="24">
        <f t="shared" si="67"/>
        <v>0.04</v>
      </c>
      <c r="F432" s="717"/>
      <c r="G432" s="24">
        <f t="shared" si="68"/>
        <v>0.1</v>
      </c>
      <c r="H432" s="717"/>
      <c r="I432" s="24">
        <f t="shared" si="69"/>
        <v>0.02</v>
      </c>
      <c r="J432" s="717"/>
      <c r="K432" s="24">
        <f t="shared" si="70"/>
        <v>1</v>
      </c>
      <c r="L432" s="717"/>
      <c r="M432" s="24">
        <f t="shared" si="71"/>
        <v>1</v>
      </c>
      <c r="N432" s="717"/>
      <c r="O432" s="24">
        <f t="shared" si="72"/>
        <v>1</v>
      </c>
      <c r="P432" s="717"/>
      <c r="Q432" s="24">
        <f t="shared" si="73"/>
        <v>0</v>
      </c>
      <c r="R432" s="713">
        <f t="shared" si="74"/>
        <v>0</v>
      </c>
      <c r="S432" s="361">
        <f t="shared" si="65"/>
        <v>0</v>
      </c>
    </row>
    <row r="433" spans="1:19">
      <c r="A433" s="159"/>
      <c r="B433" s="59"/>
      <c r="C433" s="24">
        <f t="shared" si="66"/>
        <v>1</v>
      </c>
      <c r="D433" s="717"/>
      <c r="E433" s="24">
        <f t="shared" si="67"/>
        <v>0.04</v>
      </c>
      <c r="F433" s="717"/>
      <c r="G433" s="24">
        <f t="shared" si="68"/>
        <v>0.1</v>
      </c>
      <c r="H433" s="717"/>
      <c r="I433" s="24">
        <f t="shared" si="69"/>
        <v>0.02</v>
      </c>
      <c r="J433" s="717"/>
      <c r="K433" s="24">
        <f t="shared" si="70"/>
        <v>1</v>
      </c>
      <c r="L433" s="717"/>
      <c r="M433" s="24">
        <f t="shared" si="71"/>
        <v>1</v>
      </c>
      <c r="N433" s="717"/>
      <c r="O433" s="24">
        <f t="shared" si="72"/>
        <v>1</v>
      </c>
      <c r="P433" s="717"/>
      <c r="Q433" s="24">
        <f t="shared" si="73"/>
        <v>0</v>
      </c>
      <c r="R433" s="713">
        <f t="shared" si="74"/>
        <v>0</v>
      </c>
      <c r="S433" s="361">
        <f t="shared" si="65"/>
        <v>0</v>
      </c>
    </row>
    <row r="434" spans="1:19">
      <c r="A434" s="159"/>
      <c r="B434" s="59"/>
      <c r="C434" s="24">
        <f t="shared" si="66"/>
        <v>1</v>
      </c>
      <c r="D434" s="717"/>
      <c r="E434" s="24">
        <f t="shared" si="67"/>
        <v>0.04</v>
      </c>
      <c r="F434" s="717"/>
      <c r="G434" s="24">
        <f t="shared" si="68"/>
        <v>0.1</v>
      </c>
      <c r="H434" s="717"/>
      <c r="I434" s="24">
        <f t="shared" si="69"/>
        <v>0.02</v>
      </c>
      <c r="J434" s="717"/>
      <c r="K434" s="24">
        <f t="shared" si="70"/>
        <v>1</v>
      </c>
      <c r="L434" s="717"/>
      <c r="M434" s="24">
        <f t="shared" si="71"/>
        <v>1</v>
      </c>
      <c r="N434" s="717"/>
      <c r="O434" s="24">
        <f t="shared" si="72"/>
        <v>1</v>
      </c>
      <c r="P434" s="717"/>
      <c r="Q434" s="24">
        <f t="shared" si="73"/>
        <v>0</v>
      </c>
      <c r="R434" s="713">
        <f t="shared" si="74"/>
        <v>0</v>
      </c>
      <c r="S434" s="361">
        <f t="shared" si="65"/>
        <v>0</v>
      </c>
    </row>
    <row r="435" spans="1:19">
      <c r="A435" s="159"/>
      <c r="B435" s="59"/>
      <c r="C435" s="24">
        <f t="shared" si="66"/>
        <v>1</v>
      </c>
      <c r="D435" s="717"/>
      <c r="E435" s="24">
        <f t="shared" si="67"/>
        <v>0.04</v>
      </c>
      <c r="F435" s="717"/>
      <c r="G435" s="24">
        <f t="shared" si="68"/>
        <v>0.1</v>
      </c>
      <c r="H435" s="717"/>
      <c r="I435" s="24">
        <f t="shared" si="69"/>
        <v>0.02</v>
      </c>
      <c r="J435" s="717"/>
      <c r="K435" s="24">
        <f t="shared" si="70"/>
        <v>1</v>
      </c>
      <c r="L435" s="717"/>
      <c r="M435" s="24">
        <f t="shared" si="71"/>
        <v>1</v>
      </c>
      <c r="N435" s="717"/>
      <c r="O435" s="24">
        <f t="shared" si="72"/>
        <v>1</v>
      </c>
      <c r="P435" s="717"/>
      <c r="Q435" s="24">
        <f t="shared" si="73"/>
        <v>0</v>
      </c>
      <c r="R435" s="713">
        <f t="shared" si="74"/>
        <v>0</v>
      </c>
      <c r="S435" s="361">
        <f t="shared" si="65"/>
        <v>0</v>
      </c>
    </row>
    <row r="436" spans="1:19">
      <c r="A436" s="159"/>
      <c r="B436" s="59"/>
      <c r="C436" s="24">
        <f t="shared" si="66"/>
        <v>1</v>
      </c>
      <c r="D436" s="717"/>
      <c r="E436" s="24">
        <f t="shared" si="67"/>
        <v>0.04</v>
      </c>
      <c r="F436" s="717"/>
      <c r="G436" s="24">
        <f t="shared" si="68"/>
        <v>0.1</v>
      </c>
      <c r="H436" s="717"/>
      <c r="I436" s="24">
        <f t="shared" si="69"/>
        <v>0.02</v>
      </c>
      <c r="J436" s="717"/>
      <c r="K436" s="24">
        <f t="shared" si="70"/>
        <v>1</v>
      </c>
      <c r="L436" s="717"/>
      <c r="M436" s="24">
        <f t="shared" si="71"/>
        <v>1</v>
      </c>
      <c r="N436" s="717"/>
      <c r="O436" s="24">
        <f t="shared" si="72"/>
        <v>1</v>
      </c>
      <c r="P436" s="717"/>
      <c r="Q436" s="24">
        <f t="shared" si="73"/>
        <v>0</v>
      </c>
      <c r="R436" s="713">
        <f t="shared" si="74"/>
        <v>0</v>
      </c>
      <c r="S436" s="361">
        <f t="shared" si="65"/>
        <v>0</v>
      </c>
    </row>
    <row r="437" spans="1:19">
      <c r="A437" s="159"/>
      <c r="B437" s="59"/>
      <c r="C437" s="24">
        <f t="shared" si="66"/>
        <v>1</v>
      </c>
      <c r="D437" s="717"/>
      <c r="E437" s="24">
        <f t="shared" si="67"/>
        <v>0.04</v>
      </c>
      <c r="F437" s="717"/>
      <c r="G437" s="24">
        <f t="shared" si="68"/>
        <v>0.1</v>
      </c>
      <c r="H437" s="717"/>
      <c r="I437" s="24">
        <f t="shared" si="69"/>
        <v>0.02</v>
      </c>
      <c r="J437" s="717"/>
      <c r="K437" s="24">
        <f t="shared" si="70"/>
        <v>1</v>
      </c>
      <c r="L437" s="717"/>
      <c r="M437" s="24">
        <f t="shared" si="71"/>
        <v>1</v>
      </c>
      <c r="N437" s="717"/>
      <c r="O437" s="24">
        <f t="shared" si="72"/>
        <v>1</v>
      </c>
      <c r="P437" s="717"/>
      <c r="Q437" s="24">
        <f t="shared" si="73"/>
        <v>0</v>
      </c>
      <c r="R437" s="713">
        <f t="shared" si="74"/>
        <v>0</v>
      </c>
      <c r="S437" s="361">
        <f t="shared" si="65"/>
        <v>0</v>
      </c>
    </row>
    <row r="438" spans="1:19">
      <c r="A438" s="159"/>
      <c r="B438" s="59"/>
      <c r="C438" s="24">
        <f t="shared" si="66"/>
        <v>1</v>
      </c>
      <c r="D438" s="717"/>
      <c r="E438" s="24">
        <f t="shared" si="67"/>
        <v>0.04</v>
      </c>
      <c r="F438" s="717"/>
      <c r="G438" s="24">
        <f t="shared" si="68"/>
        <v>0.1</v>
      </c>
      <c r="H438" s="717"/>
      <c r="I438" s="24">
        <f t="shared" si="69"/>
        <v>0.02</v>
      </c>
      <c r="J438" s="717"/>
      <c r="K438" s="24">
        <f t="shared" si="70"/>
        <v>1</v>
      </c>
      <c r="L438" s="717"/>
      <c r="M438" s="24">
        <f t="shared" si="71"/>
        <v>1</v>
      </c>
      <c r="N438" s="717"/>
      <c r="O438" s="24">
        <f t="shared" si="72"/>
        <v>1</v>
      </c>
      <c r="P438" s="717"/>
      <c r="Q438" s="24">
        <f t="shared" si="73"/>
        <v>0</v>
      </c>
      <c r="R438" s="713">
        <f t="shared" si="74"/>
        <v>0</v>
      </c>
      <c r="S438" s="361">
        <f t="shared" si="65"/>
        <v>0</v>
      </c>
    </row>
    <row r="439" spans="1:19">
      <c r="A439" s="159"/>
      <c r="B439" s="59"/>
      <c r="C439" s="24">
        <f t="shared" si="66"/>
        <v>1</v>
      </c>
      <c r="D439" s="717"/>
      <c r="E439" s="24">
        <f t="shared" si="67"/>
        <v>0.04</v>
      </c>
      <c r="F439" s="717"/>
      <c r="G439" s="24">
        <f t="shared" si="68"/>
        <v>0.1</v>
      </c>
      <c r="H439" s="717"/>
      <c r="I439" s="24">
        <f t="shared" si="69"/>
        <v>0.02</v>
      </c>
      <c r="J439" s="717"/>
      <c r="K439" s="24">
        <f t="shared" si="70"/>
        <v>1</v>
      </c>
      <c r="L439" s="717"/>
      <c r="M439" s="24">
        <f t="shared" si="71"/>
        <v>1</v>
      </c>
      <c r="N439" s="717"/>
      <c r="O439" s="24">
        <f t="shared" si="72"/>
        <v>1</v>
      </c>
      <c r="P439" s="717"/>
      <c r="Q439" s="24">
        <f t="shared" si="73"/>
        <v>0</v>
      </c>
      <c r="R439" s="713">
        <f t="shared" si="74"/>
        <v>0</v>
      </c>
      <c r="S439" s="361">
        <f t="shared" si="65"/>
        <v>0</v>
      </c>
    </row>
    <row r="440" spans="1:19">
      <c r="A440" s="159"/>
      <c r="B440" s="59"/>
      <c r="C440" s="24">
        <f t="shared" si="66"/>
        <v>1</v>
      </c>
      <c r="D440" s="717"/>
      <c r="E440" s="24">
        <f t="shared" si="67"/>
        <v>0.04</v>
      </c>
      <c r="F440" s="717"/>
      <c r="G440" s="24">
        <f t="shared" si="68"/>
        <v>0.1</v>
      </c>
      <c r="H440" s="717"/>
      <c r="I440" s="24">
        <f t="shared" si="69"/>
        <v>0.02</v>
      </c>
      <c r="J440" s="717"/>
      <c r="K440" s="24">
        <f t="shared" si="70"/>
        <v>1</v>
      </c>
      <c r="L440" s="717"/>
      <c r="M440" s="24">
        <f t="shared" si="71"/>
        <v>1</v>
      </c>
      <c r="N440" s="717"/>
      <c r="O440" s="24">
        <f t="shared" si="72"/>
        <v>1</v>
      </c>
      <c r="P440" s="717"/>
      <c r="Q440" s="24">
        <f t="shared" si="73"/>
        <v>0</v>
      </c>
      <c r="R440" s="713">
        <f t="shared" si="74"/>
        <v>0</v>
      </c>
      <c r="S440" s="361">
        <f t="shared" si="65"/>
        <v>0</v>
      </c>
    </row>
    <row r="441" spans="1:19">
      <c r="A441" s="159"/>
      <c r="B441" s="59"/>
      <c r="C441" s="24">
        <f t="shared" si="66"/>
        <v>1</v>
      </c>
      <c r="D441" s="717"/>
      <c r="E441" s="24">
        <f t="shared" si="67"/>
        <v>0.04</v>
      </c>
      <c r="F441" s="717"/>
      <c r="G441" s="24">
        <f t="shared" si="68"/>
        <v>0.1</v>
      </c>
      <c r="H441" s="717"/>
      <c r="I441" s="24">
        <f t="shared" si="69"/>
        <v>0.02</v>
      </c>
      <c r="J441" s="717"/>
      <c r="K441" s="24">
        <f t="shared" si="70"/>
        <v>1</v>
      </c>
      <c r="L441" s="717"/>
      <c r="M441" s="24">
        <f t="shared" si="71"/>
        <v>1</v>
      </c>
      <c r="N441" s="717"/>
      <c r="O441" s="24">
        <f t="shared" si="72"/>
        <v>1</v>
      </c>
      <c r="P441" s="717"/>
      <c r="Q441" s="24">
        <f t="shared" si="73"/>
        <v>0</v>
      </c>
      <c r="R441" s="713">
        <f t="shared" si="74"/>
        <v>0</v>
      </c>
      <c r="S441" s="361">
        <f t="shared" si="65"/>
        <v>0</v>
      </c>
    </row>
    <row r="442" spans="1:19">
      <c r="A442" s="159"/>
      <c r="B442" s="59"/>
      <c r="C442" s="24">
        <f t="shared" si="66"/>
        <v>1</v>
      </c>
      <c r="D442" s="717"/>
      <c r="E442" s="24">
        <f t="shared" si="67"/>
        <v>0.04</v>
      </c>
      <c r="F442" s="717"/>
      <c r="G442" s="24">
        <f t="shared" si="68"/>
        <v>0.1</v>
      </c>
      <c r="H442" s="717"/>
      <c r="I442" s="24">
        <f t="shared" si="69"/>
        <v>0.02</v>
      </c>
      <c r="J442" s="717"/>
      <c r="K442" s="24">
        <f t="shared" si="70"/>
        <v>1</v>
      </c>
      <c r="L442" s="717"/>
      <c r="M442" s="24">
        <f t="shared" si="71"/>
        <v>1</v>
      </c>
      <c r="N442" s="717"/>
      <c r="O442" s="24">
        <f t="shared" si="72"/>
        <v>1</v>
      </c>
      <c r="P442" s="717"/>
      <c r="Q442" s="24">
        <f t="shared" si="73"/>
        <v>0</v>
      </c>
      <c r="R442" s="713">
        <f t="shared" si="74"/>
        <v>0</v>
      </c>
      <c r="S442" s="361">
        <f t="shared" si="65"/>
        <v>0</v>
      </c>
    </row>
    <row r="443" spans="1:19">
      <c r="A443" s="159"/>
      <c r="B443" s="59"/>
      <c r="C443" s="24">
        <f t="shared" si="66"/>
        <v>1</v>
      </c>
      <c r="D443" s="717"/>
      <c r="E443" s="24">
        <f t="shared" si="67"/>
        <v>0.04</v>
      </c>
      <c r="F443" s="717"/>
      <c r="G443" s="24">
        <f t="shared" si="68"/>
        <v>0.1</v>
      </c>
      <c r="H443" s="717"/>
      <c r="I443" s="24">
        <f t="shared" si="69"/>
        <v>0.02</v>
      </c>
      <c r="J443" s="717"/>
      <c r="K443" s="24">
        <f t="shared" si="70"/>
        <v>1</v>
      </c>
      <c r="L443" s="717"/>
      <c r="M443" s="24">
        <f t="shared" si="71"/>
        <v>1</v>
      </c>
      <c r="N443" s="717"/>
      <c r="O443" s="24">
        <f t="shared" si="72"/>
        <v>1</v>
      </c>
      <c r="P443" s="717"/>
      <c r="Q443" s="24">
        <f t="shared" si="73"/>
        <v>0</v>
      </c>
      <c r="R443" s="713">
        <f t="shared" si="74"/>
        <v>0</v>
      </c>
      <c r="S443" s="361">
        <f t="shared" si="65"/>
        <v>0</v>
      </c>
    </row>
    <row r="444" spans="1:19">
      <c r="A444" s="159"/>
      <c r="B444" s="59"/>
      <c r="C444" s="24">
        <f t="shared" si="66"/>
        <v>1</v>
      </c>
      <c r="D444" s="717"/>
      <c r="E444" s="24">
        <f t="shared" si="67"/>
        <v>0.04</v>
      </c>
      <c r="F444" s="717"/>
      <c r="G444" s="24">
        <f t="shared" si="68"/>
        <v>0.1</v>
      </c>
      <c r="H444" s="717"/>
      <c r="I444" s="24">
        <f t="shared" si="69"/>
        <v>0.02</v>
      </c>
      <c r="J444" s="717"/>
      <c r="K444" s="24">
        <f t="shared" si="70"/>
        <v>1</v>
      </c>
      <c r="L444" s="717"/>
      <c r="M444" s="24">
        <f t="shared" si="71"/>
        <v>1</v>
      </c>
      <c r="N444" s="717"/>
      <c r="O444" s="24">
        <f t="shared" si="72"/>
        <v>1</v>
      </c>
      <c r="P444" s="717"/>
      <c r="Q444" s="24">
        <f t="shared" si="73"/>
        <v>0</v>
      </c>
      <c r="R444" s="713">
        <f t="shared" si="74"/>
        <v>0</v>
      </c>
      <c r="S444" s="361">
        <f t="shared" si="65"/>
        <v>0</v>
      </c>
    </row>
    <row r="445" spans="1:19">
      <c r="A445" s="159"/>
      <c r="B445" s="59"/>
      <c r="C445" s="24">
        <f t="shared" si="66"/>
        <v>1</v>
      </c>
      <c r="D445" s="717"/>
      <c r="E445" s="24">
        <f t="shared" si="67"/>
        <v>0.04</v>
      </c>
      <c r="F445" s="717"/>
      <c r="G445" s="24">
        <f t="shared" si="68"/>
        <v>0.1</v>
      </c>
      <c r="H445" s="717"/>
      <c r="I445" s="24">
        <f t="shared" si="69"/>
        <v>0.02</v>
      </c>
      <c r="J445" s="717"/>
      <c r="K445" s="24">
        <f t="shared" si="70"/>
        <v>1</v>
      </c>
      <c r="L445" s="717"/>
      <c r="M445" s="24">
        <f t="shared" si="71"/>
        <v>1</v>
      </c>
      <c r="N445" s="717"/>
      <c r="O445" s="24">
        <f t="shared" si="72"/>
        <v>1</v>
      </c>
      <c r="P445" s="717"/>
      <c r="Q445" s="24">
        <f t="shared" si="73"/>
        <v>0</v>
      </c>
      <c r="R445" s="713">
        <f t="shared" si="74"/>
        <v>0</v>
      </c>
      <c r="S445" s="361">
        <f t="shared" si="65"/>
        <v>0</v>
      </c>
    </row>
    <row r="446" spans="1:19">
      <c r="A446" s="159"/>
      <c r="B446" s="59"/>
      <c r="C446" s="24">
        <f t="shared" si="66"/>
        <v>1</v>
      </c>
      <c r="D446" s="717"/>
      <c r="E446" s="24">
        <f t="shared" si="67"/>
        <v>0.04</v>
      </c>
      <c r="F446" s="717"/>
      <c r="G446" s="24">
        <f t="shared" si="68"/>
        <v>0.1</v>
      </c>
      <c r="H446" s="717"/>
      <c r="I446" s="24">
        <f t="shared" si="69"/>
        <v>0.02</v>
      </c>
      <c r="J446" s="717"/>
      <c r="K446" s="24">
        <f t="shared" si="70"/>
        <v>1</v>
      </c>
      <c r="L446" s="717"/>
      <c r="M446" s="24">
        <f t="shared" si="71"/>
        <v>1</v>
      </c>
      <c r="N446" s="717"/>
      <c r="O446" s="24">
        <f t="shared" si="72"/>
        <v>1</v>
      </c>
      <c r="P446" s="717"/>
      <c r="Q446" s="24">
        <f t="shared" si="73"/>
        <v>0</v>
      </c>
      <c r="R446" s="713">
        <f t="shared" si="74"/>
        <v>0</v>
      </c>
      <c r="S446" s="361">
        <f t="shared" si="65"/>
        <v>0</v>
      </c>
    </row>
    <row r="447" spans="1:19">
      <c r="A447" s="159"/>
      <c r="B447" s="59"/>
      <c r="C447" s="24">
        <f t="shared" si="66"/>
        <v>1</v>
      </c>
      <c r="D447" s="717"/>
      <c r="E447" s="24">
        <f t="shared" si="67"/>
        <v>0.04</v>
      </c>
      <c r="F447" s="717"/>
      <c r="G447" s="24">
        <f t="shared" si="68"/>
        <v>0.1</v>
      </c>
      <c r="H447" s="717"/>
      <c r="I447" s="24">
        <f t="shared" si="69"/>
        <v>0.02</v>
      </c>
      <c r="J447" s="717"/>
      <c r="K447" s="24">
        <f t="shared" si="70"/>
        <v>1</v>
      </c>
      <c r="L447" s="717"/>
      <c r="M447" s="24">
        <f t="shared" si="71"/>
        <v>1</v>
      </c>
      <c r="N447" s="717"/>
      <c r="O447" s="24">
        <f t="shared" si="72"/>
        <v>1</v>
      </c>
      <c r="P447" s="717"/>
      <c r="Q447" s="24">
        <f t="shared" si="73"/>
        <v>0</v>
      </c>
      <c r="R447" s="713">
        <f t="shared" si="74"/>
        <v>0</v>
      </c>
      <c r="S447" s="361">
        <f t="shared" si="65"/>
        <v>0</v>
      </c>
    </row>
    <row r="448" spans="1:19">
      <c r="A448" s="159"/>
      <c r="B448" s="59"/>
      <c r="C448" s="24">
        <f t="shared" si="66"/>
        <v>1</v>
      </c>
      <c r="D448" s="717"/>
      <c r="E448" s="24">
        <f t="shared" si="67"/>
        <v>0.04</v>
      </c>
      <c r="F448" s="717"/>
      <c r="G448" s="24">
        <f t="shared" si="68"/>
        <v>0.1</v>
      </c>
      <c r="H448" s="717"/>
      <c r="I448" s="24">
        <f t="shared" si="69"/>
        <v>0.02</v>
      </c>
      <c r="J448" s="717"/>
      <c r="K448" s="24">
        <f t="shared" si="70"/>
        <v>1</v>
      </c>
      <c r="L448" s="717"/>
      <c r="M448" s="24">
        <f t="shared" si="71"/>
        <v>1</v>
      </c>
      <c r="N448" s="717"/>
      <c r="O448" s="24">
        <f t="shared" si="72"/>
        <v>1</v>
      </c>
      <c r="P448" s="717"/>
      <c r="Q448" s="24">
        <f t="shared" si="73"/>
        <v>0</v>
      </c>
      <c r="R448" s="713">
        <f t="shared" si="74"/>
        <v>0</v>
      </c>
      <c r="S448" s="361">
        <f t="shared" si="65"/>
        <v>0</v>
      </c>
    </row>
    <row r="449" spans="1:19">
      <c r="A449" s="159"/>
      <c r="B449" s="59"/>
      <c r="C449" s="24">
        <f t="shared" si="66"/>
        <v>1</v>
      </c>
      <c r="D449" s="717"/>
      <c r="E449" s="24">
        <f t="shared" si="67"/>
        <v>0.04</v>
      </c>
      <c r="F449" s="717"/>
      <c r="G449" s="24">
        <f t="shared" si="68"/>
        <v>0.1</v>
      </c>
      <c r="H449" s="717"/>
      <c r="I449" s="24">
        <f t="shared" si="69"/>
        <v>0.02</v>
      </c>
      <c r="J449" s="717"/>
      <c r="K449" s="24">
        <f t="shared" si="70"/>
        <v>1</v>
      </c>
      <c r="L449" s="717"/>
      <c r="M449" s="24">
        <f t="shared" si="71"/>
        <v>1</v>
      </c>
      <c r="N449" s="717"/>
      <c r="O449" s="24">
        <f t="shared" si="72"/>
        <v>1</v>
      </c>
      <c r="P449" s="717"/>
      <c r="Q449" s="24">
        <f t="shared" si="73"/>
        <v>0</v>
      </c>
      <c r="R449" s="713">
        <f t="shared" si="74"/>
        <v>0</v>
      </c>
      <c r="S449" s="361">
        <f t="shared" si="65"/>
        <v>0</v>
      </c>
    </row>
    <row r="450" spans="1:19">
      <c r="A450" s="159"/>
      <c r="B450" s="59"/>
      <c r="C450" s="24">
        <f t="shared" si="66"/>
        <v>1</v>
      </c>
      <c r="D450" s="717"/>
      <c r="E450" s="24">
        <f t="shared" si="67"/>
        <v>0.04</v>
      </c>
      <c r="F450" s="717"/>
      <c r="G450" s="24">
        <f t="shared" si="68"/>
        <v>0.1</v>
      </c>
      <c r="H450" s="717"/>
      <c r="I450" s="24">
        <f t="shared" si="69"/>
        <v>0.02</v>
      </c>
      <c r="J450" s="717"/>
      <c r="K450" s="24">
        <f t="shared" si="70"/>
        <v>1</v>
      </c>
      <c r="L450" s="717"/>
      <c r="M450" s="24">
        <f t="shared" si="71"/>
        <v>1</v>
      </c>
      <c r="N450" s="717"/>
      <c r="O450" s="24">
        <f t="shared" si="72"/>
        <v>1</v>
      </c>
      <c r="P450" s="717"/>
      <c r="Q450" s="24">
        <f t="shared" si="73"/>
        <v>0</v>
      </c>
      <c r="R450" s="713">
        <f t="shared" si="74"/>
        <v>0</v>
      </c>
      <c r="S450" s="361">
        <f t="shared" si="65"/>
        <v>0</v>
      </c>
    </row>
    <row r="451" spans="1:19">
      <c r="A451" s="159"/>
      <c r="B451" s="59"/>
      <c r="C451" s="24">
        <f t="shared" si="66"/>
        <v>1</v>
      </c>
      <c r="D451" s="717"/>
      <c r="E451" s="24">
        <f t="shared" si="67"/>
        <v>0.04</v>
      </c>
      <c r="F451" s="717"/>
      <c r="G451" s="24">
        <f t="shared" si="68"/>
        <v>0.1</v>
      </c>
      <c r="H451" s="717"/>
      <c r="I451" s="24">
        <f t="shared" si="69"/>
        <v>0.02</v>
      </c>
      <c r="J451" s="717"/>
      <c r="K451" s="24">
        <f t="shared" si="70"/>
        <v>1</v>
      </c>
      <c r="L451" s="717"/>
      <c r="M451" s="24">
        <f t="shared" si="71"/>
        <v>1</v>
      </c>
      <c r="N451" s="717"/>
      <c r="O451" s="24">
        <f t="shared" si="72"/>
        <v>1</v>
      </c>
      <c r="P451" s="717"/>
      <c r="Q451" s="24">
        <f t="shared" si="73"/>
        <v>0</v>
      </c>
      <c r="R451" s="713">
        <f t="shared" si="74"/>
        <v>0</v>
      </c>
      <c r="S451" s="361">
        <f t="shared" si="65"/>
        <v>0</v>
      </c>
    </row>
    <row r="452" spans="1:19">
      <c r="A452" s="159"/>
      <c r="B452" s="59"/>
      <c r="C452" s="24">
        <f t="shared" si="66"/>
        <v>1</v>
      </c>
      <c r="D452" s="717"/>
      <c r="E452" s="24">
        <f t="shared" si="67"/>
        <v>0.04</v>
      </c>
      <c r="F452" s="717"/>
      <c r="G452" s="24">
        <f t="shared" si="68"/>
        <v>0.1</v>
      </c>
      <c r="H452" s="717"/>
      <c r="I452" s="24">
        <f t="shared" si="69"/>
        <v>0.02</v>
      </c>
      <c r="J452" s="717"/>
      <c r="K452" s="24">
        <f t="shared" si="70"/>
        <v>1</v>
      </c>
      <c r="L452" s="717"/>
      <c r="M452" s="24">
        <f t="shared" si="71"/>
        <v>1</v>
      </c>
      <c r="N452" s="717"/>
      <c r="O452" s="24">
        <f t="shared" si="72"/>
        <v>1</v>
      </c>
      <c r="P452" s="717"/>
      <c r="Q452" s="24">
        <f t="shared" si="73"/>
        <v>0</v>
      </c>
      <c r="R452" s="713">
        <f t="shared" si="74"/>
        <v>0</v>
      </c>
      <c r="S452" s="361">
        <f t="shared" si="65"/>
        <v>0</v>
      </c>
    </row>
    <row r="453" spans="1:19">
      <c r="A453" s="159"/>
      <c r="B453" s="59"/>
      <c r="C453" s="24">
        <f t="shared" si="66"/>
        <v>1</v>
      </c>
      <c r="D453" s="717"/>
      <c r="E453" s="24">
        <f t="shared" si="67"/>
        <v>0.04</v>
      </c>
      <c r="F453" s="717"/>
      <c r="G453" s="24">
        <f t="shared" si="68"/>
        <v>0.1</v>
      </c>
      <c r="H453" s="717"/>
      <c r="I453" s="24">
        <f t="shared" si="69"/>
        <v>0.02</v>
      </c>
      <c r="J453" s="717"/>
      <c r="K453" s="24">
        <f t="shared" si="70"/>
        <v>1</v>
      </c>
      <c r="L453" s="717"/>
      <c r="M453" s="24">
        <f t="shared" si="71"/>
        <v>1</v>
      </c>
      <c r="N453" s="717"/>
      <c r="O453" s="24">
        <f t="shared" si="72"/>
        <v>1</v>
      </c>
      <c r="P453" s="717"/>
      <c r="Q453" s="24">
        <f t="shared" si="73"/>
        <v>0</v>
      </c>
      <c r="R453" s="713">
        <f t="shared" si="74"/>
        <v>0</v>
      </c>
      <c r="S453" s="361">
        <f t="shared" si="65"/>
        <v>0</v>
      </c>
    </row>
    <row r="454" spans="1:19">
      <c r="A454" s="159"/>
      <c r="B454" s="59"/>
      <c r="C454" s="24">
        <f t="shared" si="66"/>
        <v>1</v>
      </c>
      <c r="D454" s="717"/>
      <c r="E454" s="24">
        <f t="shared" si="67"/>
        <v>0.04</v>
      </c>
      <c r="F454" s="717"/>
      <c r="G454" s="24">
        <f t="shared" si="68"/>
        <v>0.1</v>
      </c>
      <c r="H454" s="717"/>
      <c r="I454" s="24">
        <f t="shared" si="69"/>
        <v>0.02</v>
      </c>
      <c r="J454" s="717"/>
      <c r="K454" s="24">
        <f t="shared" si="70"/>
        <v>1</v>
      </c>
      <c r="L454" s="717"/>
      <c r="M454" s="24">
        <f t="shared" si="71"/>
        <v>1</v>
      </c>
      <c r="N454" s="717"/>
      <c r="O454" s="24">
        <f t="shared" si="72"/>
        <v>1</v>
      </c>
      <c r="P454" s="717"/>
      <c r="Q454" s="24">
        <f t="shared" si="73"/>
        <v>0</v>
      </c>
      <c r="R454" s="713">
        <f t="shared" si="74"/>
        <v>0</v>
      </c>
      <c r="S454" s="361">
        <f t="shared" si="65"/>
        <v>0</v>
      </c>
    </row>
    <row r="455" spans="1:19">
      <c r="A455" s="159"/>
      <c r="B455" s="59"/>
      <c r="C455" s="24">
        <f t="shared" si="66"/>
        <v>1</v>
      </c>
      <c r="D455" s="717"/>
      <c r="E455" s="24">
        <f t="shared" si="67"/>
        <v>0.04</v>
      </c>
      <c r="F455" s="717"/>
      <c r="G455" s="24">
        <f t="shared" si="68"/>
        <v>0.1</v>
      </c>
      <c r="H455" s="717"/>
      <c r="I455" s="24">
        <f t="shared" si="69"/>
        <v>0.02</v>
      </c>
      <c r="J455" s="717"/>
      <c r="K455" s="24">
        <f t="shared" si="70"/>
        <v>1</v>
      </c>
      <c r="L455" s="717"/>
      <c r="M455" s="24">
        <f t="shared" si="71"/>
        <v>1</v>
      </c>
      <c r="N455" s="717"/>
      <c r="O455" s="24">
        <f t="shared" si="72"/>
        <v>1</v>
      </c>
      <c r="P455" s="717"/>
      <c r="Q455" s="24">
        <f t="shared" si="73"/>
        <v>0</v>
      </c>
      <c r="R455" s="713">
        <f t="shared" si="74"/>
        <v>0</v>
      </c>
      <c r="S455" s="361">
        <f t="shared" si="65"/>
        <v>0</v>
      </c>
    </row>
    <row r="456" spans="1:19">
      <c r="A456" s="159"/>
      <c r="B456" s="59"/>
      <c r="C456" s="24">
        <f t="shared" si="66"/>
        <v>1</v>
      </c>
      <c r="D456" s="717"/>
      <c r="E456" s="24">
        <f t="shared" si="67"/>
        <v>0.04</v>
      </c>
      <c r="F456" s="717"/>
      <c r="G456" s="24">
        <f t="shared" si="68"/>
        <v>0.1</v>
      </c>
      <c r="H456" s="717"/>
      <c r="I456" s="24">
        <f t="shared" si="69"/>
        <v>0.02</v>
      </c>
      <c r="J456" s="717"/>
      <c r="K456" s="24">
        <f t="shared" si="70"/>
        <v>1</v>
      </c>
      <c r="L456" s="717"/>
      <c r="M456" s="24">
        <f t="shared" si="71"/>
        <v>1</v>
      </c>
      <c r="N456" s="717"/>
      <c r="O456" s="24">
        <f t="shared" si="72"/>
        <v>1</v>
      </c>
      <c r="P456" s="717"/>
      <c r="Q456" s="24">
        <f t="shared" si="73"/>
        <v>0</v>
      </c>
      <c r="R456" s="713">
        <f t="shared" si="74"/>
        <v>0</v>
      </c>
      <c r="S456" s="361">
        <f t="shared" si="65"/>
        <v>0</v>
      </c>
    </row>
    <row r="457" spans="1:19">
      <c r="A457" s="159"/>
      <c r="B457" s="59"/>
      <c r="C457" s="24">
        <f t="shared" si="66"/>
        <v>1</v>
      </c>
      <c r="D457" s="717"/>
      <c r="E457" s="24">
        <f t="shared" si="67"/>
        <v>0.04</v>
      </c>
      <c r="F457" s="717"/>
      <c r="G457" s="24">
        <f t="shared" si="68"/>
        <v>0.1</v>
      </c>
      <c r="H457" s="717"/>
      <c r="I457" s="24">
        <f t="shared" si="69"/>
        <v>0.02</v>
      </c>
      <c r="J457" s="717"/>
      <c r="K457" s="24">
        <f t="shared" si="70"/>
        <v>1</v>
      </c>
      <c r="L457" s="717"/>
      <c r="M457" s="24">
        <f t="shared" si="71"/>
        <v>1</v>
      </c>
      <c r="N457" s="717"/>
      <c r="O457" s="24">
        <f t="shared" si="72"/>
        <v>1</v>
      </c>
      <c r="P457" s="717"/>
      <c r="Q457" s="24">
        <f t="shared" si="73"/>
        <v>0</v>
      </c>
      <c r="R457" s="713">
        <f t="shared" si="74"/>
        <v>0</v>
      </c>
      <c r="S457" s="361">
        <f t="shared" si="65"/>
        <v>0</v>
      </c>
    </row>
    <row r="458" spans="1:19">
      <c r="A458" s="159"/>
      <c r="B458" s="59"/>
      <c r="C458" s="24">
        <f t="shared" si="66"/>
        <v>1</v>
      </c>
      <c r="D458" s="717"/>
      <c r="E458" s="24">
        <f t="shared" si="67"/>
        <v>0.04</v>
      </c>
      <c r="F458" s="717"/>
      <c r="G458" s="24">
        <f t="shared" si="68"/>
        <v>0.1</v>
      </c>
      <c r="H458" s="717"/>
      <c r="I458" s="24">
        <f t="shared" si="69"/>
        <v>0.02</v>
      </c>
      <c r="J458" s="717"/>
      <c r="K458" s="24">
        <f t="shared" si="70"/>
        <v>1</v>
      </c>
      <c r="L458" s="717"/>
      <c r="M458" s="24">
        <f t="shared" si="71"/>
        <v>1</v>
      </c>
      <c r="N458" s="717"/>
      <c r="O458" s="24">
        <f t="shared" si="72"/>
        <v>1</v>
      </c>
      <c r="P458" s="717"/>
      <c r="Q458" s="24">
        <f t="shared" si="73"/>
        <v>0</v>
      </c>
      <c r="R458" s="713">
        <f t="shared" si="74"/>
        <v>0</v>
      </c>
      <c r="S458" s="361">
        <f t="shared" si="65"/>
        <v>0</v>
      </c>
    </row>
    <row r="459" spans="1:19">
      <c r="A459" s="159"/>
      <c r="B459" s="59"/>
      <c r="C459" s="24">
        <f t="shared" si="66"/>
        <v>1</v>
      </c>
      <c r="D459" s="717"/>
      <c r="E459" s="24">
        <f t="shared" si="67"/>
        <v>0.04</v>
      </c>
      <c r="F459" s="717"/>
      <c r="G459" s="24">
        <f t="shared" si="68"/>
        <v>0.1</v>
      </c>
      <c r="H459" s="717"/>
      <c r="I459" s="24">
        <f t="shared" si="69"/>
        <v>0.02</v>
      </c>
      <c r="J459" s="717"/>
      <c r="K459" s="24">
        <f t="shared" si="70"/>
        <v>1</v>
      </c>
      <c r="L459" s="717"/>
      <c r="M459" s="24">
        <f t="shared" si="71"/>
        <v>1</v>
      </c>
      <c r="N459" s="717"/>
      <c r="O459" s="24">
        <f t="shared" si="72"/>
        <v>1</v>
      </c>
      <c r="P459" s="717"/>
      <c r="Q459" s="24">
        <f t="shared" si="73"/>
        <v>0</v>
      </c>
      <c r="R459" s="713">
        <f t="shared" si="74"/>
        <v>0</v>
      </c>
      <c r="S459" s="361">
        <f t="shared" si="65"/>
        <v>0</v>
      </c>
    </row>
    <row r="460" spans="1:19">
      <c r="A460" s="159"/>
      <c r="B460" s="59"/>
      <c r="C460" s="24">
        <f t="shared" si="66"/>
        <v>1</v>
      </c>
      <c r="D460" s="717"/>
      <c r="E460" s="24">
        <f t="shared" si="67"/>
        <v>0.04</v>
      </c>
      <c r="F460" s="717"/>
      <c r="G460" s="24">
        <f t="shared" si="68"/>
        <v>0.1</v>
      </c>
      <c r="H460" s="717"/>
      <c r="I460" s="24">
        <f t="shared" si="69"/>
        <v>0.02</v>
      </c>
      <c r="J460" s="717"/>
      <c r="K460" s="24">
        <f t="shared" si="70"/>
        <v>1</v>
      </c>
      <c r="L460" s="717"/>
      <c r="M460" s="24">
        <f t="shared" si="71"/>
        <v>1</v>
      </c>
      <c r="N460" s="717"/>
      <c r="O460" s="24">
        <f t="shared" si="72"/>
        <v>1</v>
      </c>
      <c r="P460" s="717"/>
      <c r="Q460" s="24">
        <f t="shared" si="73"/>
        <v>0</v>
      </c>
      <c r="R460" s="713">
        <f t="shared" si="74"/>
        <v>0</v>
      </c>
      <c r="S460" s="361">
        <f t="shared" si="65"/>
        <v>0</v>
      </c>
    </row>
    <row r="461" spans="1:19">
      <c r="A461" s="159"/>
      <c r="B461" s="59"/>
      <c r="C461" s="24">
        <f t="shared" si="66"/>
        <v>1</v>
      </c>
      <c r="D461" s="717"/>
      <c r="E461" s="24">
        <f t="shared" si="67"/>
        <v>0.04</v>
      </c>
      <c r="F461" s="717"/>
      <c r="G461" s="24">
        <f t="shared" si="68"/>
        <v>0.1</v>
      </c>
      <c r="H461" s="717"/>
      <c r="I461" s="24">
        <f t="shared" si="69"/>
        <v>0.02</v>
      </c>
      <c r="J461" s="717"/>
      <c r="K461" s="24">
        <f t="shared" si="70"/>
        <v>1</v>
      </c>
      <c r="L461" s="717"/>
      <c r="M461" s="24">
        <f t="shared" si="71"/>
        <v>1</v>
      </c>
      <c r="N461" s="717"/>
      <c r="O461" s="24">
        <f t="shared" si="72"/>
        <v>1</v>
      </c>
      <c r="P461" s="717"/>
      <c r="Q461" s="24">
        <f t="shared" si="73"/>
        <v>0</v>
      </c>
      <c r="R461" s="713">
        <f t="shared" si="74"/>
        <v>0</v>
      </c>
      <c r="S461" s="361">
        <f t="shared" si="65"/>
        <v>0</v>
      </c>
    </row>
    <row r="462" spans="1:19">
      <c r="A462" s="159"/>
      <c r="B462" s="59"/>
      <c r="C462" s="24">
        <f t="shared" si="66"/>
        <v>1</v>
      </c>
      <c r="D462" s="717"/>
      <c r="E462" s="24">
        <f t="shared" si="67"/>
        <v>0.04</v>
      </c>
      <c r="F462" s="717"/>
      <c r="G462" s="24">
        <f t="shared" si="68"/>
        <v>0.1</v>
      </c>
      <c r="H462" s="717"/>
      <c r="I462" s="24">
        <f t="shared" si="69"/>
        <v>0.02</v>
      </c>
      <c r="J462" s="717"/>
      <c r="K462" s="24">
        <f t="shared" si="70"/>
        <v>1</v>
      </c>
      <c r="L462" s="717"/>
      <c r="M462" s="24">
        <f t="shared" si="71"/>
        <v>1</v>
      </c>
      <c r="N462" s="717"/>
      <c r="O462" s="24">
        <f t="shared" si="72"/>
        <v>1</v>
      </c>
      <c r="P462" s="717"/>
      <c r="Q462" s="24">
        <f t="shared" si="73"/>
        <v>0</v>
      </c>
      <c r="R462" s="713">
        <f t="shared" si="74"/>
        <v>0</v>
      </c>
      <c r="S462" s="361">
        <f t="shared" si="65"/>
        <v>0</v>
      </c>
    </row>
    <row r="463" spans="1:19">
      <c r="A463" s="159"/>
      <c r="B463" s="59"/>
      <c r="C463" s="24">
        <f t="shared" si="66"/>
        <v>1</v>
      </c>
      <c r="D463" s="717"/>
      <c r="E463" s="24">
        <f t="shared" si="67"/>
        <v>0.04</v>
      </c>
      <c r="F463" s="717"/>
      <c r="G463" s="24">
        <f t="shared" si="68"/>
        <v>0.1</v>
      </c>
      <c r="H463" s="717"/>
      <c r="I463" s="24">
        <f t="shared" si="69"/>
        <v>0.02</v>
      </c>
      <c r="J463" s="717"/>
      <c r="K463" s="24">
        <f t="shared" si="70"/>
        <v>1</v>
      </c>
      <c r="L463" s="717"/>
      <c r="M463" s="24">
        <f t="shared" si="71"/>
        <v>1</v>
      </c>
      <c r="N463" s="717"/>
      <c r="O463" s="24">
        <f t="shared" si="72"/>
        <v>1</v>
      </c>
      <c r="P463" s="717"/>
      <c r="Q463" s="24">
        <f t="shared" si="73"/>
        <v>0</v>
      </c>
      <c r="R463" s="713">
        <f t="shared" si="74"/>
        <v>0</v>
      </c>
      <c r="S463" s="361">
        <f t="shared" si="65"/>
        <v>0</v>
      </c>
    </row>
    <row r="464" spans="1:19">
      <c r="A464" s="159"/>
      <c r="B464" s="59"/>
      <c r="C464" s="24">
        <f t="shared" si="66"/>
        <v>1</v>
      </c>
      <c r="D464" s="717"/>
      <c r="E464" s="24">
        <f t="shared" si="67"/>
        <v>0.04</v>
      </c>
      <c r="F464" s="717"/>
      <c r="G464" s="24">
        <f t="shared" si="68"/>
        <v>0.1</v>
      </c>
      <c r="H464" s="717"/>
      <c r="I464" s="24">
        <f t="shared" si="69"/>
        <v>0.02</v>
      </c>
      <c r="J464" s="717"/>
      <c r="K464" s="24">
        <f t="shared" si="70"/>
        <v>1</v>
      </c>
      <c r="L464" s="717"/>
      <c r="M464" s="24">
        <f t="shared" si="71"/>
        <v>1</v>
      </c>
      <c r="N464" s="717"/>
      <c r="O464" s="24">
        <f t="shared" si="72"/>
        <v>1</v>
      </c>
      <c r="P464" s="717"/>
      <c r="Q464" s="24">
        <f t="shared" si="73"/>
        <v>0</v>
      </c>
      <c r="R464" s="713">
        <f t="shared" si="74"/>
        <v>0</v>
      </c>
      <c r="S464" s="361">
        <f t="shared" si="65"/>
        <v>0</v>
      </c>
    </row>
    <row r="465" spans="1:19">
      <c r="A465" s="159"/>
      <c r="B465" s="59"/>
      <c r="C465" s="24">
        <f t="shared" si="66"/>
        <v>1</v>
      </c>
      <c r="D465" s="717"/>
      <c r="E465" s="24">
        <f t="shared" si="67"/>
        <v>0.04</v>
      </c>
      <c r="F465" s="717"/>
      <c r="G465" s="24">
        <f t="shared" si="68"/>
        <v>0.1</v>
      </c>
      <c r="H465" s="717"/>
      <c r="I465" s="24">
        <f t="shared" si="69"/>
        <v>0.02</v>
      </c>
      <c r="J465" s="717"/>
      <c r="K465" s="24">
        <f t="shared" si="70"/>
        <v>1</v>
      </c>
      <c r="L465" s="717"/>
      <c r="M465" s="24">
        <f t="shared" si="71"/>
        <v>1</v>
      </c>
      <c r="N465" s="717"/>
      <c r="O465" s="24">
        <f t="shared" si="72"/>
        <v>1</v>
      </c>
      <c r="P465" s="717"/>
      <c r="Q465" s="24">
        <f t="shared" si="73"/>
        <v>0</v>
      </c>
      <c r="R465" s="713">
        <f t="shared" si="74"/>
        <v>0</v>
      </c>
      <c r="S465" s="361">
        <f t="shared" si="65"/>
        <v>0</v>
      </c>
    </row>
    <row r="466" spans="1:19">
      <c r="A466" s="159"/>
      <c r="B466" s="59"/>
      <c r="C466" s="24">
        <f t="shared" si="66"/>
        <v>1</v>
      </c>
      <c r="D466" s="717"/>
      <c r="E466" s="24">
        <f t="shared" si="67"/>
        <v>0.04</v>
      </c>
      <c r="F466" s="717"/>
      <c r="G466" s="24">
        <f t="shared" si="68"/>
        <v>0.1</v>
      </c>
      <c r="H466" s="717"/>
      <c r="I466" s="24">
        <f t="shared" si="69"/>
        <v>0.02</v>
      </c>
      <c r="J466" s="717"/>
      <c r="K466" s="24">
        <f t="shared" si="70"/>
        <v>1</v>
      </c>
      <c r="L466" s="717"/>
      <c r="M466" s="24">
        <f t="shared" si="71"/>
        <v>1</v>
      </c>
      <c r="N466" s="717"/>
      <c r="O466" s="24">
        <f t="shared" si="72"/>
        <v>1</v>
      </c>
      <c r="P466" s="717"/>
      <c r="Q466" s="24">
        <f t="shared" si="73"/>
        <v>0</v>
      </c>
      <c r="R466" s="713">
        <f t="shared" si="74"/>
        <v>0</v>
      </c>
      <c r="S466" s="361">
        <f t="shared" si="65"/>
        <v>0</v>
      </c>
    </row>
    <row r="467" spans="1:19">
      <c r="A467" s="159"/>
      <c r="B467" s="59"/>
      <c r="C467" s="24">
        <f t="shared" si="66"/>
        <v>1</v>
      </c>
      <c r="D467" s="717"/>
      <c r="E467" s="24">
        <f t="shared" si="67"/>
        <v>0.04</v>
      </c>
      <c r="F467" s="717"/>
      <c r="G467" s="24">
        <f t="shared" si="68"/>
        <v>0.1</v>
      </c>
      <c r="H467" s="717"/>
      <c r="I467" s="24">
        <f t="shared" si="69"/>
        <v>0.02</v>
      </c>
      <c r="J467" s="717"/>
      <c r="K467" s="24">
        <f t="shared" si="70"/>
        <v>1</v>
      </c>
      <c r="L467" s="717"/>
      <c r="M467" s="24">
        <f t="shared" si="71"/>
        <v>1</v>
      </c>
      <c r="N467" s="717"/>
      <c r="O467" s="24">
        <f t="shared" si="72"/>
        <v>1</v>
      </c>
      <c r="P467" s="717"/>
      <c r="Q467" s="24">
        <f t="shared" si="73"/>
        <v>0</v>
      </c>
      <c r="R467" s="713">
        <f t="shared" si="74"/>
        <v>0</v>
      </c>
      <c r="S467" s="361">
        <f t="shared" si="65"/>
        <v>0</v>
      </c>
    </row>
    <row r="468" spans="1:19">
      <c r="A468" s="159"/>
      <c r="B468" s="59"/>
      <c r="C468" s="24">
        <f t="shared" si="66"/>
        <v>1</v>
      </c>
      <c r="D468" s="717"/>
      <c r="E468" s="24">
        <f t="shared" si="67"/>
        <v>0.04</v>
      </c>
      <c r="F468" s="717"/>
      <c r="G468" s="24">
        <f t="shared" si="68"/>
        <v>0.1</v>
      </c>
      <c r="H468" s="717"/>
      <c r="I468" s="24">
        <f t="shared" si="69"/>
        <v>0.02</v>
      </c>
      <c r="J468" s="717"/>
      <c r="K468" s="24">
        <f t="shared" si="70"/>
        <v>1</v>
      </c>
      <c r="L468" s="717"/>
      <c r="M468" s="24">
        <f t="shared" si="71"/>
        <v>1</v>
      </c>
      <c r="N468" s="717"/>
      <c r="O468" s="24">
        <f t="shared" si="72"/>
        <v>1</v>
      </c>
      <c r="P468" s="717"/>
      <c r="Q468" s="24">
        <f t="shared" si="73"/>
        <v>0</v>
      </c>
      <c r="R468" s="713">
        <f t="shared" si="74"/>
        <v>0</v>
      </c>
      <c r="S468" s="361">
        <f t="shared" si="65"/>
        <v>0</v>
      </c>
    </row>
    <row r="469" spans="1:19">
      <c r="A469" s="159"/>
      <c r="B469" s="59"/>
      <c r="C469" s="24">
        <f t="shared" si="66"/>
        <v>1</v>
      </c>
      <c r="D469" s="717"/>
      <c r="E469" s="24">
        <f t="shared" si="67"/>
        <v>0.04</v>
      </c>
      <c r="F469" s="717"/>
      <c r="G469" s="24">
        <f t="shared" si="68"/>
        <v>0.1</v>
      </c>
      <c r="H469" s="717"/>
      <c r="I469" s="24">
        <f t="shared" si="69"/>
        <v>0.02</v>
      </c>
      <c r="J469" s="717"/>
      <c r="K469" s="24">
        <f t="shared" si="70"/>
        <v>1</v>
      </c>
      <c r="L469" s="717"/>
      <c r="M469" s="24">
        <f t="shared" si="71"/>
        <v>1</v>
      </c>
      <c r="N469" s="717"/>
      <c r="O469" s="24">
        <f t="shared" si="72"/>
        <v>1</v>
      </c>
      <c r="P469" s="717"/>
      <c r="Q469" s="24">
        <f t="shared" si="73"/>
        <v>0</v>
      </c>
      <c r="R469" s="713">
        <f t="shared" si="74"/>
        <v>0</v>
      </c>
      <c r="S469" s="361">
        <f t="shared" si="65"/>
        <v>0</v>
      </c>
    </row>
    <row r="470" spans="1:19">
      <c r="A470" s="159"/>
      <c r="B470" s="59"/>
      <c r="C470" s="24">
        <f t="shared" si="66"/>
        <v>1</v>
      </c>
      <c r="D470" s="717"/>
      <c r="E470" s="24">
        <f t="shared" si="67"/>
        <v>0.04</v>
      </c>
      <c r="F470" s="717"/>
      <c r="G470" s="24">
        <f t="shared" si="68"/>
        <v>0.1</v>
      </c>
      <c r="H470" s="717"/>
      <c r="I470" s="24">
        <f t="shared" si="69"/>
        <v>0.02</v>
      </c>
      <c r="J470" s="717"/>
      <c r="K470" s="24">
        <f t="shared" si="70"/>
        <v>1</v>
      </c>
      <c r="L470" s="717"/>
      <c r="M470" s="24">
        <f t="shared" si="71"/>
        <v>1</v>
      </c>
      <c r="N470" s="717"/>
      <c r="O470" s="24">
        <f t="shared" si="72"/>
        <v>1</v>
      </c>
      <c r="P470" s="717"/>
      <c r="Q470" s="24">
        <f t="shared" si="73"/>
        <v>0</v>
      </c>
      <c r="R470" s="713">
        <f t="shared" si="74"/>
        <v>0</v>
      </c>
      <c r="S470" s="361">
        <f t="shared" si="65"/>
        <v>0</v>
      </c>
    </row>
    <row r="471" spans="1:19">
      <c r="A471" s="159"/>
      <c r="B471" s="59"/>
      <c r="C471" s="24">
        <f t="shared" si="66"/>
        <v>1</v>
      </c>
      <c r="D471" s="717"/>
      <c r="E471" s="24">
        <f t="shared" si="67"/>
        <v>0.04</v>
      </c>
      <c r="F471" s="717"/>
      <c r="G471" s="24">
        <f t="shared" si="68"/>
        <v>0.1</v>
      </c>
      <c r="H471" s="717"/>
      <c r="I471" s="24">
        <f t="shared" si="69"/>
        <v>0.02</v>
      </c>
      <c r="J471" s="717"/>
      <c r="K471" s="24">
        <f t="shared" si="70"/>
        <v>1</v>
      </c>
      <c r="L471" s="717"/>
      <c r="M471" s="24">
        <f t="shared" si="71"/>
        <v>1</v>
      </c>
      <c r="N471" s="717"/>
      <c r="O471" s="24">
        <f t="shared" si="72"/>
        <v>1</v>
      </c>
      <c r="P471" s="717"/>
      <c r="Q471" s="24">
        <f t="shared" si="73"/>
        <v>0</v>
      </c>
      <c r="R471" s="713">
        <f t="shared" si="74"/>
        <v>0</v>
      </c>
      <c r="S471" s="361">
        <f t="shared" si="65"/>
        <v>0</v>
      </c>
    </row>
    <row r="472" spans="1:19">
      <c r="A472" s="159"/>
      <c r="B472" s="59"/>
      <c r="C472" s="24">
        <f t="shared" si="66"/>
        <v>1</v>
      </c>
      <c r="D472" s="717"/>
      <c r="E472" s="24">
        <f t="shared" si="67"/>
        <v>0.04</v>
      </c>
      <c r="F472" s="717"/>
      <c r="G472" s="24">
        <f t="shared" si="68"/>
        <v>0.1</v>
      </c>
      <c r="H472" s="717"/>
      <c r="I472" s="24">
        <f t="shared" si="69"/>
        <v>0.02</v>
      </c>
      <c r="J472" s="717"/>
      <c r="K472" s="24">
        <f t="shared" si="70"/>
        <v>1</v>
      </c>
      <c r="L472" s="717"/>
      <c r="M472" s="24">
        <f t="shared" si="71"/>
        <v>1</v>
      </c>
      <c r="N472" s="717"/>
      <c r="O472" s="24">
        <f t="shared" si="72"/>
        <v>1</v>
      </c>
      <c r="P472" s="717"/>
      <c r="Q472" s="24">
        <f t="shared" si="73"/>
        <v>0</v>
      </c>
      <c r="R472" s="713">
        <f t="shared" si="74"/>
        <v>0</v>
      </c>
      <c r="S472" s="361">
        <f t="shared" ref="S472:S524" si="75">ROUND(R472*B472/10000,0)</f>
        <v>0</v>
      </c>
    </row>
    <row r="473" spans="1:19">
      <c r="A473" s="159"/>
      <c r="B473" s="59"/>
      <c r="C473" s="24">
        <f t="shared" si="66"/>
        <v>1</v>
      </c>
      <c r="D473" s="717"/>
      <c r="E473" s="24">
        <f t="shared" si="67"/>
        <v>0.04</v>
      </c>
      <c r="F473" s="717"/>
      <c r="G473" s="24">
        <f t="shared" si="68"/>
        <v>0.1</v>
      </c>
      <c r="H473" s="717"/>
      <c r="I473" s="24">
        <f t="shared" si="69"/>
        <v>0.02</v>
      </c>
      <c r="J473" s="717"/>
      <c r="K473" s="24">
        <f t="shared" si="70"/>
        <v>1</v>
      </c>
      <c r="L473" s="717"/>
      <c r="M473" s="24">
        <f t="shared" si="71"/>
        <v>1</v>
      </c>
      <c r="N473" s="717"/>
      <c r="O473" s="24">
        <f t="shared" si="72"/>
        <v>1</v>
      </c>
      <c r="P473" s="717"/>
      <c r="Q473" s="24">
        <f t="shared" si="73"/>
        <v>0</v>
      </c>
      <c r="R473" s="713">
        <f t="shared" si="74"/>
        <v>0</v>
      </c>
      <c r="S473" s="361">
        <f t="shared" si="75"/>
        <v>0</v>
      </c>
    </row>
    <row r="474" spans="1:19">
      <c r="A474" s="159"/>
      <c r="B474" s="59"/>
      <c r="C474" s="24">
        <f t="shared" ref="C474:C524" si="76">IF(B474="",1,(LOOKUP(B474,$3:$3,$4:$4)-LOOKUP($B$24,$3:$3,$4:$4)+100)/100)</f>
        <v>1</v>
      </c>
      <c r="D474" s="717"/>
      <c r="E474" s="24">
        <f t="shared" ref="E474:E524" si="77">(SUMIF($5:$5,D474,$6:$6)-SUMIF($5:$5,$D$24,$6:$6)+100)/100</f>
        <v>0.04</v>
      </c>
      <c r="F474" s="717"/>
      <c r="G474" s="24">
        <f t="shared" ref="G474:G524" si="78">(SUMIF($7:$7,F474,$8:$8)-SUMIF($7:$7,$F$24,$8:$8)+100)/100</f>
        <v>0.1</v>
      </c>
      <c r="H474" s="717"/>
      <c r="I474" s="24">
        <f t="shared" ref="I474:I524" si="79">(SUMIF($9:$9,H474,$10:$10)-SUMIF($9:$9,$H$24,$10:$10)+100)/100</f>
        <v>0.02</v>
      </c>
      <c r="J474" s="717"/>
      <c r="K474" s="24">
        <f t="shared" ref="K474:K524" si="80">(SUMIF($11:$11,J474,$12:$12)-SUMIF($11:$11,$J$24,$12:$12)+100)/100</f>
        <v>1</v>
      </c>
      <c r="L474" s="717"/>
      <c r="M474" s="24">
        <f t="shared" ref="M474:M524" si="81">(SUMIF($13:$13,L474,$14:$14)-SUMIF($13:$13,$L$24,$14:$14)+100)/100</f>
        <v>1</v>
      </c>
      <c r="N474" s="717"/>
      <c r="O474" s="24">
        <f t="shared" ref="O474:O524" si="82">(SUMIF($15:$15,N474,$16:$16)-SUMIF($15:$15,$N$24,$16:$16)+100)/100</f>
        <v>1</v>
      </c>
      <c r="P474" s="717"/>
      <c r="Q474" s="24">
        <f t="shared" ref="Q474:Q524" si="83">(SUMIF($17:$17,P474,$18:$18)-SUMIF($17:$17,$P$24,$18:$18)+100)/100</f>
        <v>0</v>
      </c>
      <c r="R474" s="713">
        <f t="shared" ref="R474:R524" si="84">IF(B474="",0,ROUND($R$24*C474*E474*G474*I474*K474*M474*O474*Q474,0))</f>
        <v>0</v>
      </c>
      <c r="S474" s="361">
        <f t="shared" si="75"/>
        <v>0</v>
      </c>
    </row>
    <row r="475" spans="1:19">
      <c r="A475" s="159"/>
      <c r="B475" s="59"/>
      <c r="C475" s="24">
        <f t="shared" si="76"/>
        <v>1</v>
      </c>
      <c r="D475" s="717"/>
      <c r="E475" s="24">
        <f t="shared" si="77"/>
        <v>0.04</v>
      </c>
      <c r="F475" s="717"/>
      <c r="G475" s="24">
        <f t="shared" si="78"/>
        <v>0.1</v>
      </c>
      <c r="H475" s="717"/>
      <c r="I475" s="24">
        <f t="shared" si="79"/>
        <v>0.02</v>
      </c>
      <c r="J475" s="717"/>
      <c r="K475" s="24">
        <f t="shared" si="80"/>
        <v>1</v>
      </c>
      <c r="L475" s="717"/>
      <c r="M475" s="24">
        <f t="shared" si="81"/>
        <v>1</v>
      </c>
      <c r="N475" s="717"/>
      <c r="O475" s="24">
        <f t="shared" si="82"/>
        <v>1</v>
      </c>
      <c r="P475" s="717"/>
      <c r="Q475" s="24">
        <f t="shared" si="83"/>
        <v>0</v>
      </c>
      <c r="R475" s="713">
        <f t="shared" si="84"/>
        <v>0</v>
      </c>
      <c r="S475" s="361">
        <f t="shared" si="75"/>
        <v>0</v>
      </c>
    </row>
    <row r="476" spans="1:19">
      <c r="A476" s="159"/>
      <c r="B476" s="59"/>
      <c r="C476" s="24">
        <f t="shared" si="76"/>
        <v>1</v>
      </c>
      <c r="D476" s="717"/>
      <c r="E476" s="24">
        <f t="shared" si="77"/>
        <v>0.04</v>
      </c>
      <c r="F476" s="717"/>
      <c r="G476" s="24">
        <f t="shared" si="78"/>
        <v>0.1</v>
      </c>
      <c r="H476" s="717"/>
      <c r="I476" s="24">
        <f t="shared" si="79"/>
        <v>0.02</v>
      </c>
      <c r="J476" s="717"/>
      <c r="K476" s="24">
        <f t="shared" si="80"/>
        <v>1</v>
      </c>
      <c r="L476" s="717"/>
      <c r="M476" s="24">
        <f t="shared" si="81"/>
        <v>1</v>
      </c>
      <c r="N476" s="717"/>
      <c r="O476" s="24">
        <f t="shared" si="82"/>
        <v>1</v>
      </c>
      <c r="P476" s="717"/>
      <c r="Q476" s="24">
        <f t="shared" si="83"/>
        <v>0</v>
      </c>
      <c r="R476" s="713">
        <f t="shared" si="84"/>
        <v>0</v>
      </c>
      <c r="S476" s="361">
        <f t="shared" si="75"/>
        <v>0</v>
      </c>
    </row>
    <row r="477" spans="1:19">
      <c r="A477" s="159"/>
      <c r="B477" s="59"/>
      <c r="C477" s="24">
        <f t="shared" si="76"/>
        <v>1</v>
      </c>
      <c r="D477" s="717"/>
      <c r="E477" s="24">
        <f t="shared" si="77"/>
        <v>0.04</v>
      </c>
      <c r="F477" s="717"/>
      <c r="G477" s="24">
        <f t="shared" si="78"/>
        <v>0.1</v>
      </c>
      <c r="H477" s="717"/>
      <c r="I477" s="24">
        <f t="shared" si="79"/>
        <v>0.02</v>
      </c>
      <c r="J477" s="717"/>
      <c r="K477" s="24">
        <f t="shared" si="80"/>
        <v>1</v>
      </c>
      <c r="L477" s="717"/>
      <c r="M477" s="24">
        <f t="shared" si="81"/>
        <v>1</v>
      </c>
      <c r="N477" s="717"/>
      <c r="O477" s="24">
        <f t="shared" si="82"/>
        <v>1</v>
      </c>
      <c r="P477" s="717"/>
      <c r="Q477" s="24">
        <f t="shared" si="83"/>
        <v>0</v>
      </c>
      <c r="R477" s="713">
        <f t="shared" si="84"/>
        <v>0</v>
      </c>
      <c r="S477" s="361">
        <f t="shared" si="75"/>
        <v>0</v>
      </c>
    </row>
    <row r="478" spans="1:19">
      <c r="A478" s="159"/>
      <c r="B478" s="59"/>
      <c r="C478" s="24">
        <f t="shared" si="76"/>
        <v>1</v>
      </c>
      <c r="D478" s="717"/>
      <c r="E478" s="24">
        <f t="shared" si="77"/>
        <v>0.04</v>
      </c>
      <c r="F478" s="717"/>
      <c r="G478" s="24">
        <f t="shared" si="78"/>
        <v>0.1</v>
      </c>
      <c r="H478" s="717"/>
      <c r="I478" s="24">
        <f t="shared" si="79"/>
        <v>0.02</v>
      </c>
      <c r="J478" s="717"/>
      <c r="K478" s="24">
        <f t="shared" si="80"/>
        <v>1</v>
      </c>
      <c r="L478" s="717"/>
      <c r="M478" s="24">
        <f t="shared" si="81"/>
        <v>1</v>
      </c>
      <c r="N478" s="717"/>
      <c r="O478" s="24">
        <f t="shared" si="82"/>
        <v>1</v>
      </c>
      <c r="P478" s="717"/>
      <c r="Q478" s="24">
        <f t="shared" si="83"/>
        <v>0</v>
      </c>
      <c r="R478" s="713">
        <f t="shared" si="84"/>
        <v>0</v>
      </c>
      <c r="S478" s="361">
        <f t="shared" si="75"/>
        <v>0</v>
      </c>
    </row>
    <row r="479" spans="1:19">
      <c r="A479" s="159"/>
      <c r="B479" s="59"/>
      <c r="C479" s="24">
        <f t="shared" si="76"/>
        <v>1</v>
      </c>
      <c r="D479" s="717"/>
      <c r="E479" s="24">
        <f t="shared" si="77"/>
        <v>0.04</v>
      </c>
      <c r="F479" s="717"/>
      <c r="G479" s="24">
        <f t="shared" si="78"/>
        <v>0.1</v>
      </c>
      <c r="H479" s="717"/>
      <c r="I479" s="24">
        <f t="shared" si="79"/>
        <v>0.02</v>
      </c>
      <c r="J479" s="717"/>
      <c r="K479" s="24">
        <f t="shared" si="80"/>
        <v>1</v>
      </c>
      <c r="L479" s="717"/>
      <c r="M479" s="24">
        <f t="shared" si="81"/>
        <v>1</v>
      </c>
      <c r="N479" s="717"/>
      <c r="O479" s="24">
        <f t="shared" si="82"/>
        <v>1</v>
      </c>
      <c r="P479" s="717"/>
      <c r="Q479" s="24">
        <f t="shared" si="83"/>
        <v>0</v>
      </c>
      <c r="R479" s="713">
        <f t="shared" si="84"/>
        <v>0</v>
      </c>
      <c r="S479" s="361">
        <f t="shared" si="75"/>
        <v>0</v>
      </c>
    </row>
    <row r="480" spans="1:19">
      <c r="A480" s="159"/>
      <c r="B480" s="59"/>
      <c r="C480" s="24">
        <f t="shared" si="76"/>
        <v>1</v>
      </c>
      <c r="D480" s="717"/>
      <c r="E480" s="24">
        <f t="shared" si="77"/>
        <v>0.04</v>
      </c>
      <c r="F480" s="717"/>
      <c r="G480" s="24">
        <f t="shared" si="78"/>
        <v>0.1</v>
      </c>
      <c r="H480" s="717"/>
      <c r="I480" s="24">
        <f t="shared" si="79"/>
        <v>0.02</v>
      </c>
      <c r="J480" s="717"/>
      <c r="K480" s="24">
        <f t="shared" si="80"/>
        <v>1</v>
      </c>
      <c r="L480" s="717"/>
      <c r="M480" s="24">
        <f t="shared" si="81"/>
        <v>1</v>
      </c>
      <c r="N480" s="717"/>
      <c r="O480" s="24">
        <f t="shared" si="82"/>
        <v>1</v>
      </c>
      <c r="P480" s="717"/>
      <c r="Q480" s="24">
        <f t="shared" si="83"/>
        <v>0</v>
      </c>
      <c r="R480" s="713">
        <f t="shared" si="84"/>
        <v>0</v>
      </c>
      <c r="S480" s="361">
        <f t="shared" si="75"/>
        <v>0</v>
      </c>
    </row>
    <row r="481" spans="1:19">
      <c r="A481" s="159"/>
      <c r="B481" s="59"/>
      <c r="C481" s="24">
        <f t="shared" si="76"/>
        <v>1</v>
      </c>
      <c r="D481" s="717"/>
      <c r="E481" s="24">
        <f t="shared" si="77"/>
        <v>0.04</v>
      </c>
      <c r="F481" s="717"/>
      <c r="G481" s="24">
        <f t="shared" si="78"/>
        <v>0.1</v>
      </c>
      <c r="H481" s="717"/>
      <c r="I481" s="24">
        <f t="shared" si="79"/>
        <v>0.02</v>
      </c>
      <c r="J481" s="717"/>
      <c r="K481" s="24">
        <f t="shared" si="80"/>
        <v>1</v>
      </c>
      <c r="L481" s="717"/>
      <c r="M481" s="24">
        <f t="shared" si="81"/>
        <v>1</v>
      </c>
      <c r="N481" s="717"/>
      <c r="O481" s="24">
        <f t="shared" si="82"/>
        <v>1</v>
      </c>
      <c r="P481" s="717"/>
      <c r="Q481" s="24">
        <f t="shared" si="83"/>
        <v>0</v>
      </c>
      <c r="R481" s="713">
        <f t="shared" si="84"/>
        <v>0</v>
      </c>
      <c r="S481" s="361">
        <f t="shared" si="75"/>
        <v>0</v>
      </c>
    </row>
    <row r="482" spans="1:19">
      <c r="A482" s="159"/>
      <c r="B482" s="59"/>
      <c r="C482" s="24">
        <f t="shared" si="76"/>
        <v>1</v>
      </c>
      <c r="D482" s="717"/>
      <c r="E482" s="24">
        <f t="shared" si="77"/>
        <v>0.04</v>
      </c>
      <c r="F482" s="717"/>
      <c r="G482" s="24">
        <f t="shared" si="78"/>
        <v>0.1</v>
      </c>
      <c r="H482" s="717"/>
      <c r="I482" s="24">
        <f t="shared" si="79"/>
        <v>0.02</v>
      </c>
      <c r="J482" s="717"/>
      <c r="K482" s="24">
        <f t="shared" si="80"/>
        <v>1</v>
      </c>
      <c r="L482" s="717"/>
      <c r="M482" s="24">
        <f t="shared" si="81"/>
        <v>1</v>
      </c>
      <c r="N482" s="717"/>
      <c r="O482" s="24">
        <f t="shared" si="82"/>
        <v>1</v>
      </c>
      <c r="P482" s="717"/>
      <c r="Q482" s="24">
        <f t="shared" si="83"/>
        <v>0</v>
      </c>
      <c r="R482" s="713">
        <f t="shared" si="84"/>
        <v>0</v>
      </c>
      <c r="S482" s="361">
        <f t="shared" si="75"/>
        <v>0</v>
      </c>
    </row>
    <row r="483" spans="1:19">
      <c r="A483" s="159"/>
      <c r="B483" s="59"/>
      <c r="C483" s="24">
        <f t="shared" si="76"/>
        <v>1</v>
      </c>
      <c r="D483" s="717"/>
      <c r="E483" s="24">
        <f t="shared" si="77"/>
        <v>0.04</v>
      </c>
      <c r="F483" s="717"/>
      <c r="G483" s="24">
        <f t="shared" si="78"/>
        <v>0.1</v>
      </c>
      <c r="H483" s="717"/>
      <c r="I483" s="24">
        <f t="shared" si="79"/>
        <v>0.02</v>
      </c>
      <c r="J483" s="717"/>
      <c r="K483" s="24">
        <f t="shared" si="80"/>
        <v>1</v>
      </c>
      <c r="L483" s="717"/>
      <c r="M483" s="24">
        <f t="shared" si="81"/>
        <v>1</v>
      </c>
      <c r="N483" s="717"/>
      <c r="O483" s="24">
        <f t="shared" si="82"/>
        <v>1</v>
      </c>
      <c r="P483" s="717"/>
      <c r="Q483" s="24">
        <f t="shared" si="83"/>
        <v>0</v>
      </c>
      <c r="R483" s="713">
        <f t="shared" si="84"/>
        <v>0</v>
      </c>
      <c r="S483" s="361">
        <f t="shared" si="75"/>
        <v>0</v>
      </c>
    </row>
    <row r="484" spans="1:19">
      <c r="A484" s="159"/>
      <c r="B484" s="59"/>
      <c r="C484" s="24">
        <f t="shared" si="76"/>
        <v>1</v>
      </c>
      <c r="D484" s="717"/>
      <c r="E484" s="24">
        <f t="shared" si="77"/>
        <v>0.04</v>
      </c>
      <c r="F484" s="717"/>
      <c r="G484" s="24">
        <f t="shared" si="78"/>
        <v>0.1</v>
      </c>
      <c r="H484" s="717"/>
      <c r="I484" s="24">
        <f t="shared" si="79"/>
        <v>0.02</v>
      </c>
      <c r="J484" s="717"/>
      <c r="K484" s="24">
        <f t="shared" si="80"/>
        <v>1</v>
      </c>
      <c r="L484" s="717"/>
      <c r="M484" s="24">
        <f t="shared" si="81"/>
        <v>1</v>
      </c>
      <c r="N484" s="717"/>
      <c r="O484" s="24">
        <f t="shared" si="82"/>
        <v>1</v>
      </c>
      <c r="P484" s="717"/>
      <c r="Q484" s="24">
        <f t="shared" si="83"/>
        <v>0</v>
      </c>
      <c r="R484" s="713">
        <f t="shared" si="84"/>
        <v>0</v>
      </c>
      <c r="S484" s="361">
        <f t="shared" si="75"/>
        <v>0</v>
      </c>
    </row>
    <row r="485" spans="1:19">
      <c r="A485" s="159"/>
      <c r="B485" s="59"/>
      <c r="C485" s="24">
        <f t="shared" si="76"/>
        <v>1</v>
      </c>
      <c r="D485" s="717"/>
      <c r="E485" s="24">
        <f t="shared" si="77"/>
        <v>0.04</v>
      </c>
      <c r="F485" s="717"/>
      <c r="G485" s="24">
        <f t="shared" si="78"/>
        <v>0.1</v>
      </c>
      <c r="H485" s="717"/>
      <c r="I485" s="24">
        <f t="shared" si="79"/>
        <v>0.02</v>
      </c>
      <c r="J485" s="717"/>
      <c r="K485" s="24">
        <f t="shared" si="80"/>
        <v>1</v>
      </c>
      <c r="L485" s="717"/>
      <c r="M485" s="24">
        <f t="shared" si="81"/>
        <v>1</v>
      </c>
      <c r="N485" s="717"/>
      <c r="O485" s="24">
        <f t="shared" si="82"/>
        <v>1</v>
      </c>
      <c r="P485" s="717"/>
      <c r="Q485" s="24">
        <f t="shared" si="83"/>
        <v>0</v>
      </c>
      <c r="R485" s="713">
        <f t="shared" si="84"/>
        <v>0</v>
      </c>
      <c r="S485" s="361">
        <f t="shared" si="75"/>
        <v>0</v>
      </c>
    </row>
    <row r="486" spans="1:19">
      <c r="A486" s="159"/>
      <c r="B486" s="59"/>
      <c r="C486" s="24">
        <f t="shared" si="76"/>
        <v>1</v>
      </c>
      <c r="D486" s="717"/>
      <c r="E486" s="24">
        <f t="shared" si="77"/>
        <v>0.04</v>
      </c>
      <c r="F486" s="717"/>
      <c r="G486" s="24">
        <f t="shared" si="78"/>
        <v>0.1</v>
      </c>
      <c r="H486" s="717"/>
      <c r="I486" s="24">
        <f t="shared" si="79"/>
        <v>0.02</v>
      </c>
      <c r="J486" s="717"/>
      <c r="K486" s="24">
        <f t="shared" si="80"/>
        <v>1</v>
      </c>
      <c r="L486" s="717"/>
      <c r="M486" s="24">
        <f t="shared" si="81"/>
        <v>1</v>
      </c>
      <c r="N486" s="717"/>
      <c r="O486" s="24">
        <f t="shared" si="82"/>
        <v>1</v>
      </c>
      <c r="P486" s="717"/>
      <c r="Q486" s="24">
        <f t="shared" si="83"/>
        <v>0</v>
      </c>
      <c r="R486" s="713">
        <f t="shared" si="84"/>
        <v>0</v>
      </c>
      <c r="S486" s="361">
        <f t="shared" si="75"/>
        <v>0</v>
      </c>
    </row>
    <row r="487" spans="1:19">
      <c r="A487" s="159"/>
      <c r="B487" s="59"/>
      <c r="C487" s="24">
        <f t="shared" si="76"/>
        <v>1</v>
      </c>
      <c r="D487" s="717"/>
      <c r="E487" s="24">
        <f t="shared" si="77"/>
        <v>0.04</v>
      </c>
      <c r="F487" s="717"/>
      <c r="G487" s="24">
        <f t="shared" si="78"/>
        <v>0.1</v>
      </c>
      <c r="H487" s="717"/>
      <c r="I487" s="24">
        <f t="shared" si="79"/>
        <v>0.02</v>
      </c>
      <c r="J487" s="717"/>
      <c r="K487" s="24">
        <f t="shared" si="80"/>
        <v>1</v>
      </c>
      <c r="L487" s="717"/>
      <c r="M487" s="24">
        <f t="shared" si="81"/>
        <v>1</v>
      </c>
      <c r="N487" s="717"/>
      <c r="O487" s="24">
        <f t="shared" si="82"/>
        <v>1</v>
      </c>
      <c r="P487" s="717"/>
      <c r="Q487" s="24">
        <f t="shared" si="83"/>
        <v>0</v>
      </c>
      <c r="R487" s="713">
        <f t="shared" si="84"/>
        <v>0</v>
      </c>
      <c r="S487" s="361">
        <f t="shared" si="75"/>
        <v>0</v>
      </c>
    </row>
    <row r="488" spans="1:19">
      <c r="A488" s="159"/>
      <c r="B488" s="59"/>
      <c r="C488" s="24">
        <f t="shared" si="76"/>
        <v>1</v>
      </c>
      <c r="D488" s="717"/>
      <c r="E488" s="24">
        <f t="shared" si="77"/>
        <v>0.04</v>
      </c>
      <c r="F488" s="717"/>
      <c r="G488" s="24">
        <f t="shared" si="78"/>
        <v>0.1</v>
      </c>
      <c r="H488" s="717"/>
      <c r="I488" s="24">
        <f t="shared" si="79"/>
        <v>0.02</v>
      </c>
      <c r="J488" s="717"/>
      <c r="K488" s="24">
        <f t="shared" si="80"/>
        <v>1</v>
      </c>
      <c r="L488" s="717"/>
      <c r="M488" s="24">
        <f t="shared" si="81"/>
        <v>1</v>
      </c>
      <c r="N488" s="717"/>
      <c r="O488" s="24">
        <f t="shared" si="82"/>
        <v>1</v>
      </c>
      <c r="P488" s="717"/>
      <c r="Q488" s="24">
        <f t="shared" si="83"/>
        <v>0</v>
      </c>
      <c r="R488" s="713">
        <f t="shared" si="84"/>
        <v>0</v>
      </c>
      <c r="S488" s="361">
        <f t="shared" si="75"/>
        <v>0</v>
      </c>
    </row>
    <row r="489" spans="1:19">
      <c r="A489" s="159"/>
      <c r="B489" s="59"/>
      <c r="C489" s="24">
        <f t="shared" si="76"/>
        <v>1</v>
      </c>
      <c r="D489" s="717"/>
      <c r="E489" s="24">
        <f t="shared" si="77"/>
        <v>0.04</v>
      </c>
      <c r="F489" s="717"/>
      <c r="G489" s="24">
        <f t="shared" si="78"/>
        <v>0.1</v>
      </c>
      <c r="H489" s="717"/>
      <c r="I489" s="24">
        <f t="shared" si="79"/>
        <v>0.02</v>
      </c>
      <c r="J489" s="717"/>
      <c r="K489" s="24">
        <f t="shared" si="80"/>
        <v>1</v>
      </c>
      <c r="L489" s="717"/>
      <c r="M489" s="24">
        <f t="shared" si="81"/>
        <v>1</v>
      </c>
      <c r="N489" s="717"/>
      <c r="O489" s="24">
        <f t="shared" si="82"/>
        <v>1</v>
      </c>
      <c r="P489" s="717"/>
      <c r="Q489" s="24">
        <f t="shared" si="83"/>
        <v>0</v>
      </c>
      <c r="R489" s="713">
        <f t="shared" si="84"/>
        <v>0</v>
      </c>
      <c r="S489" s="361">
        <f t="shared" si="75"/>
        <v>0</v>
      </c>
    </row>
    <row r="490" spans="1:19">
      <c r="A490" s="159"/>
      <c r="B490" s="59"/>
      <c r="C490" s="24">
        <f t="shared" si="76"/>
        <v>1</v>
      </c>
      <c r="D490" s="717"/>
      <c r="E490" s="24">
        <f t="shared" si="77"/>
        <v>0.04</v>
      </c>
      <c r="F490" s="717"/>
      <c r="G490" s="24">
        <f t="shared" si="78"/>
        <v>0.1</v>
      </c>
      <c r="H490" s="717"/>
      <c r="I490" s="24">
        <f t="shared" si="79"/>
        <v>0.02</v>
      </c>
      <c r="J490" s="717"/>
      <c r="K490" s="24">
        <f t="shared" si="80"/>
        <v>1</v>
      </c>
      <c r="L490" s="717"/>
      <c r="M490" s="24">
        <f t="shared" si="81"/>
        <v>1</v>
      </c>
      <c r="N490" s="717"/>
      <c r="O490" s="24">
        <f t="shared" si="82"/>
        <v>1</v>
      </c>
      <c r="P490" s="717"/>
      <c r="Q490" s="24">
        <f t="shared" si="83"/>
        <v>0</v>
      </c>
      <c r="R490" s="713">
        <f t="shared" si="84"/>
        <v>0</v>
      </c>
      <c r="S490" s="361">
        <f t="shared" si="75"/>
        <v>0</v>
      </c>
    </row>
    <row r="491" spans="1:19">
      <c r="A491" s="159"/>
      <c r="B491" s="59"/>
      <c r="C491" s="24">
        <f t="shared" si="76"/>
        <v>1</v>
      </c>
      <c r="D491" s="717"/>
      <c r="E491" s="24">
        <f t="shared" si="77"/>
        <v>0.04</v>
      </c>
      <c r="F491" s="717"/>
      <c r="G491" s="24">
        <f t="shared" si="78"/>
        <v>0.1</v>
      </c>
      <c r="H491" s="717"/>
      <c r="I491" s="24">
        <f t="shared" si="79"/>
        <v>0.02</v>
      </c>
      <c r="J491" s="717"/>
      <c r="K491" s="24">
        <f t="shared" si="80"/>
        <v>1</v>
      </c>
      <c r="L491" s="717"/>
      <c r="M491" s="24">
        <f t="shared" si="81"/>
        <v>1</v>
      </c>
      <c r="N491" s="717"/>
      <c r="O491" s="24">
        <f t="shared" si="82"/>
        <v>1</v>
      </c>
      <c r="P491" s="717"/>
      <c r="Q491" s="24">
        <f t="shared" si="83"/>
        <v>0</v>
      </c>
      <c r="R491" s="713">
        <f t="shared" si="84"/>
        <v>0</v>
      </c>
      <c r="S491" s="361">
        <f t="shared" si="75"/>
        <v>0</v>
      </c>
    </row>
    <row r="492" spans="1:19">
      <c r="A492" s="159"/>
      <c r="B492" s="59"/>
      <c r="C492" s="24">
        <f t="shared" si="76"/>
        <v>1</v>
      </c>
      <c r="D492" s="717"/>
      <c r="E492" s="24">
        <f t="shared" si="77"/>
        <v>0.04</v>
      </c>
      <c r="F492" s="717"/>
      <c r="G492" s="24">
        <f t="shared" si="78"/>
        <v>0.1</v>
      </c>
      <c r="H492" s="717"/>
      <c r="I492" s="24">
        <f t="shared" si="79"/>
        <v>0.02</v>
      </c>
      <c r="J492" s="717"/>
      <c r="K492" s="24">
        <f t="shared" si="80"/>
        <v>1</v>
      </c>
      <c r="L492" s="717"/>
      <c r="M492" s="24">
        <f t="shared" si="81"/>
        <v>1</v>
      </c>
      <c r="N492" s="717"/>
      <c r="O492" s="24">
        <f t="shared" si="82"/>
        <v>1</v>
      </c>
      <c r="P492" s="717"/>
      <c r="Q492" s="24">
        <f t="shared" si="83"/>
        <v>0</v>
      </c>
      <c r="R492" s="713">
        <f t="shared" si="84"/>
        <v>0</v>
      </c>
      <c r="S492" s="361">
        <f t="shared" si="75"/>
        <v>0</v>
      </c>
    </row>
    <row r="493" spans="1:19">
      <c r="A493" s="159"/>
      <c r="B493" s="59"/>
      <c r="C493" s="24">
        <f t="shared" si="76"/>
        <v>1</v>
      </c>
      <c r="D493" s="717"/>
      <c r="E493" s="24">
        <f t="shared" si="77"/>
        <v>0.04</v>
      </c>
      <c r="F493" s="717"/>
      <c r="G493" s="24">
        <f t="shared" si="78"/>
        <v>0.1</v>
      </c>
      <c r="H493" s="717"/>
      <c r="I493" s="24">
        <f t="shared" si="79"/>
        <v>0.02</v>
      </c>
      <c r="J493" s="717"/>
      <c r="K493" s="24">
        <f t="shared" si="80"/>
        <v>1</v>
      </c>
      <c r="L493" s="717"/>
      <c r="M493" s="24">
        <f t="shared" si="81"/>
        <v>1</v>
      </c>
      <c r="N493" s="717"/>
      <c r="O493" s="24">
        <f t="shared" si="82"/>
        <v>1</v>
      </c>
      <c r="P493" s="717"/>
      <c r="Q493" s="24">
        <f t="shared" si="83"/>
        <v>0</v>
      </c>
      <c r="R493" s="713">
        <f t="shared" si="84"/>
        <v>0</v>
      </c>
      <c r="S493" s="361">
        <f t="shared" si="75"/>
        <v>0</v>
      </c>
    </row>
    <row r="494" spans="1:19">
      <c r="A494" s="159"/>
      <c r="B494" s="59"/>
      <c r="C494" s="24">
        <f t="shared" si="76"/>
        <v>1</v>
      </c>
      <c r="D494" s="717"/>
      <c r="E494" s="24">
        <f t="shared" si="77"/>
        <v>0.04</v>
      </c>
      <c r="F494" s="717"/>
      <c r="G494" s="24">
        <f t="shared" si="78"/>
        <v>0.1</v>
      </c>
      <c r="H494" s="717"/>
      <c r="I494" s="24">
        <f t="shared" si="79"/>
        <v>0.02</v>
      </c>
      <c r="J494" s="717"/>
      <c r="K494" s="24">
        <f t="shared" si="80"/>
        <v>1</v>
      </c>
      <c r="L494" s="717"/>
      <c r="M494" s="24">
        <f t="shared" si="81"/>
        <v>1</v>
      </c>
      <c r="N494" s="717"/>
      <c r="O494" s="24">
        <f t="shared" si="82"/>
        <v>1</v>
      </c>
      <c r="P494" s="717"/>
      <c r="Q494" s="24">
        <f t="shared" si="83"/>
        <v>0</v>
      </c>
      <c r="R494" s="713">
        <f t="shared" si="84"/>
        <v>0</v>
      </c>
      <c r="S494" s="361">
        <f t="shared" si="75"/>
        <v>0</v>
      </c>
    </row>
    <row r="495" spans="1:19">
      <c r="A495" s="159"/>
      <c r="B495" s="59"/>
      <c r="C495" s="24">
        <f t="shared" si="76"/>
        <v>1</v>
      </c>
      <c r="D495" s="717"/>
      <c r="E495" s="24">
        <f t="shared" si="77"/>
        <v>0.04</v>
      </c>
      <c r="F495" s="717"/>
      <c r="G495" s="24">
        <f t="shared" si="78"/>
        <v>0.1</v>
      </c>
      <c r="H495" s="717"/>
      <c r="I495" s="24">
        <f t="shared" si="79"/>
        <v>0.02</v>
      </c>
      <c r="J495" s="717"/>
      <c r="K495" s="24">
        <f t="shared" si="80"/>
        <v>1</v>
      </c>
      <c r="L495" s="717"/>
      <c r="M495" s="24">
        <f t="shared" si="81"/>
        <v>1</v>
      </c>
      <c r="N495" s="717"/>
      <c r="O495" s="24">
        <f t="shared" si="82"/>
        <v>1</v>
      </c>
      <c r="P495" s="717"/>
      <c r="Q495" s="24">
        <f t="shared" si="83"/>
        <v>0</v>
      </c>
      <c r="R495" s="713">
        <f t="shared" si="84"/>
        <v>0</v>
      </c>
      <c r="S495" s="361">
        <f t="shared" si="75"/>
        <v>0</v>
      </c>
    </row>
    <row r="496" spans="1:19">
      <c r="A496" s="159"/>
      <c r="B496" s="59"/>
      <c r="C496" s="24">
        <f t="shared" si="76"/>
        <v>1</v>
      </c>
      <c r="D496" s="717"/>
      <c r="E496" s="24">
        <f t="shared" si="77"/>
        <v>0.04</v>
      </c>
      <c r="F496" s="717"/>
      <c r="G496" s="24">
        <f t="shared" si="78"/>
        <v>0.1</v>
      </c>
      <c r="H496" s="717"/>
      <c r="I496" s="24">
        <f t="shared" si="79"/>
        <v>0.02</v>
      </c>
      <c r="J496" s="717"/>
      <c r="K496" s="24">
        <f t="shared" si="80"/>
        <v>1</v>
      </c>
      <c r="L496" s="717"/>
      <c r="M496" s="24">
        <f t="shared" si="81"/>
        <v>1</v>
      </c>
      <c r="N496" s="717"/>
      <c r="O496" s="24">
        <f t="shared" si="82"/>
        <v>1</v>
      </c>
      <c r="P496" s="717"/>
      <c r="Q496" s="24">
        <f t="shared" si="83"/>
        <v>0</v>
      </c>
      <c r="R496" s="713">
        <f t="shared" si="84"/>
        <v>0</v>
      </c>
      <c r="S496" s="361">
        <f t="shared" si="75"/>
        <v>0</v>
      </c>
    </row>
    <row r="497" spans="1:19">
      <c r="A497" s="159"/>
      <c r="B497" s="59"/>
      <c r="C497" s="24">
        <f t="shared" si="76"/>
        <v>1</v>
      </c>
      <c r="D497" s="717"/>
      <c r="E497" s="24">
        <f t="shared" si="77"/>
        <v>0.04</v>
      </c>
      <c r="F497" s="717"/>
      <c r="G497" s="24">
        <f t="shared" si="78"/>
        <v>0.1</v>
      </c>
      <c r="H497" s="717"/>
      <c r="I497" s="24">
        <f t="shared" si="79"/>
        <v>0.02</v>
      </c>
      <c r="J497" s="717"/>
      <c r="K497" s="24">
        <f t="shared" si="80"/>
        <v>1</v>
      </c>
      <c r="L497" s="717"/>
      <c r="M497" s="24">
        <f t="shared" si="81"/>
        <v>1</v>
      </c>
      <c r="N497" s="717"/>
      <c r="O497" s="24">
        <f t="shared" si="82"/>
        <v>1</v>
      </c>
      <c r="P497" s="717"/>
      <c r="Q497" s="24">
        <f t="shared" si="83"/>
        <v>0</v>
      </c>
      <c r="R497" s="713">
        <f t="shared" si="84"/>
        <v>0</v>
      </c>
      <c r="S497" s="361">
        <f t="shared" si="75"/>
        <v>0</v>
      </c>
    </row>
    <row r="498" spans="1:19">
      <c r="A498" s="159"/>
      <c r="B498" s="59"/>
      <c r="C498" s="24">
        <f t="shared" si="76"/>
        <v>1</v>
      </c>
      <c r="D498" s="717"/>
      <c r="E498" s="24">
        <f t="shared" si="77"/>
        <v>0.04</v>
      </c>
      <c r="F498" s="717"/>
      <c r="G498" s="24">
        <f t="shared" si="78"/>
        <v>0.1</v>
      </c>
      <c r="H498" s="717"/>
      <c r="I498" s="24">
        <f t="shared" si="79"/>
        <v>0.02</v>
      </c>
      <c r="J498" s="717"/>
      <c r="K498" s="24">
        <f t="shared" si="80"/>
        <v>1</v>
      </c>
      <c r="L498" s="717"/>
      <c r="M498" s="24">
        <f t="shared" si="81"/>
        <v>1</v>
      </c>
      <c r="N498" s="717"/>
      <c r="O498" s="24">
        <f t="shared" si="82"/>
        <v>1</v>
      </c>
      <c r="P498" s="717"/>
      <c r="Q498" s="24">
        <f t="shared" si="83"/>
        <v>0</v>
      </c>
      <c r="R498" s="713">
        <f t="shared" si="84"/>
        <v>0</v>
      </c>
      <c r="S498" s="361">
        <f t="shared" si="75"/>
        <v>0</v>
      </c>
    </row>
    <row r="499" spans="1:19">
      <c r="A499" s="159"/>
      <c r="B499" s="59"/>
      <c r="C499" s="24">
        <f t="shared" si="76"/>
        <v>1</v>
      </c>
      <c r="D499" s="717"/>
      <c r="E499" s="24">
        <f t="shared" si="77"/>
        <v>0.04</v>
      </c>
      <c r="F499" s="717"/>
      <c r="G499" s="24">
        <f t="shared" si="78"/>
        <v>0.1</v>
      </c>
      <c r="H499" s="717"/>
      <c r="I499" s="24">
        <f t="shared" si="79"/>
        <v>0.02</v>
      </c>
      <c r="J499" s="717"/>
      <c r="K499" s="24">
        <f t="shared" si="80"/>
        <v>1</v>
      </c>
      <c r="L499" s="717"/>
      <c r="M499" s="24">
        <f t="shared" si="81"/>
        <v>1</v>
      </c>
      <c r="N499" s="717"/>
      <c r="O499" s="24">
        <f t="shared" si="82"/>
        <v>1</v>
      </c>
      <c r="P499" s="717"/>
      <c r="Q499" s="24">
        <f t="shared" si="83"/>
        <v>0</v>
      </c>
      <c r="R499" s="713">
        <f t="shared" si="84"/>
        <v>0</v>
      </c>
      <c r="S499" s="361">
        <f t="shared" si="75"/>
        <v>0</v>
      </c>
    </row>
    <row r="500" spans="1:19">
      <c r="A500" s="159"/>
      <c r="B500" s="59"/>
      <c r="C500" s="24">
        <f t="shared" si="76"/>
        <v>1</v>
      </c>
      <c r="D500" s="717"/>
      <c r="E500" s="24">
        <f t="shared" si="77"/>
        <v>0.04</v>
      </c>
      <c r="F500" s="717"/>
      <c r="G500" s="24">
        <f t="shared" si="78"/>
        <v>0.1</v>
      </c>
      <c r="H500" s="717"/>
      <c r="I500" s="24">
        <f t="shared" si="79"/>
        <v>0.02</v>
      </c>
      <c r="J500" s="717"/>
      <c r="K500" s="24">
        <f t="shared" si="80"/>
        <v>1</v>
      </c>
      <c r="L500" s="717"/>
      <c r="M500" s="24">
        <f t="shared" si="81"/>
        <v>1</v>
      </c>
      <c r="N500" s="717"/>
      <c r="O500" s="24">
        <f t="shared" si="82"/>
        <v>1</v>
      </c>
      <c r="P500" s="717"/>
      <c r="Q500" s="24">
        <f t="shared" si="83"/>
        <v>0</v>
      </c>
      <c r="R500" s="713">
        <f t="shared" si="84"/>
        <v>0</v>
      </c>
      <c r="S500" s="361">
        <f t="shared" si="75"/>
        <v>0</v>
      </c>
    </row>
    <row r="501" spans="1:19">
      <c r="A501" s="159"/>
      <c r="B501" s="59"/>
      <c r="C501" s="24">
        <f t="shared" si="76"/>
        <v>1</v>
      </c>
      <c r="D501" s="717"/>
      <c r="E501" s="24">
        <f t="shared" si="77"/>
        <v>0.04</v>
      </c>
      <c r="F501" s="717"/>
      <c r="G501" s="24">
        <f t="shared" si="78"/>
        <v>0.1</v>
      </c>
      <c r="H501" s="717"/>
      <c r="I501" s="24">
        <f t="shared" si="79"/>
        <v>0.02</v>
      </c>
      <c r="J501" s="717"/>
      <c r="K501" s="24">
        <f t="shared" si="80"/>
        <v>1</v>
      </c>
      <c r="L501" s="717"/>
      <c r="M501" s="24">
        <f t="shared" si="81"/>
        <v>1</v>
      </c>
      <c r="N501" s="717"/>
      <c r="O501" s="24">
        <f t="shared" si="82"/>
        <v>1</v>
      </c>
      <c r="P501" s="717"/>
      <c r="Q501" s="24">
        <f t="shared" si="83"/>
        <v>0</v>
      </c>
      <c r="R501" s="713">
        <f t="shared" si="84"/>
        <v>0</v>
      </c>
      <c r="S501" s="361">
        <f t="shared" si="75"/>
        <v>0</v>
      </c>
    </row>
    <row r="502" spans="1:19">
      <c r="A502" s="159"/>
      <c r="B502" s="59"/>
      <c r="C502" s="24">
        <f t="shared" si="76"/>
        <v>1</v>
      </c>
      <c r="D502" s="717"/>
      <c r="E502" s="24">
        <f t="shared" si="77"/>
        <v>0.04</v>
      </c>
      <c r="F502" s="717"/>
      <c r="G502" s="24">
        <f t="shared" si="78"/>
        <v>0.1</v>
      </c>
      <c r="H502" s="717"/>
      <c r="I502" s="24">
        <f t="shared" si="79"/>
        <v>0.02</v>
      </c>
      <c r="J502" s="717"/>
      <c r="K502" s="24">
        <f t="shared" si="80"/>
        <v>1</v>
      </c>
      <c r="L502" s="717"/>
      <c r="M502" s="24">
        <f t="shared" si="81"/>
        <v>1</v>
      </c>
      <c r="N502" s="717"/>
      <c r="O502" s="24">
        <f t="shared" si="82"/>
        <v>1</v>
      </c>
      <c r="P502" s="717"/>
      <c r="Q502" s="24">
        <f t="shared" si="83"/>
        <v>0</v>
      </c>
      <c r="R502" s="713">
        <f t="shared" si="84"/>
        <v>0</v>
      </c>
      <c r="S502" s="361">
        <f t="shared" si="75"/>
        <v>0</v>
      </c>
    </row>
    <row r="503" spans="1:19">
      <c r="A503" s="159"/>
      <c r="B503" s="59"/>
      <c r="C503" s="24">
        <f t="shared" si="76"/>
        <v>1</v>
      </c>
      <c r="D503" s="717"/>
      <c r="E503" s="24">
        <f t="shared" si="77"/>
        <v>0.04</v>
      </c>
      <c r="F503" s="717"/>
      <c r="G503" s="24">
        <f t="shared" si="78"/>
        <v>0.1</v>
      </c>
      <c r="H503" s="717"/>
      <c r="I503" s="24">
        <f t="shared" si="79"/>
        <v>0.02</v>
      </c>
      <c r="J503" s="717"/>
      <c r="K503" s="24">
        <f t="shared" si="80"/>
        <v>1</v>
      </c>
      <c r="L503" s="717"/>
      <c r="M503" s="24">
        <f t="shared" si="81"/>
        <v>1</v>
      </c>
      <c r="N503" s="717"/>
      <c r="O503" s="24">
        <f t="shared" si="82"/>
        <v>1</v>
      </c>
      <c r="P503" s="717"/>
      <c r="Q503" s="24">
        <f t="shared" si="83"/>
        <v>0</v>
      </c>
      <c r="R503" s="713">
        <f t="shared" si="84"/>
        <v>0</v>
      </c>
      <c r="S503" s="361">
        <f t="shared" si="75"/>
        <v>0</v>
      </c>
    </row>
    <row r="504" spans="1:19">
      <c r="A504" s="159"/>
      <c r="B504" s="59"/>
      <c r="C504" s="24">
        <f t="shared" si="76"/>
        <v>1</v>
      </c>
      <c r="D504" s="717"/>
      <c r="E504" s="24">
        <f t="shared" si="77"/>
        <v>0.04</v>
      </c>
      <c r="F504" s="717"/>
      <c r="G504" s="24">
        <f t="shared" si="78"/>
        <v>0.1</v>
      </c>
      <c r="H504" s="717"/>
      <c r="I504" s="24">
        <f t="shared" si="79"/>
        <v>0.02</v>
      </c>
      <c r="J504" s="717"/>
      <c r="K504" s="24">
        <f t="shared" si="80"/>
        <v>1</v>
      </c>
      <c r="L504" s="717"/>
      <c r="M504" s="24">
        <f t="shared" si="81"/>
        <v>1</v>
      </c>
      <c r="N504" s="717"/>
      <c r="O504" s="24">
        <f t="shared" si="82"/>
        <v>1</v>
      </c>
      <c r="P504" s="717"/>
      <c r="Q504" s="24">
        <f t="shared" si="83"/>
        <v>0</v>
      </c>
      <c r="R504" s="713">
        <f t="shared" si="84"/>
        <v>0</v>
      </c>
      <c r="S504" s="361">
        <f t="shared" si="75"/>
        <v>0</v>
      </c>
    </row>
    <row r="505" spans="1:19">
      <c r="A505" s="159"/>
      <c r="B505" s="59"/>
      <c r="C505" s="24">
        <f t="shared" si="76"/>
        <v>1</v>
      </c>
      <c r="D505" s="717"/>
      <c r="E505" s="24">
        <f t="shared" si="77"/>
        <v>0.04</v>
      </c>
      <c r="F505" s="717"/>
      <c r="G505" s="24">
        <f t="shared" si="78"/>
        <v>0.1</v>
      </c>
      <c r="H505" s="717"/>
      <c r="I505" s="24">
        <f t="shared" si="79"/>
        <v>0.02</v>
      </c>
      <c r="J505" s="717"/>
      <c r="K505" s="24">
        <f t="shared" si="80"/>
        <v>1</v>
      </c>
      <c r="L505" s="717"/>
      <c r="M505" s="24">
        <f t="shared" si="81"/>
        <v>1</v>
      </c>
      <c r="N505" s="717"/>
      <c r="O505" s="24">
        <f t="shared" si="82"/>
        <v>1</v>
      </c>
      <c r="P505" s="717"/>
      <c r="Q505" s="24">
        <f t="shared" si="83"/>
        <v>0</v>
      </c>
      <c r="R505" s="713">
        <f t="shared" si="84"/>
        <v>0</v>
      </c>
      <c r="S505" s="361">
        <f t="shared" si="75"/>
        <v>0</v>
      </c>
    </row>
    <row r="506" spans="1:19">
      <c r="A506" s="159"/>
      <c r="B506" s="59"/>
      <c r="C506" s="24">
        <f t="shared" si="76"/>
        <v>1</v>
      </c>
      <c r="D506" s="717"/>
      <c r="E506" s="24">
        <f t="shared" si="77"/>
        <v>0.04</v>
      </c>
      <c r="F506" s="717"/>
      <c r="G506" s="24">
        <f t="shared" si="78"/>
        <v>0.1</v>
      </c>
      <c r="H506" s="717"/>
      <c r="I506" s="24">
        <f t="shared" si="79"/>
        <v>0.02</v>
      </c>
      <c r="J506" s="717"/>
      <c r="K506" s="24">
        <f t="shared" si="80"/>
        <v>1</v>
      </c>
      <c r="L506" s="717"/>
      <c r="M506" s="24">
        <f t="shared" si="81"/>
        <v>1</v>
      </c>
      <c r="N506" s="717"/>
      <c r="O506" s="24">
        <f t="shared" si="82"/>
        <v>1</v>
      </c>
      <c r="P506" s="717"/>
      <c r="Q506" s="24">
        <f t="shared" si="83"/>
        <v>0</v>
      </c>
      <c r="R506" s="713">
        <f t="shared" si="84"/>
        <v>0</v>
      </c>
      <c r="S506" s="361">
        <f t="shared" si="75"/>
        <v>0</v>
      </c>
    </row>
    <row r="507" spans="1:19">
      <c r="A507" s="159"/>
      <c r="B507" s="59"/>
      <c r="C507" s="24">
        <f t="shared" si="76"/>
        <v>1</v>
      </c>
      <c r="D507" s="717"/>
      <c r="E507" s="24">
        <f t="shared" si="77"/>
        <v>0.04</v>
      </c>
      <c r="F507" s="717"/>
      <c r="G507" s="24">
        <f t="shared" si="78"/>
        <v>0.1</v>
      </c>
      <c r="H507" s="717"/>
      <c r="I507" s="24">
        <f t="shared" si="79"/>
        <v>0.02</v>
      </c>
      <c r="J507" s="717"/>
      <c r="K507" s="24">
        <f t="shared" si="80"/>
        <v>1</v>
      </c>
      <c r="L507" s="717"/>
      <c r="M507" s="24">
        <f t="shared" si="81"/>
        <v>1</v>
      </c>
      <c r="N507" s="717"/>
      <c r="O507" s="24">
        <f t="shared" si="82"/>
        <v>1</v>
      </c>
      <c r="P507" s="717"/>
      <c r="Q507" s="24">
        <f t="shared" si="83"/>
        <v>0</v>
      </c>
      <c r="R507" s="713">
        <f t="shared" si="84"/>
        <v>0</v>
      </c>
      <c r="S507" s="361">
        <f t="shared" si="75"/>
        <v>0</v>
      </c>
    </row>
    <row r="508" spans="1:19">
      <c r="A508" s="159"/>
      <c r="B508" s="59"/>
      <c r="C508" s="24">
        <f t="shared" si="76"/>
        <v>1</v>
      </c>
      <c r="D508" s="717"/>
      <c r="E508" s="24">
        <f t="shared" si="77"/>
        <v>0.04</v>
      </c>
      <c r="F508" s="717"/>
      <c r="G508" s="24">
        <f t="shared" si="78"/>
        <v>0.1</v>
      </c>
      <c r="H508" s="717"/>
      <c r="I508" s="24">
        <f t="shared" si="79"/>
        <v>0.02</v>
      </c>
      <c r="J508" s="717"/>
      <c r="K508" s="24">
        <f t="shared" si="80"/>
        <v>1</v>
      </c>
      <c r="L508" s="717"/>
      <c r="M508" s="24">
        <f t="shared" si="81"/>
        <v>1</v>
      </c>
      <c r="N508" s="717"/>
      <c r="O508" s="24">
        <f t="shared" si="82"/>
        <v>1</v>
      </c>
      <c r="P508" s="717"/>
      <c r="Q508" s="24">
        <f t="shared" si="83"/>
        <v>0</v>
      </c>
      <c r="R508" s="713">
        <f t="shared" si="84"/>
        <v>0</v>
      </c>
      <c r="S508" s="361">
        <f t="shared" si="75"/>
        <v>0</v>
      </c>
    </row>
    <row r="509" spans="1:19">
      <c r="A509" s="159"/>
      <c r="B509" s="59"/>
      <c r="C509" s="24">
        <f t="shared" si="76"/>
        <v>1</v>
      </c>
      <c r="D509" s="717"/>
      <c r="E509" s="24">
        <f t="shared" si="77"/>
        <v>0.04</v>
      </c>
      <c r="F509" s="717"/>
      <c r="G509" s="24">
        <f t="shared" si="78"/>
        <v>0.1</v>
      </c>
      <c r="H509" s="717"/>
      <c r="I509" s="24">
        <f t="shared" si="79"/>
        <v>0.02</v>
      </c>
      <c r="J509" s="717"/>
      <c r="K509" s="24">
        <f t="shared" si="80"/>
        <v>1</v>
      </c>
      <c r="L509" s="717"/>
      <c r="M509" s="24">
        <f t="shared" si="81"/>
        <v>1</v>
      </c>
      <c r="N509" s="717"/>
      <c r="O509" s="24">
        <f t="shared" si="82"/>
        <v>1</v>
      </c>
      <c r="P509" s="717"/>
      <c r="Q509" s="24">
        <f t="shared" si="83"/>
        <v>0</v>
      </c>
      <c r="R509" s="713">
        <f t="shared" si="84"/>
        <v>0</v>
      </c>
      <c r="S509" s="361">
        <f t="shared" si="75"/>
        <v>0</v>
      </c>
    </row>
    <row r="510" spans="1:19">
      <c r="A510" s="159"/>
      <c r="B510" s="59"/>
      <c r="C510" s="24">
        <f t="shared" si="76"/>
        <v>1</v>
      </c>
      <c r="D510" s="717"/>
      <c r="E510" s="24">
        <f t="shared" si="77"/>
        <v>0.04</v>
      </c>
      <c r="F510" s="717"/>
      <c r="G510" s="24">
        <f t="shared" si="78"/>
        <v>0.1</v>
      </c>
      <c r="H510" s="717"/>
      <c r="I510" s="24">
        <f t="shared" si="79"/>
        <v>0.02</v>
      </c>
      <c r="J510" s="717"/>
      <c r="K510" s="24">
        <f t="shared" si="80"/>
        <v>1</v>
      </c>
      <c r="L510" s="717"/>
      <c r="M510" s="24">
        <f t="shared" si="81"/>
        <v>1</v>
      </c>
      <c r="N510" s="717"/>
      <c r="O510" s="24">
        <f t="shared" si="82"/>
        <v>1</v>
      </c>
      <c r="P510" s="717"/>
      <c r="Q510" s="24">
        <f t="shared" si="83"/>
        <v>0</v>
      </c>
      <c r="R510" s="713">
        <f t="shared" si="84"/>
        <v>0</v>
      </c>
      <c r="S510" s="361">
        <f t="shared" si="75"/>
        <v>0</v>
      </c>
    </row>
    <row r="511" spans="1:19">
      <c r="A511" s="159"/>
      <c r="B511" s="59"/>
      <c r="C511" s="24">
        <f t="shared" si="76"/>
        <v>1</v>
      </c>
      <c r="D511" s="717"/>
      <c r="E511" s="24">
        <f t="shared" si="77"/>
        <v>0.04</v>
      </c>
      <c r="F511" s="717"/>
      <c r="G511" s="24">
        <f t="shared" si="78"/>
        <v>0.1</v>
      </c>
      <c r="H511" s="717"/>
      <c r="I511" s="24">
        <f t="shared" si="79"/>
        <v>0.02</v>
      </c>
      <c r="J511" s="717"/>
      <c r="K511" s="24">
        <f t="shared" si="80"/>
        <v>1</v>
      </c>
      <c r="L511" s="717"/>
      <c r="M511" s="24">
        <f t="shared" si="81"/>
        <v>1</v>
      </c>
      <c r="N511" s="717"/>
      <c r="O511" s="24">
        <f t="shared" si="82"/>
        <v>1</v>
      </c>
      <c r="P511" s="717"/>
      <c r="Q511" s="24">
        <f t="shared" si="83"/>
        <v>0</v>
      </c>
      <c r="R511" s="713">
        <f t="shared" si="84"/>
        <v>0</v>
      </c>
      <c r="S511" s="361">
        <f t="shared" si="75"/>
        <v>0</v>
      </c>
    </row>
    <row r="512" spans="1:19">
      <c r="A512" s="159"/>
      <c r="B512" s="59"/>
      <c r="C512" s="24">
        <f t="shared" si="76"/>
        <v>1</v>
      </c>
      <c r="D512" s="717"/>
      <c r="E512" s="24">
        <f t="shared" si="77"/>
        <v>0.04</v>
      </c>
      <c r="F512" s="717"/>
      <c r="G512" s="24">
        <f t="shared" si="78"/>
        <v>0.1</v>
      </c>
      <c r="H512" s="717"/>
      <c r="I512" s="24">
        <f t="shared" si="79"/>
        <v>0.02</v>
      </c>
      <c r="J512" s="717"/>
      <c r="K512" s="24">
        <f t="shared" si="80"/>
        <v>1</v>
      </c>
      <c r="L512" s="717"/>
      <c r="M512" s="24">
        <f t="shared" si="81"/>
        <v>1</v>
      </c>
      <c r="N512" s="717"/>
      <c r="O512" s="24">
        <f t="shared" si="82"/>
        <v>1</v>
      </c>
      <c r="P512" s="717"/>
      <c r="Q512" s="24">
        <f t="shared" si="83"/>
        <v>0</v>
      </c>
      <c r="R512" s="713">
        <f t="shared" si="84"/>
        <v>0</v>
      </c>
      <c r="S512" s="361">
        <f t="shared" si="75"/>
        <v>0</v>
      </c>
    </row>
    <row r="513" spans="1:19">
      <c r="A513" s="159"/>
      <c r="B513" s="59"/>
      <c r="C513" s="24">
        <f t="shared" si="76"/>
        <v>1</v>
      </c>
      <c r="D513" s="717"/>
      <c r="E513" s="24">
        <f t="shared" si="77"/>
        <v>0.04</v>
      </c>
      <c r="F513" s="717"/>
      <c r="G513" s="24">
        <f t="shared" si="78"/>
        <v>0.1</v>
      </c>
      <c r="H513" s="717"/>
      <c r="I513" s="24">
        <f t="shared" si="79"/>
        <v>0.02</v>
      </c>
      <c r="J513" s="717"/>
      <c r="K513" s="24">
        <f t="shared" si="80"/>
        <v>1</v>
      </c>
      <c r="L513" s="717"/>
      <c r="M513" s="24">
        <f t="shared" si="81"/>
        <v>1</v>
      </c>
      <c r="N513" s="717"/>
      <c r="O513" s="24">
        <f t="shared" si="82"/>
        <v>1</v>
      </c>
      <c r="P513" s="717"/>
      <c r="Q513" s="24">
        <f t="shared" si="83"/>
        <v>0</v>
      </c>
      <c r="R513" s="713">
        <f t="shared" si="84"/>
        <v>0</v>
      </c>
      <c r="S513" s="361">
        <f t="shared" si="75"/>
        <v>0</v>
      </c>
    </row>
    <row r="514" spans="1:19">
      <c r="A514" s="159"/>
      <c r="B514" s="59"/>
      <c r="C514" s="24">
        <f t="shared" si="76"/>
        <v>1</v>
      </c>
      <c r="D514" s="717"/>
      <c r="E514" s="24">
        <f t="shared" si="77"/>
        <v>0.04</v>
      </c>
      <c r="F514" s="717"/>
      <c r="G514" s="24">
        <f t="shared" si="78"/>
        <v>0.1</v>
      </c>
      <c r="H514" s="717"/>
      <c r="I514" s="24">
        <f t="shared" si="79"/>
        <v>0.02</v>
      </c>
      <c r="J514" s="717"/>
      <c r="K514" s="24">
        <f t="shared" si="80"/>
        <v>1</v>
      </c>
      <c r="L514" s="717"/>
      <c r="M514" s="24">
        <f t="shared" si="81"/>
        <v>1</v>
      </c>
      <c r="N514" s="717"/>
      <c r="O514" s="24">
        <f t="shared" si="82"/>
        <v>1</v>
      </c>
      <c r="P514" s="717"/>
      <c r="Q514" s="24">
        <f t="shared" si="83"/>
        <v>0</v>
      </c>
      <c r="R514" s="713">
        <f t="shared" si="84"/>
        <v>0</v>
      </c>
      <c r="S514" s="361">
        <f t="shared" si="75"/>
        <v>0</v>
      </c>
    </row>
    <row r="515" spans="1:19">
      <c r="A515" s="159"/>
      <c r="B515" s="59"/>
      <c r="C515" s="24">
        <f t="shared" si="76"/>
        <v>1</v>
      </c>
      <c r="D515" s="717"/>
      <c r="E515" s="24">
        <f t="shared" si="77"/>
        <v>0.04</v>
      </c>
      <c r="F515" s="717"/>
      <c r="G515" s="24">
        <f t="shared" si="78"/>
        <v>0.1</v>
      </c>
      <c r="H515" s="717"/>
      <c r="I515" s="24">
        <f t="shared" si="79"/>
        <v>0.02</v>
      </c>
      <c r="J515" s="717"/>
      <c r="K515" s="24">
        <f t="shared" si="80"/>
        <v>1</v>
      </c>
      <c r="L515" s="717"/>
      <c r="M515" s="24">
        <f t="shared" si="81"/>
        <v>1</v>
      </c>
      <c r="N515" s="717"/>
      <c r="O515" s="24">
        <f t="shared" si="82"/>
        <v>1</v>
      </c>
      <c r="P515" s="717"/>
      <c r="Q515" s="24">
        <f t="shared" si="83"/>
        <v>0</v>
      </c>
      <c r="R515" s="713">
        <f t="shared" si="84"/>
        <v>0</v>
      </c>
      <c r="S515" s="361">
        <f t="shared" si="75"/>
        <v>0</v>
      </c>
    </row>
    <row r="516" spans="1:19">
      <c r="A516" s="159"/>
      <c r="B516" s="59"/>
      <c r="C516" s="24">
        <f t="shared" si="76"/>
        <v>1</v>
      </c>
      <c r="D516" s="717"/>
      <c r="E516" s="24">
        <f t="shared" si="77"/>
        <v>0.04</v>
      </c>
      <c r="F516" s="717"/>
      <c r="G516" s="24">
        <f t="shared" si="78"/>
        <v>0.1</v>
      </c>
      <c r="H516" s="717"/>
      <c r="I516" s="24">
        <f t="shared" si="79"/>
        <v>0.02</v>
      </c>
      <c r="J516" s="717"/>
      <c r="K516" s="24">
        <f t="shared" si="80"/>
        <v>1</v>
      </c>
      <c r="L516" s="717"/>
      <c r="M516" s="24">
        <f t="shared" si="81"/>
        <v>1</v>
      </c>
      <c r="N516" s="717"/>
      <c r="O516" s="24">
        <f t="shared" si="82"/>
        <v>1</v>
      </c>
      <c r="P516" s="717"/>
      <c r="Q516" s="24">
        <f t="shared" si="83"/>
        <v>0</v>
      </c>
      <c r="R516" s="713">
        <f t="shared" si="84"/>
        <v>0</v>
      </c>
      <c r="S516" s="361">
        <f t="shared" si="75"/>
        <v>0</v>
      </c>
    </row>
    <row r="517" spans="1:19">
      <c r="A517" s="159"/>
      <c r="B517" s="59"/>
      <c r="C517" s="24">
        <f t="shared" si="76"/>
        <v>1</v>
      </c>
      <c r="D517" s="717"/>
      <c r="E517" s="24">
        <f t="shared" si="77"/>
        <v>0.04</v>
      </c>
      <c r="F517" s="717"/>
      <c r="G517" s="24">
        <f t="shared" si="78"/>
        <v>0.1</v>
      </c>
      <c r="H517" s="717"/>
      <c r="I517" s="24">
        <f t="shared" si="79"/>
        <v>0.02</v>
      </c>
      <c r="J517" s="717"/>
      <c r="K517" s="24">
        <f t="shared" si="80"/>
        <v>1</v>
      </c>
      <c r="L517" s="717"/>
      <c r="M517" s="24">
        <f t="shared" si="81"/>
        <v>1</v>
      </c>
      <c r="N517" s="717"/>
      <c r="O517" s="24">
        <f t="shared" si="82"/>
        <v>1</v>
      </c>
      <c r="P517" s="717"/>
      <c r="Q517" s="24">
        <f t="shared" si="83"/>
        <v>0</v>
      </c>
      <c r="R517" s="713">
        <f t="shared" si="84"/>
        <v>0</v>
      </c>
      <c r="S517" s="361">
        <f t="shared" si="75"/>
        <v>0</v>
      </c>
    </row>
    <row r="518" spans="1:19">
      <c r="A518" s="159"/>
      <c r="B518" s="59"/>
      <c r="C518" s="24">
        <f t="shared" si="76"/>
        <v>1</v>
      </c>
      <c r="D518" s="717"/>
      <c r="E518" s="24">
        <f t="shared" si="77"/>
        <v>0.04</v>
      </c>
      <c r="F518" s="717"/>
      <c r="G518" s="24">
        <f t="shared" si="78"/>
        <v>0.1</v>
      </c>
      <c r="H518" s="717"/>
      <c r="I518" s="24">
        <f t="shared" si="79"/>
        <v>0.02</v>
      </c>
      <c r="J518" s="717"/>
      <c r="K518" s="24">
        <f t="shared" si="80"/>
        <v>1</v>
      </c>
      <c r="L518" s="717"/>
      <c r="M518" s="24">
        <f t="shared" si="81"/>
        <v>1</v>
      </c>
      <c r="N518" s="717"/>
      <c r="O518" s="24">
        <f t="shared" si="82"/>
        <v>1</v>
      </c>
      <c r="P518" s="717"/>
      <c r="Q518" s="24">
        <f t="shared" si="83"/>
        <v>0</v>
      </c>
      <c r="R518" s="713">
        <f t="shared" si="84"/>
        <v>0</v>
      </c>
      <c r="S518" s="361">
        <f t="shared" si="75"/>
        <v>0</v>
      </c>
    </row>
    <row r="519" spans="1:19">
      <c r="A519" s="159"/>
      <c r="B519" s="59"/>
      <c r="C519" s="24">
        <f t="shared" si="76"/>
        <v>1</v>
      </c>
      <c r="D519" s="717"/>
      <c r="E519" s="24">
        <f t="shared" si="77"/>
        <v>0.04</v>
      </c>
      <c r="F519" s="717"/>
      <c r="G519" s="24">
        <f t="shared" si="78"/>
        <v>0.1</v>
      </c>
      <c r="H519" s="717"/>
      <c r="I519" s="24">
        <f t="shared" si="79"/>
        <v>0.02</v>
      </c>
      <c r="J519" s="717"/>
      <c r="K519" s="24">
        <f t="shared" si="80"/>
        <v>1</v>
      </c>
      <c r="L519" s="717"/>
      <c r="M519" s="24">
        <f t="shared" si="81"/>
        <v>1</v>
      </c>
      <c r="N519" s="717"/>
      <c r="O519" s="24">
        <f t="shared" si="82"/>
        <v>1</v>
      </c>
      <c r="P519" s="717"/>
      <c r="Q519" s="24">
        <f t="shared" si="83"/>
        <v>0</v>
      </c>
      <c r="R519" s="713">
        <f t="shared" si="84"/>
        <v>0</v>
      </c>
      <c r="S519" s="361">
        <f t="shared" si="75"/>
        <v>0</v>
      </c>
    </row>
    <row r="520" spans="1:19">
      <c r="A520" s="159"/>
      <c r="B520" s="59"/>
      <c r="C520" s="24">
        <f t="shared" si="76"/>
        <v>1</v>
      </c>
      <c r="D520" s="717"/>
      <c r="E520" s="24">
        <f t="shared" si="77"/>
        <v>0.04</v>
      </c>
      <c r="F520" s="717"/>
      <c r="G520" s="24">
        <f t="shared" si="78"/>
        <v>0.1</v>
      </c>
      <c r="H520" s="717"/>
      <c r="I520" s="24">
        <f t="shared" si="79"/>
        <v>0.02</v>
      </c>
      <c r="J520" s="717"/>
      <c r="K520" s="24">
        <f t="shared" si="80"/>
        <v>1</v>
      </c>
      <c r="L520" s="717"/>
      <c r="M520" s="24">
        <f t="shared" si="81"/>
        <v>1</v>
      </c>
      <c r="N520" s="717"/>
      <c r="O520" s="24">
        <f t="shared" si="82"/>
        <v>1</v>
      </c>
      <c r="P520" s="717"/>
      <c r="Q520" s="24">
        <f t="shared" si="83"/>
        <v>0</v>
      </c>
      <c r="R520" s="713">
        <f t="shared" si="84"/>
        <v>0</v>
      </c>
      <c r="S520" s="361">
        <f t="shared" si="75"/>
        <v>0</v>
      </c>
    </row>
    <row r="521" spans="1:19">
      <c r="A521" s="159"/>
      <c r="B521" s="59"/>
      <c r="C521" s="24">
        <f t="shared" si="76"/>
        <v>1</v>
      </c>
      <c r="D521" s="717"/>
      <c r="E521" s="24">
        <f t="shared" si="77"/>
        <v>0.04</v>
      </c>
      <c r="F521" s="717"/>
      <c r="G521" s="24">
        <f t="shared" si="78"/>
        <v>0.1</v>
      </c>
      <c r="H521" s="717"/>
      <c r="I521" s="24">
        <f t="shared" si="79"/>
        <v>0.02</v>
      </c>
      <c r="J521" s="717"/>
      <c r="K521" s="24">
        <f t="shared" si="80"/>
        <v>1</v>
      </c>
      <c r="L521" s="717"/>
      <c r="M521" s="24">
        <f t="shared" si="81"/>
        <v>1</v>
      </c>
      <c r="N521" s="717"/>
      <c r="O521" s="24">
        <f t="shared" si="82"/>
        <v>1</v>
      </c>
      <c r="P521" s="717"/>
      <c r="Q521" s="24">
        <f t="shared" si="83"/>
        <v>0</v>
      </c>
      <c r="R521" s="713">
        <f t="shared" si="84"/>
        <v>0</v>
      </c>
      <c r="S521" s="361">
        <f t="shared" si="75"/>
        <v>0</v>
      </c>
    </row>
    <row r="522" spans="1:19">
      <c r="A522" s="159"/>
      <c r="B522" s="59"/>
      <c r="C522" s="24">
        <f t="shared" si="76"/>
        <v>1</v>
      </c>
      <c r="D522" s="717"/>
      <c r="E522" s="24">
        <f t="shared" si="77"/>
        <v>0.04</v>
      </c>
      <c r="F522" s="717"/>
      <c r="G522" s="24">
        <f t="shared" si="78"/>
        <v>0.1</v>
      </c>
      <c r="H522" s="717"/>
      <c r="I522" s="24">
        <f t="shared" si="79"/>
        <v>0.02</v>
      </c>
      <c r="J522" s="717"/>
      <c r="K522" s="24">
        <f t="shared" si="80"/>
        <v>1</v>
      </c>
      <c r="L522" s="717"/>
      <c r="M522" s="24">
        <f t="shared" si="81"/>
        <v>1</v>
      </c>
      <c r="N522" s="717"/>
      <c r="O522" s="24">
        <f t="shared" si="82"/>
        <v>1</v>
      </c>
      <c r="P522" s="717"/>
      <c r="Q522" s="24">
        <f t="shared" si="83"/>
        <v>0</v>
      </c>
      <c r="R522" s="713">
        <f t="shared" si="84"/>
        <v>0</v>
      </c>
      <c r="S522" s="361">
        <f t="shared" si="75"/>
        <v>0</v>
      </c>
    </row>
    <row r="523" spans="1:19">
      <c r="A523" s="159"/>
      <c r="B523" s="59"/>
      <c r="C523" s="24">
        <f t="shared" si="76"/>
        <v>1</v>
      </c>
      <c r="D523" s="717"/>
      <c r="E523" s="24">
        <f t="shared" si="77"/>
        <v>0.04</v>
      </c>
      <c r="F523" s="717"/>
      <c r="G523" s="24">
        <f t="shared" si="78"/>
        <v>0.1</v>
      </c>
      <c r="H523" s="717"/>
      <c r="I523" s="24">
        <f t="shared" si="79"/>
        <v>0.02</v>
      </c>
      <c r="J523" s="717"/>
      <c r="K523" s="24">
        <f t="shared" si="80"/>
        <v>1</v>
      </c>
      <c r="L523" s="717"/>
      <c r="M523" s="24">
        <f t="shared" si="81"/>
        <v>1</v>
      </c>
      <c r="N523" s="717"/>
      <c r="O523" s="24">
        <f t="shared" si="82"/>
        <v>1</v>
      </c>
      <c r="P523" s="717"/>
      <c r="Q523" s="24">
        <f t="shared" si="83"/>
        <v>0</v>
      </c>
      <c r="R523" s="713">
        <f t="shared" si="84"/>
        <v>0</v>
      </c>
      <c r="S523" s="361">
        <f t="shared" si="75"/>
        <v>0</v>
      </c>
    </row>
    <row r="524" spans="1:19">
      <c r="A524" s="159"/>
      <c r="B524" s="59"/>
      <c r="C524" s="24">
        <f t="shared" si="76"/>
        <v>1</v>
      </c>
      <c r="D524" s="717"/>
      <c r="E524" s="24">
        <f t="shared" si="77"/>
        <v>0.04</v>
      </c>
      <c r="F524" s="717"/>
      <c r="G524" s="24">
        <f t="shared" si="78"/>
        <v>0.1</v>
      </c>
      <c r="H524" s="717"/>
      <c r="I524" s="24">
        <f t="shared" si="79"/>
        <v>0.02</v>
      </c>
      <c r="J524" s="717"/>
      <c r="K524" s="24">
        <f t="shared" si="80"/>
        <v>1</v>
      </c>
      <c r="L524" s="717"/>
      <c r="M524" s="24">
        <f t="shared" si="81"/>
        <v>1</v>
      </c>
      <c r="N524" s="717"/>
      <c r="O524" s="24">
        <f t="shared" si="82"/>
        <v>1</v>
      </c>
      <c r="P524" s="717"/>
      <c r="Q524" s="24">
        <f t="shared" si="83"/>
        <v>0</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44" activePane="bottomLeft" state="frozen"/>
      <selection activeCell="C50" sqref="C50"/>
      <selection pane="bottomLeft" activeCell="B20" sqref="B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4" t="s">
        <v>3001</v>
      </c>
      <c r="C1" s="3291" t="s">
        <v>3002</v>
      </c>
      <c r="D1" s="3292"/>
      <c r="E1" s="3292"/>
      <c r="F1" s="3292"/>
      <c r="G1" s="3292"/>
      <c r="H1" s="3292"/>
      <c r="I1" s="3292"/>
      <c r="J1" s="3292"/>
      <c r="K1" s="3292"/>
      <c r="L1" s="3292"/>
      <c r="M1" s="3292"/>
      <c r="N1" s="3292"/>
      <c r="O1" s="3292"/>
      <c r="P1" s="3292"/>
      <c r="Q1" s="3292"/>
      <c r="R1" s="3292"/>
      <c r="S1" s="3293"/>
      <c r="T1" s="1204" t="s">
        <v>3003</v>
      </c>
    </row>
    <row r="2" spans="1:45" s="706" customFormat="1" ht="38.25">
      <c r="A2" s="1205"/>
      <c r="B2" s="702" t="s">
        <v>3004</v>
      </c>
      <c r="C2" s="703" t="str">
        <f t="shared" ref="C2:L2" si="0">C3&amp;"(含)"&amp;"-"&amp;D3</f>
        <v>0(含)-50</v>
      </c>
      <c r="D2" s="704" t="str">
        <f t="shared" si="0"/>
        <v>50(含)-100</v>
      </c>
      <c r="E2" s="704" t="str">
        <f t="shared" si="0"/>
        <v>100(含)-150</v>
      </c>
      <c r="F2" s="704" t="str">
        <f t="shared" si="0"/>
        <v>150(含)-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7"/>
      <c r="B3" s="707"/>
      <c r="C3" s="595">
        <v>0</v>
      </c>
      <c r="D3" s="595">
        <v>50</v>
      </c>
      <c r="E3" s="595">
        <v>100</v>
      </c>
      <c r="F3" s="595">
        <v>150</v>
      </c>
      <c r="G3" s="1704"/>
      <c r="H3" s="1704"/>
      <c r="I3" s="1704"/>
      <c r="J3" s="1704"/>
      <c r="K3" s="1704"/>
      <c r="L3" s="1705"/>
      <c r="M3" s="1706"/>
      <c r="N3" s="1706"/>
      <c r="O3" s="1704"/>
      <c r="P3" s="1704"/>
      <c r="Q3" s="1704"/>
      <c r="R3" s="1704"/>
      <c r="S3" s="170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8"/>
      <c r="B4" s="1209"/>
      <c r="C4" s="560">
        <v>100</v>
      </c>
      <c r="D4" s="536">
        <v>101</v>
      </c>
      <c r="E4" s="536">
        <v>100</v>
      </c>
      <c r="F4" s="536">
        <v>99</v>
      </c>
      <c r="G4" s="1708"/>
      <c r="H4" s="1708"/>
      <c r="I4" s="1708"/>
      <c r="J4" s="1708"/>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9.25" thickTop="1">
      <c r="A5" s="1215"/>
      <c r="B5" s="2970" t="s">
        <v>3462</v>
      </c>
      <c r="C5" s="554" t="s">
        <v>3384</v>
      </c>
      <c r="D5" s="554" t="s">
        <v>3385</v>
      </c>
      <c r="E5" s="554" t="s">
        <v>3386</v>
      </c>
      <c r="F5" s="583" t="s">
        <v>3387</v>
      </c>
      <c r="G5" s="1711"/>
      <c r="H5" s="1711"/>
      <c r="I5" s="1711"/>
      <c r="J5" s="1711"/>
      <c r="K5" s="1711"/>
      <c r="L5" s="1712"/>
      <c r="M5" s="1713"/>
      <c r="N5" s="1713"/>
      <c r="O5" s="1711"/>
      <c r="P5" s="1711"/>
      <c r="Q5" s="1711"/>
      <c r="R5" s="1711"/>
      <c r="S5" s="1714"/>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5"/>
      <c r="B7" s="2971"/>
      <c r="C7" s="1121"/>
      <c r="D7" s="1115"/>
      <c r="E7" s="1115"/>
      <c r="F7" s="1716"/>
      <c r="G7" s="1716"/>
      <c r="H7" s="1716"/>
      <c r="I7" s="1716"/>
      <c r="J7" s="1716"/>
      <c r="K7" s="1716"/>
      <c r="L7" s="1716"/>
      <c r="M7" s="1717"/>
      <c r="N7" s="1718"/>
      <c r="O7" s="1719"/>
      <c r="P7" s="1720"/>
      <c r="Q7" s="1721"/>
      <c r="R7" s="1722"/>
      <c r="S7" s="1723"/>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2" customHeight="1"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idden="1">
      <c r="A9" s="1215"/>
      <c r="B9" s="2971"/>
      <c r="C9" s="1121"/>
      <c r="D9" s="1115"/>
      <c r="E9" s="1115"/>
      <c r="F9" s="1716"/>
      <c r="G9" s="1716"/>
      <c r="H9" s="1716"/>
      <c r="I9" s="1716"/>
      <c r="J9" s="1716"/>
      <c r="K9" s="1716"/>
      <c r="L9" s="1724"/>
      <c r="M9" s="1717"/>
      <c r="N9" s="1718"/>
      <c r="O9" s="1719"/>
      <c r="P9" s="1720"/>
      <c r="Q9" s="1721"/>
      <c r="R9" s="1722"/>
      <c r="S9" s="172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2.25" customHeight="1"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13.5" hidden="1" thickBot="1">
      <c r="A11" s="1215"/>
      <c r="B11" s="1769"/>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t="13.5" hidden="1" thickBot="1">
      <c r="A13" s="1215"/>
      <c r="B13" s="1769"/>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hidden="1"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ht="13.5" hidden="1" thickBot="1">
      <c r="A15" s="1215"/>
      <c r="B15" s="1769"/>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hidden="1"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11" t="s">
        <v>3005</v>
      </c>
      <c r="B17" s="2912" t="s">
        <v>3006</v>
      </c>
      <c r="C17" s="1231" t="s">
        <v>3463</v>
      </c>
      <c r="D17" s="1232" t="s">
        <v>3464</v>
      </c>
      <c r="E17" s="1232" t="s">
        <v>3465</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6" customFormat="1" ht="13.5" thickBot="1">
      <c r="A18" s="1241"/>
      <c r="B18" s="1242"/>
      <c r="C18" s="1243">
        <v>100</v>
      </c>
      <c r="D18" s="1244">
        <v>98</v>
      </c>
      <c r="E18" s="1244">
        <v>96</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8"/>
      <c r="B19" s="168"/>
      <c r="C19" s="168"/>
      <c r="D19" s="2913" t="s">
        <v>3007</v>
      </c>
      <c r="E19" s="1791"/>
      <c r="F19" s="1791"/>
      <c r="G19" s="1791"/>
      <c r="H19" s="1280"/>
      <c r="I19" s="168"/>
      <c r="J19" s="168"/>
      <c r="K19" s="168"/>
      <c r="L19" s="168"/>
      <c r="M19" s="168"/>
      <c r="N19" s="168"/>
      <c r="O19" s="168"/>
      <c r="P19" s="168"/>
      <c r="Q19" s="168"/>
      <c r="R19" s="785"/>
      <c r="S19" s="138"/>
    </row>
    <row r="20" spans="1:45" ht="16.5" thickBot="1">
      <c r="A20" s="712" t="s">
        <v>3008</v>
      </c>
      <c r="B20" s="338">
        <f>IF(D20="——",S22,S22-F20)</f>
        <v>76377</v>
      </c>
      <c r="C20" s="168"/>
      <c r="D20" s="2914" t="s">
        <v>70</v>
      </c>
      <c r="E20" s="1792"/>
      <c r="F20" s="1204" t="e">
        <f ca="1">SUMIF(INDIRECT("'"&amp;H20&amp;"'"&amp;"!A:A"),"承租人权益价值",INDIRECT("'"&amp;H20&amp;"'"&amp;"!c:c"))</f>
        <v>#REF!</v>
      </c>
      <c r="G20" s="1204" t="s">
        <v>3009</v>
      </c>
      <c r="H20" s="2915"/>
      <c r="I20" s="168"/>
      <c r="J20" s="168"/>
      <c r="K20" s="168"/>
      <c r="L20" s="168"/>
      <c r="M20" s="168"/>
      <c r="N20" s="168"/>
      <c r="O20" s="168"/>
      <c r="P20" s="168"/>
      <c r="Q20" s="168"/>
      <c r="R20" s="785"/>
      <c r="S20" s="138"/>
    </row>
    <row r="21" spans="1:45" ht="15.75">
      <c r="A21" s="712" t="s">
        <v>3010</v>
      </c>
      <c r="B21" s="338">
        <f>R22</f>
        <v>35637</v>
      </c>
      <c r="C21" s="168"/>
      <c r="D21" s="168"/>
      <c r="E21" s="168"/>
      <c r="F21" s="168"/>
      <c r="G21" s="168"/>
      <c r="H21" s="168"/>
      <c r="I21" s="168"/>
      <c r="J21" s="168"/>
      <c r="K21" s="168"/>
      <c r="L21" s="168"/>
      <c r="M21" s="168"/>
      <c r="N21" s="168"/>
      <c r="O21" s="168"/>
      <c r="P21" s="168"/>
      <c r="Q21" s="168"/>
      <c r="R21" s="785"/>
      <c r="S21" s="138"/>
    </row>
    <row r="22" spans="1:45">
      <c r="A22" s="361" t="s">
        <v>3011</v>
      </c>
      <c r="B22" s="24">
        <f>SUM(B24:B10000)</f>
        <v>21431.910000000003</v>
      </c>
      <c r="C22" s="3073" t="s">
        <v>33</v>
      </c>
      <c r="D22" s="3074"/>
      <c r="E22" s="3074"/>
      <c r="F22" s="3074"/>
      <c r="G22" s="3074"/>
      <c r="H22" s="3074"/>
      <c r="I22" s="3074"/>
      <c r="J22" s="3074"/>
      <c r="K22" s="3074"/>
      <c r="L22" s="3074"/>
      <c r="M22" s="3074"/>
      <c r="N22" s="3074"/>
      <c r="O22" s="3074"/>
      <c r="P22" s="3074"/>
      <c r="Q22" s="3294"/>
      <c r="R22" s="713">
        <f>ROUND(S22*10000/B22,0)</f>
        <v>35637</v>
      </c>
      <c r="S22" s="24">
        <f>SUM(S24:S10000)</f>
        <v>76377</v>
      </c>
    </row>
    <row r="23" spans="1:45" s="12" customFormat="1" ht="25.5">
      <c r="A23" s="11" t="s">
        <v>3012</v>
      </c>
      <c r="B23" s="11" t="s">
        <v>3013</v>
      </c>
      <c r="C23" s="11" t="s">
        <v>3014</v>
      </c>
      <c r="D23" s="11" t="str">
        <f>B5</f>
        <v>内部装修情况</v>
      </c>
      <c r="E23" s="11" t="s">
        <v>3014</v>
      </c>
      <c r="F23" s="11">
        <f>B7</f>
        <v>0</v>
      </c>
      <c r="G23" s="11" t="s">
        <v>3014</v>
      </c>
      <c r="H23" s="11">
        <f>B9</f>
        <v>0</v>
      </c>
      <c r="I23" s="11" t="s">
        <v>3014</v>
      </c>
      <c r="J23" s="11">
        <f>B11</f>
        <v>0</v>
      </c>
      <c r="K23" s="11" t="s">
        <v>3014</v>
      </c>
      <c r="L23" s="11">
        <f>B13</f>
        <v>0</v>
      </c>
      <c r="M23" s="11" t="s">
        <v>3014</v>
      </c>
      <c r="N23" s="11">
        <f>B15</f>
        <v>0</v>
      </c>
      <c r="O23" s="11" t="s">
        <v>3014</v>
      </c>
      <c r="P23" s="11" t="str">
        <f>B17</f>
        <v>楼层</v>
      </c>
      <c r="Q23" s="11" t="s">
        <v>3014</v>
      </c>
      <c r="R23" s="714" t="s">
        <v>3015</v>
      </c>
      <c r="S23" s="11" t="s">
        <v>3016</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tr">
        <f>'数据-基础表'!C13</f>
        <v>1-1-213</v>
      </c>
      <c r="B24" s="715">
        <f>'数据-基础表'!I13</f>
        <v>65.97</v>
      </c>
      <c r="C24" s="716">
        <v>1</v>
      </c>
      <c r="D24" s="717" t="s">
        <v>3384</v>
      </c>
      <c r="E24" s="716">
        <v>1</v>
      </c>
      <c r="F24" s="717"/>
      <c r="G24" s="716">
        <v>1</v>
      </c>
      <c r="H24" s="717"/>
      <c r="I24" s="716">
        <v>1</v>
      </c>
      <c r="J24" s="717"/>
      <c r="K24" s="716">
        <v>1</v>
      </c>
      <c r="L24" s="717"/>
      <c r="M24" s="716">
        <v>1</v>
      </c>
      <c r="N24" s="717"/>
      <c r="O24" s="716">
        <v>1</v>
      </c>
      <c r="P24" s="717" t="s">
        <v>3465</v>
      </c>
      <c r="Q24" s="716">
        <v>1</v>
      </c>
      <c r="R24" s="718">
        <f>'比较法-住宅'!C48</f>
        <v>35229</v>
      </c>
      <c r="S24" s="716">
        <f t="shared" ref="S24:S54" si="11">ROUND(R24*B24/10000,0)</f>
        <v>232</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t="str">
        <f>'数据-基础表'!C14</f>
        <v>1-3-411</v>
      </c>
      <c r="B25" s="715">
        <f>'数据-基础表'!I14</f>
        <v>65.97</v>
      </c>
      <c r="C25" s="24">
        <f>IF(B25="",1,(LOOKUP(B25,$3:$3,$4:$4)-LOOKUP($B$24,$3:$3,$4:$4)+100)/100)</f>
        <v>1</v>
      </c>
      <c r="D25" s="717" t="s">
        <v>3384</v>
      </c>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3464</v>
      </c>
      <c r="Q25" s="24">
        <f>(SUMIF($17:$17,P25,$18:$18)-SUMIF($17:$17,$P$24,$18:$18)+100)/100</f>
        <v>1.02</v>
      </c>
      <c r="R25" s="713">
        <f>IF(B25="",0,ROUND($R$24*C25*E25*G25*I25*K25*M25*O25*Q25,0))</f>
        <v>35934</v>
      </c>
      <c r="S25" s="361">
        <f t="shared" si="11"/>
        <v>237</v>
      </c>
    </row>
    <row r="26" spans="1:45">
      <c r="A26" s="715" t="str">
        <f>'数据-基础表'!C15</f>
        <v>1-3-811</v>
      </c>
      <c r="B26" s="715">
        <f>'数据-基础表'!I15</f>
        <v>65.97</v>
      </c>
      <c r="C26" s="24">
        <f t="shared" ref="C26:C89" si="12">IF(B26="",1,(LOOKUP(B26,$3:$3,$4:$4)-LOOKUP($B$24,$3:$3,$4:$4)+100)/100)</f>
        <v>1</v>
      </c>
      <c r="D26" s="717" t="s">
        <v>3384</v>
      </c>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3463</v>
      </c>
      <c r="Q26" s="24">
        <f t="shared" ref="Q26:Q89" si="19">(SUMIF($17:$17,P26,$18:$18)-SUMIF($17:$17,$P$24,$18:$18)+100)/100</f>
        <v>1.04</v>
      </c>
      <c r="R26" s="713">
        <f t="shared" ref="R26:R89" si="20">IF(B26="",0,ROUND($R$24*C26*E26*G26*I26*K26*M26*O26*Q26,0))</f>
        <v>36638</v>
      </c>
      <c r="S26" s="361">
        <f t="shared" si="11"/>
        <v>242</v>
      </c>
    </row>
    <row r="27" spans="1:45">
      <c r="A27" s="715" t="str">
        <f>'数据-基础表'!C16</f>
        <v>3-1-203</v>
      </c>
      <c r="B27" s="715">
        <f>'数据-基础表'!I16</f>
        <v>65.38</v>
      </c>
      <c r="C27" s="24">
        <f t="shared" si="12"/>
        <v>1</v>
      </c>
      <c r="D27" s="717" t="s">
        <v>3384</v>
      </c>
      <c r="E27" s="24">
        <f t="shared" si="13"/>
        <v>1</v>
      </c>
      <c r="F27" s="717"/>
      <c r="G27" s="24">
        <f t="shared" si="14"/>
        <v>1</v>
      </c>
      <c r="H27" s="717"/>
      <c r="I27" s="24">
        <f t="shared" si="15"/>
        <v>1</v>
      </c>
      <c r="J27" s="717"/>
      <c r="K27" s="24">
        <f t="shared" si="16"/>
        <v>1</v>
      </c>
      <c r="L27" s="717"/>
      <c r="M27" s="24">
        <f t="shared" si="17"/>
        <v>1</v>
      </c>
      <c r="N27" s="717"/>
      <c r="O27" s="24">
        <f t="shared" si="18"/>
        <v>1</v>
      </c>
      <c r="P27" s="717" t="s">
        <v>3465</v>
      </c>
      <c r="Q27" s="24">
        <f t="shared" si="19"/>
        <v>1</v>
      </c>
      <c r="R27" s="713">
        <f t="shared" si="20"/>
        <v>35229</v>
      </c>
      <c r="S27" s="361">
        <f t="shared" si="11"/>
        <v>230</v>
      </c>
    </row>
    <row r="28" spans="1:45">
      <c r="A28" s="715" t="str">
        <f>'数据-基础表'!C17</f>
        <v>3-1-204</v>
      </c>
      <c r="B28" s="715">
        <f>'数据-基础表'!I17</f>
        <v>64.69</v>
      </c>
      <c r="C28" s="24">
        <f t="shared" si="12"/>
        <v>1</v>
      </c>
      <c r="D28" s="717" t="s">
        <v>3384</v>
      </c>
      <c r="E28" s="24">
        <f t="shared" si="13"/>
        <v>1</v>
      </c>
      <c r="F28" s="717"/>
      <c r="G28" s="24">
        <f t="shared" si="14"/>
        <v>1</v>
      </c>
      <c r="H28" s="717"/>
      <c r="I28" s="24">
        <f t="shared" si="15"/>
        <v>1</v>
      </c>
      <c r="J28" s="717"/>
      <c r="K28" s="24">
        <f t="shared" si="16"/>
        <v>1</v>
      </c>
      <c r="L28" s="717"/>
      <c r="M28" s="24">
        <f t="shared" si="17"/>
        <v>1</v>
      </c>
      <c r="N28" s="717"/>
      <c r="O28" s="24">
        <f t="shared" si="18"/>
        <v>1</v>
      </c>
      <c r="P28" s="717" t="s">
        <v>3465</v>
      </c>
      <c r="Q28" s="24">
        <f t="shared" si="19"/>
        <v>1</v>
      </c>
      <c r="R28" s="713">
        <f t="shared" si="20"/>
        <v>35229</v>
      </c>
      <c r="S28" s="361">
        <f t="shared" si="11"/>
        <v>228</v>
      </c>
    </row>
    <row r="29" spans="1:45">
      <c r="A29" s="715" t="str">
        <f>'数据-基础表'!C18</f>
        <v>3-1-205</v>
      </c>
      <c r="B29" s="715">
        <f>'数据-基础表'!I18</f>
        <v>65.38</v>
      </c>
      <c r="C29" s="24">
        <f t="shared" si="12"/>
        <v>1</v>
      </c>
      <c r="D29" s="717" t="s">
        <v>3384</v>
      </c>
      <c r="E29" s="24">
        <f t="shared" si="13"/>
        <v>1</v>
      </c>
      <c r="F29" s="717"/>
      <c r="G29" s="24">
        <f t="shared" si="14"/>
        <v>1</v>
      </c>
      <c r="H29" s="717"/>
      <c r="I29" s="24">
        <f t="shared" si="15"/>
        <v>1</v>
      </c>
      <c r="J29" s="717"/>
      <c r="K29" s="24">
        <f t="shared" si="16"/>
        <v>1</v>
      </c>
      <c r="L29" s="717"/>
      <c r="M29" s="24">
        <f t="shared" si="17"/>
        <v>1</v>
      </c>
      <c r="N29" s="717"/>
      <c r="O29" s="24">
        <f t="shared" si="18"/>
        <v>1</v>
      </c>
      <c r="P29" s="717" t="s">
        <v>3465</v>
      </c>
      <c r="Q29" s="24">
        <f t="shared" si="19"/>
        <v>1</v>
      </c>
      <c r="R29" s="713">
        <f t="shared" si="20"/>
        <v>35229</v>
      </c>
      <c r="S29" s="361">
        <f t="shared" si="11"/>
        <v>230</v>
      </c>
    </row>
    <row r="30" spans="1:45">
      <c r="A30" s="715" t="str">
        <f>'数据-基础表'!C19</f>
        <v>3-1-501</v>
      </c>
      <c r="B30" s="715">
        <f>'数据-基础表'!I19</f>
        <v>90.64</v>
      </c>
      <c r="C30" s="24">
        <f t="shared" si="12"/>
        <v>1</v>
      </c>
      <c r="D30" s="717" t="s">
        <v>3384</v>
      </c>
      <c r="E30" s="24">
        <f t="shared" si="13"/>
        <v>1</v>
      </c>
      <c r="F30" s="717"/>
      <c r="G30" s="24">
        <f t="shared" si="14"/>
        <v>1</v>
      </c>
      <c r="H30" s="717"/>
      <c r="I30" s="24">
        <f t="shared" si="15"/>
        <v>1</v>
      </c>
      <c r="J30" s="717"/>
      <c r="K30" s="24">
        <f t="shared" si="16"/>
        <v>1</v>
      </c>
      <c r="L30" s="717"/>
      <c r="M30" s="24">
        <f t="shared" si="17"/>
        <v>1</v>
      </c>
      <c r="N30" s="717"/>
      <c r="O30" s="24">
        <f t="shared" si="18"/>
        <v>1</v>
      </c>
      <c r="P30" s="717" t="s">
        <v>3464</v>
      </c>
      <c r="Q30" s="24">
        <f t="shared" si="19"/>
        <v>1.02</v>
      </c>
      <c r="R30" s="713">
        <f t="shared" si="20"/>
        <v>35934</v>
      </c>
      <c r="S30" s="361">
        <f t="shared" si="11"/>
        <v>326</v>
      </c>
    </row>
    <row r="31" spans="1:45">
      <c r="A31" s="715" t="str">
        <f>'数据-基础表'!C20</f>
        <v>3-1-504</v>
      </c>
      <c r="B31" s="715">
        <f>'数据-基础表'!I20</f>
        <v>64.69</v>
      </c>
      <c r="C31" s="24">
        <f t="shared" si="12"/>
        <v>1</v>
      </c>
      <c r="D31" s="717" t="s">
        <v>3384</v>
      </c>
      <c r="E31" s="24">
        <f t="shared" si="13"/>
        <v>1</v>
      </c>
      <c r="F31" s="717"/>
      <c r="G31" s="24">
        <f t="shared" si="14"/>
        <v>1</v>
      </c>
      <c r="H31" s="717"/>
      <c r="I31" s="24">
        <f t="shared" si="15"/>
        <v>1</v>
      </c>
      <c r="J31" s="717"/>
      <c r="K31" s="24">
        <f t="shared" si="16"/>
        <v>1</v>
      </c>
      <c r="L31" s="717"/>
      <c r="M31" s="24">
        <f t="shared" si="17"/>
        <v>1</v>
      </c>
      <c r="N31" s="717"/>
      <c r="O31" s="24">
        <f t="shared" si="18"/>
        <v>1</v>
      </c>
      <c r="P31" s="717" t="s">
        <v>3464</v>
      </c>
      <c r="Q31" s="24">
        <f t="shared" si="19"/>
        <v>1.02</v>
      </c>
      <c r="R31" s="713">
        <f t="shared" si="20"/>
        <v>35934</v>
      </c>
      <c r="S31" s="361">
        <f t="shared" si="11"/>
        <v>232</v>
      </c>
    </row>
    <row r="32" spans="1:45">
      <c r="A32" s="715" t="str">
        <f>'数据-基础表'!C21</f>
        <v>3-1-506</v>
      </c>
      <c r="B32" s="715">
        <f>'数据-基础表'!I21</f>
        <v>91.19</v>
      </c>
      <c r="C32" s="24">
        <f t="shared" si="12"/>
        <v>1</v>
      </c>
      <c r="D32" s="717" t="s">
        <v>3384</v>
      </c>
      <c r="E32" s="24">
        <f t="shared" si="13"/>
        <v>1</v>
      </c>
      <c r="F32" s="717"/>
      <c r="G32" s="24">
        <f t="shared" si="14"/>
        <v>1</v>
      </c>
      <c r="H32" s="717"/>
      <c r="I32" s="24">
        <f t="shared" si="15"/>
        <v>1</v>
      </c>
      <c r="J32" s="717"/>
      <c r="K32" s="24">
        <f t="shared" si="16"/>
        <v>1</v>
      </c>
      <c r="L32" s="717"/>
      <c r="M32" s="24">
        <f t="shared" si="17"/>
        <v>1</v>
      </c>
      <c r="N32" s="717"/>
      <c r="O32" s="24">
        <f t="shared" si="18"/>
        <v>1</v>
      </c>
      <c r="P32" s="717" t="s">
        <v>3464</v>
      </c>
      <c r="Q32" s="24">
        <f t="shared" si="19"/>
        <v>1.02</v>
      </c>
      <c r="R32" s="713">
        <f t="shared" si="20"/>
        <v>35934</v>
      </c>
      <c r="S32" s="361">
        <f t="shared" si="11"/>
        <v>328</v>
      </c>
    </row>
    <row r="33" spans="1:19">
      <c r="A33" s="715" t="str">
        <f>'数据-基础表'!C22</f>
        <v>3-1-507</v>
      </c>
      <c r="B33" s="715">
        <f>'数据-基础表'!I22</f>
        <v>90.1</v>
      </c>
      <c r="C33" s="24">
        <f t="shared" si="12"/>
        <v>1</v>
      </c>
      <c r="D33" s="717" t="s">
        <v>3384</v>
      </c>
      <c r="E33" s="24">
        <f t="shared" si="13"/>
        <v>1</v>
      </c>
      <c r="F33" s="717"/>
      <c r="G33" s="24">
        <f t="shared" si="14"/>
        <v>1</v>
      </c>
      <c r="H33" s="717"/>
      <c r="I33" s="24">
        <f t="shared" si="15"/>
        <v>1</v>
      </c>
      <c r="J33" s="717"/>
      <c r="K33" s="24">
        <f t="shared" si="16"/>
        <v>1</v>
      </c>
      <c r="L33" s="717"/>
      <c r="M33" s="24">
        <f t="shared" si="17"/>
        <v>1</v>
      </c>
      <c r="N33" s="717"/>
      <c r="O33" s="24">
        <f t="shared" si="18"/>
        <v>1</v>
      </c>
      <c r="P33" s="717" t="s">
        <v>3464</v>
      </c>
      <c r="Q33" s="24">
        <f t="shared" si="19"/>
        <v>1.02</v>
      </c>
      <c r="R33" s="713">
        <f t="shared" si="20"/>
        <v>35934</v>
      </c>
      <c r="S33" s="361">
        <f t="shared" si="11"/>
        <v>324</v>
      </c>
    </row>
    <row r="34" spans="1:19">
      <c r="A34" s="715" t="str">
        <f>'数据-基础表'!C23</f>
        <v>3-1-508</v>
      </c>
      <c r="B34" s="715">
        <f>'数据-基础表'!I23</f>
        <v>92.19</v>
      </c>
      <c r="C34" s="24">
        <f t="shared" si="12"/>
        <v>1</v>
      </c>
      <c r="D34" s="717" t="s">
        <v>3384</v>
      </c>
      <c r="E34" s="24">
        <f t="shared" si="13"/>
        <v>1</v>
      </c>
      <c r="F34" s="717"/>
      <c r="G34" s="24">
        <f t="shared" si="14"/>
        <v>1</v>
      </c>
      <c r="H34" s="717"/>
      <c r="I34" s="24">
        <f t="shared" si="15"/>
        <v>1</v>
      </c>
      <c r="J34" s="717"/>
      <c r="K34" s="24">
        <f t="shared" si="16"/>
        <v>1</v>
      </c>
      <c r="L34" s="717"/>
      <c r="M34" s="24">
        <f t="shared" si="17"/>
        <v>1</v>
      </c>
      <c r="N34" s="717"/>
      <c r="O34" s="24">
        <f t="shared" si="18"/>
        <v>1</v>
      </c>
      <c r="P34" s="717" t="s">
        <v>3464</v>
      </c>
      <c r="Q34" s="24">
        <f t="shared" si="19"/>
        <v>1.02</v>
      </c>
      <c r="R34" s="713">
        <f t="shared" si="20"/>
        <v>35934</v>
      </c>
      <c r="S34" s="361">
        <f t="shared" si="11"/>
        <v>331</v>
      </c>
    </row>
    <row r="35" spans="1:19">
      <c r="A35" s="715" t="str">
        <f>'数据-基础表'!C24</f>
        <v>3-1-509</v>
      </c>
      <c r="B35" s="715">
        <f>'数据-基础表'!I24</f>
        <v>91.19</v>
      </c>
      <c r="C35" s="24">
        <f t="shared" si="12"/>
        <v>1</v>
      </c>
      <c r="D35" s="717" t="s">
        <v>3384</v>
      </c>
      <c r="E35" s="24">
        <f t="shared" si="13"/>
        <v>1</v>
      </c>
      <c r="F35" s="717"/>
      <c r="G35" s="24">
        <f t="shared" si="14"/>
        <v>1</v>
      </c>
      <c r="H35" s="717"/>
      <c r="I35" s="24">
        <f t="shared" si="15"/>
        <v>1</v>
      </c>
      <c r="J35" s="717"/>
      <c r="K35" s="24">
        <f t="shared" si="16"/>
        <v>1</v>
      </c>
      <c r="L35" s="717"/>
      <c r="M35" s="24">
        <f t="shared" si="17"/>
        <v>1</v>
      </c>
      <c r="N35" s="717"/>
      <c r="O35" s="24">
        <f t="shared" si="18"/>
        <v>1</v>
      </c>
      <c r="P35" s="717" t="s">
        <v>3464</v>
      </c>
      <c r="Q35" s="24">
        <f t="shared" si="19"/>
        <v>1.02</v>
      </c>
      <c r="R35" s="713">
        <f t="shared" si="20"/>
        <v>35934</v>
      </c>
      <c r="S35" s="361">
        <f t="shared" si="11"/>
        <v>328</v>
      </c>
    </row>
    <row r="36" spans="1:19">
      <c r="A36" s="715" t="str">
        <f>'数据-基础表'!C25</f>
        <v>3-1-510</v>
      </c>
      <c r="B36" s="715">
        <f>'数据-基础表'!I25</f>
        <v>91.19</v>
      </c>
      <c r="C36" s="24">
        <f t="shared" si="12"/>
        <v>1</v>
      </c>
      <c r="D36" s="717" t="s">
        <v>3384</v>
      </c>
      <c r="E36" s="24">
        <f t="shared" si="13"/>
        <v>1</v>
      </c>
      <c r="F36" s="717"/>
      <c r="G36" s="24">
        <f t="shared" si="14"/>
        <v>1</v>
      </c>
      <c r="H36" s="717"/>
      <c r="I36" s="24">
        <f t="shared" si="15"/>
        <v>1</v>
      </c>
      <c r="J36" s="717"/>
      <c r="K36" s="24">
        <f t="shared" si="16"/>
        <v>1</v>
      </c>
      <c r="L36" s="717"/>
      <c r="M36" s="24">
        <f t="shared" si="17"/>
        <v>1</v>
      </c>
      <c r="N36" s="717"/>
      <c r="O36" s="24">
        <f t="shared" si="18"/>
        <v>1</v>
      </c>
      <c r="P36" s="717" t="s">
        <v>3464</v>
      </c>
      <c r="Q36" s="24">
        <f t="shared" si="19"/>
        <v>1.02</v>
      </c>
      <c r="R36" s="713">
        <f t="shared" si="20"/>
        <v>35934</v>
      </c>
      <c r="S36" s="361">
        <f t="shared" si="11"/>
        <v>328</v>
      </c>
    </row>
    <row r="37" spans="1:19">
      <c r="A37" s="715" t="str">
        <f>'数据-基础表'!C26</f>
        <v>3-1-511</v>
      </c>
      <c r="B37" s="715">
        <f>'数据-基础表'!I26</f>
        <v>91.19</v>
      </c>
      <c r="C37" s="24">
        <f t="shared" si="12"/>
        <v>1</v>
      </c>
      <c r="D37" s="717" t="s">
        <v>3384</v>
      </c>
      <c r="E37" s="24">
        <f t="shared" si="13"/>
        <v>1</v>
      </c>
      <c r="F37" s="717"/>
      <c r="G37" s="24">
        <f t="shared" si="14"/>
        <v>1</v>
      </c>
      <c r="H37" s="717"/>
      <c r="I37" s="24">
        <f t="shared" si="15"/>
        <v>1</v>
      </c>
      <c r="J37" s="717"/>
      <c r="K37" s="24">
        <f t="shared" si="16"/>
        <v>1</v>
      </c>
      <c r="L37" s="717"/>
      <c r="M37" s="24">
        <f t="shared" si="17"/>
        <v>1</v>
      </c>
      <c r="N37" s="717"/>
      <c r="O37" s="24">
        <f t="shared" si="18"/>
        <v>1</v>
      </c>
      <c r="P37" s="717" t="s">
        <v>3464</v>
      </c>
      <c r="Q37" s="24">
        <f t="shared" si="19"/>
        <v>1.02</v>
      </c>
      <c r="R37" s="713">
        <f t="shared" si="20"/>
        <v>35934</v>
      </c>
      <c r="S37" s="361">
        <f t="shared" si="11"/>
        <v>328</v>
      </c>
    </row>
    <row r="38" spans="1:19">
      <c r="A38" s="715" t="str">
        <f>'数据-基础表'!C27</f>
        <v>3-1-512</v>
      </c>
      <c r="B38" s="715">
        <f>'数据-基础表'!I27</f>
        <v>91.19</v>
      </c>
      <c r="C38" s="24">
        <f t="shared" si="12"/>
        <v>1</v>
      </c>
      <c r="D38" s="717" t="s">
        <v>3384</v>
      </c>
      <c r="E38" s="24">
        <f t="shared" si="13"/>
        <v>1</v>
      </c>
      <c r="F38" s="717"/>
      <c r="G38" s="24">
        <f t="shared" si="14"/>
        <v>1</v>
      </c>
      <c r="H38" s="717"/>
      <c r="I38" s="24">
        <f t="shared" si="15"/>
        <v>1</v>
      </c>
      <c r="J38" s="717"/>
      <c r="K38" s="24">
        <f t="shared" si="16"/>
        <v>1</v>
      </c>
      <c r="L38" s="717"/>
      <c r="M38" s="24">
        <f t="shared" si="17"/>
        <v>1</v>
      </c>
      <c r="N38" s="717"/>
      <c r="O38" s="24">
        <f t="shared" si="18"/>
        <v>1</v>
      </c>
      <c r="P38" s="717" t="s">
        <v>3464</v>
      </c>
      <c r="Q38" s="24">
        <f t="shared" si="19"/>
        <v>1.02</v>
      </c>
      <c r="R38" s="713">
        <f t="shared" si="20"/>
        <v>35934</v>
      </c>
      <c r="S38" s="361">
        <f t="shared" si="11"/>
        <v>328</v>
      </c>
    </row>
    <row r="39" spans="1:19">
      <c r="A39" s="715" t="str">
        <f>'数据-基础表'!C28</f>
        <v>3-1-514</v>
      </c>
      <c r="B39" s="715">
        <f>'数据-基础表'!I28</f>
        <v>91.19</v>
      </c>
      <c r="C39" s="24">
        <f t="shared" si="12"/>
        <v>1</v>
      </c>
      <c r="D39" s="717" t="s">
        <v>3384</v>
      </c>
      <c r="E39" s="24">
        <f t="shared" si="13"/>
        <v>1</v>
      </c>
      <c r="F39" s="717"/>
      <c r="G39" s="24">
        <f t="shared" si="14"/>
        <v>1</v>
      </c>
      <c r="H39" s="717"/>
      <c r="I39" s="24">
        <f t="shared" si="15"/>
        <v>1</v>
      </c>
      <c r="J39" s="717"/>
      <c r="K39" s="24">
        <f t="shared" si="16"/>
        <v>1</v>
      </c>
      <c r="L39" s="717"/>
      <c r="M39" s="24">
        <f t="shared" si="17"/>
        <v>1</v>
      </c>
      <c r="N39" s="717"/>
      <c r="O39" s="24">
        <f t="shared" si="18"/>
        <v>1</v>
      </c>
      <c r="P39" s="717" t="s">
        <v>3464</v>
      </c>
      <c r="Q39" s="24">
        <f t="shared" si="19"/>
        <v>1.02</v>
      </c>
      <c r="R39" s="713">
        <f t="shared" si="20"/>
        <v>35934</v>
      </c>
      <c r="S39" s="361">
        <f t="shared" si="11"/>
        <v>328</v>
      </c>
    </row>
    <row r="40" spans="1:19">
      <c r="A40" s="715" t="str">
        <f>'数据-基础表'!C29</f>
        <v>3-1-515</v>
      </c>
      <c r="B40" s="715">
        <f>'数据-基础表'!I29</f>
        <v>92.74</v>
      </c>
      <c r="C40" s="24">
        <f t="shared" si="12"/>
        <v>1</v>
      </c>
      <c r="D40" s="717" t="s">
        <v>3384</v>
      </c>
      <c r="E40" s="24">
        <f t="shared" si="13"/>
        <v>1</v>
      </c>
      <c r="F40" s="717"/>
      <c r="G40" s="24">
        <f t="shared" si="14"/>
        <v>1</v>
      </c>
      <c r="H40" s="717"/>
      <c r="I40" s="24">
        <f t="shared" si="15"/>
        <v>1</v>
      </c>
      <c r="J40" s="717"/>
      <c r="K40" s="24">
        <f t="shared" si="16"/>
        <v>1</v>
      </c>
      <c r="L40" s="717"/>
      <c r="M40" s="24">
        <f t="shared" si="17"/>
        <v>1</v>
      </c>
      <c r="N40" s="717"/>
      <c r="O40" s="24">
        <f t="shared" si="18"/>
        <v>1</v>
      </c>
      <c r="P40" s="717" t="s">
        <v>3464</v>
      </c>
      <c r="Q40" s="24">
        <f t="shared" si="19"/>
        <v>1.02</v>
      </c>
      <c r="R40" s="713">
        <f t="shared" si="20"/>
        <v>35934</v>
      </c>
      <c r="S40" s="361">
        <f t="shared" si="11"/>
        <v>333</v>
      </c>
    </row>
    <row r="41" spans="1:19">
      <c r="A41" s="715" t="str">
        <f>'数据-基础表'!C30</f>
        <v>3-1-613</v>
      </c>
      <c r="B41" s="715">
        <f>'数据-基础表'!I30</f>
        <v>91.19</v>
      </c>
      <c r="C41" s="24">
        <f t="shared" si="12"/>
        <v>1</v>
      </c>
      <c r="D41" s="717" t="s">
        <v>3384</v>
      </c>
      <c r="E41" s="24">
        <f t="shared" si="13"/>
        <v>1</v>
      </c>
      <c r="F41" s="717"/>
      <c r="G41" s="24">
        <f t="shared" si="14"/>
        <v>1</v>
      </c>
      <c r="H41" s="717"/>
      <c r="I41" s="24">
        <f t="shared" si="15"/>
        <v>1</v>
      </c>
      <c r="J41" s="717"/>
      <c r="K41" s="24">
        <f t="shared" si="16"/>
        <v>1</v>
      </c>
      <c r="L41" s="717"/>
      <c r="M41" s="24">
        <f t="shared" si="17"/>
        <v>1</v>
      </c>
      <c r="N41" s="717"/>
      <c r="O41" s="24">
        <f t="shared" si="18"/>
        <v>1</v>
      </c>
      <c r="P41" s="717" t="s">
        <v>3464</v>
      </c>
      <c r="Q41" s="24">
        <f t="shared" si="19"/>
        <v>1.02</v>
      </c>
      <c r="R41" s="713">
        <f t="shared" si="20"/>
        <v>35934</v>
      </c>
      <c r="S41" s="361">
        <f t="shared" si="11"/>
        <v>328</v>
      </c>
    </row>
    <row r="42" spans="1:19">
      <c r="A42" s="715" t="str">
        <f>'数据-基础表'!C31</f>
        <v>3-1-803</v>
      </c>
      <c r="B42" s="715">
        <f>'数据-基础表'!I31</f>
        <v>65.38</v>
      </c>
      <c r="C42" s="24">
        <f t="shared" si="12"/>
        <v>1</v>
      </c>
      <c r="D42" s="717" t="s">
        <v>3384</v>
      </c>
      <c r="E42" s="24">
        <f t="shared" si="13"/>
        <v>1</v>
      </c>
      <c r="F42" s="717"/>
      <c r="G42" s="24">
        <f t="shared" si="14"/>
        <v>1</v>
      </c>
      <c r="H42" s="717"/>
      <c r="I42" s="24">
        <f t="shared" si="15"/>
        <v>1</v>
      </c>
      <c r="J42" s="717"/>
      <c r="K42" s="24">
        <f t="shared" si="16"/>
        <v>1</v>
      </c>
      <c r="L42" s="717"/>
      <c r="M42" s="24">
        <f t="shared" si="17"/>
        <v>1</v>
      </c>
      <c r="N42" s="717"/>
      <c r="O42" s="24">
        <f t="shared" si="18"/>
        <v>1</v>
      </c>
      <c r="P42" s="717" t="s">
        <v>3464</v>
      </c>
      <c r="Q42" s="24">
        <f t="shared" si="19"/>
        <v>1.02</v>
      </c>
      <c r="R42" s="713">
        <f t="shared" si="20"/>
        <v>35934</v>
      </c>
      <c r="S42" s="361">
        <f t="shared" si="11"/>
        <v>235</v>
      </c>
    </row>
    <row r="43" spans="1:19">
      <c r="A43" s="715" t="str">
        <f>'数据-基础表'!C32</f>
        <v>3-1-804</v>
      </c>
      <c r="B43" s="715">
        <f>'数据-基础表'!I32</f>
        <v>64.69</v>
      </c>
      <c r="C43" s="24">
        <f t="shared" si="12"/>
        <v>1</v>
      </c>
      <c r="D43" s="717" t="s">
        <v>3384</v>
      </c>
      <c r="E43" s="24">
        <f t="shared" si="13"/>
        <v>1</v>
      </c>
      <c r="F43" s="717"/>
      <c r="G43" s="24">
        <f t="shared" si="14"/>
        <v>1</v>
      </c>
      <c r="H43" s="717"/>
      <c r="I43" s="24">
        <f t="shared" si="15"/>
        <v>1</v>
      </c>
      <c r="J43" s="717"/>
      <c r="K43" s="24">
        <f t="shared" si="16"/>
        <v>1</v>
      </c>
      <c r="L43" s="717"/>
      <c r="M43" s="24">
        <f t="shared" si="17"/>
        <v>1</v>
      </c>
      <c r="N43" s="717"/>
      <c r="O43" s="24">
        <f t="shared" si="18"/>
        <v>1</v>
      </c>
      <c r="P43" s="717" t="s">
        <v>3464</v>
      </c>
      <c r="Q43" s="24">
        <f t="shared" si="19"/>
        <v>1.02</v>
      </c>
      <c r="R43" s="713">
        <f t="shared" si="20"/>
        <v>35934</v>
      </c>
      <c r="S43" s="361">
        <f t="shared" si="11"/>
        <v>232</v>
      </c>
    </row>
    <row r="44" spans="1:19">
      <c r="A44" s="715" t="str">
        <f>'数据-基础表'!C33</f>
        <v>3-1-903</v>
      </c>
      <c r="B44" s="715">
        <f>'数据-基础表'!I33</f>
        <v>65.38</v>
      </c>
      <c r="C44" s="24">
        <f t="shared" si="12"/>
        <v>1</v>
      </c>
      <c r="D44" s="717" t="s">
        <v>3384</v>
      </c>
      <c r="E44" s="24">
        <f t="shared" si="13"/>
        <v>1</v>
      </c>
      <c r="F44" s="717"/>
      <c r="G44" s="24">
        <f t="shared" si="14"/>
        <v>1</v>
      </c>
      <c r="H44" s="717"/>
      <c r="I44" s="24">
        <f t="shared" si="15"/>
        <v>1</v>
      </c>
      <c r="J44" s="717"/>
      <c r="K44" s="24">
        <f t="shared" si="16"/>
        <v>1</v>
      </c>
      <c r="L44" s="717"/>
      <c r="M44" s="24">
        <f t="shared" si="17"/>
        <v>1</v>
      </c>
      <c r="N44" s="717"/>
      <c r="O44" s="24">
        <f t="shared" si="18"/>
        <v>1</v>
      </c>
      <c r="P44" s="717" t="s">
        <v>3463</v>
      </c>
      <c r="Q44" s="24">
        <f t="shared" si="19"/>
        <v>1.04</v>
      </c>
      <c r="R44" s="713">
        <f t="shared" si="20"/>
        <v>36638</v>
      </c>
      <c r="S44" s="361">
        <f t="shared" si="11"/>
        <v>240</v>
      </c>
    </row>
    <row r="45" spans="1:19">
      <c r="A45" s="715" t="str">
        <f>'数据-基础表'!C34</f>
        <v>3-1-904</v>
      </c>
      <c r="B45" s="715">
        <f>'数据-基础表'!I34</f>
        <v>64.69</v>
      </c>
      <c r="C45" s="24">
        <f t="shared" si="12"/>
        <v>1</v>
      </c>
      <c r="D45" s="717" t="s">
        <v>3384</v>
      </c>
      <c r="E45" s="24">
        <f t="shared" si="13"/>
        <v>1</v>
      </c>
      <c r="F45" s="717"/>
      <c r="G45" s="24">
        <f t="shared" si="14"/>
        <v>1</v>
      </c>
      <c r="H45" s="717"/>
      <c r="I45" s="24">
        <f t="shared" si="15"/>
        <v>1</v>
      </c>
      <c r="J45" s="717"/>
      <c r="K45" s="24">
        <f t="shared" si="16"/>
        <v>1</v>
      </c>
      <c r="L45" s="717"/>
      <c r="M45" s="24">
        <f t="shared" si="17"/>
        <v>1</v>
      </c>
      <c r="N45" s="717"/>
      <c r="O45" s="24">
        <f t="shared" si="18"/>
        <v>1</v>
      </c>
      <c r="P45" s="717" t="s">
        <v>3463</v>
      </c>
      <c r="Q45" s="24">
        <f t="shared" si="19"/>
        <v>1.04</v>
      </c>
      <c r="R45" s="713">
        <f t="shared" si="20"/>
        <v>36638</v>
      </c>
      <c r="S45" s="361">
        <f t="shared" si="11"/>
        <v>237</v>
      </c>
    </row>
    <row r="46" spans="1:19">
      <c r="A46" s="715" t="str">
        <f>'数据-基础表'!C35</f>
        <v>3-1-1003</v>
      </c>
      <c r="B46" s="715">
        <f>'数据-基础表'!I35</f>
        <v>65.38</v>
      </c>
      <c r="C46" s="24">
        <f t="shared" si="12"/>
        <v>1</v>
      </c>
      <c r="D46" s="717" t="s">
        <v>3384</v>
      </c>
      <c r="E46" s="24">
        <f t="shared" si="13"/>
        <v>1</v>
      </c>
      <c r="F46" s="717"/>
      <c r="G46" s="24">
        <f t="shared" si="14"/>
        <v>1</v>
      </c>
      <c r="H46" s="717"/>
      <c r="I46" s="24">
        <f t="shared" si="15"/>
        <v>1</v>
      </c>
      <c r="J46" s="717"/>
      <c r="K46" s="24">
        <f t="shared" si="16"/>
        <v>1</v>
      </c>
      <c r="L46" s="717"/>
      <c r="M46" s="24">
        <f t="shared" si="17"/>
        <v>1</v>
      </c>
      <c r="N46" s="717"/>
      <c r="O46" s="24">
        <f t="shared" si="18"/>
        <v>1</v>
      </c>
      <c r="P46" s="717" t="s">
        <v>3463</v>
      </c>
      <c r="Q46" s="24">
        <f t="shared" si="19"/>
        <v>1.04</v>
      </c>
      <c r="R46" s="713">
        <f t="shared" si="20"/>
        <v>36638</v>
      </c>
      <c r="S46" s="361">
        <f t="shared" si="11"/>
        <v>240</v>
      </c>
    </row>
    <row r="47" spans="1:19">
      <c r="A47" s="715" t="str">
        <f>'数据-基础表'!C36</f>
        <v>3-1-1004</v>
      </c>
      <c r="B47" s="715">
        <f>'数据-基础表'!I36</f>
        <v>64.69</v>
      </c>
      <c r="C47" s="24">
        <f t="shared" si="12"/>
        <v>1</v>
      </c>
      <c r="D47" s="717" t="s">
        <v>3384</v>
      </c>
      <c r="E47" s="24">
        <f t="shared" si="13"/>
        <v>1</v>
      </c>
      <c r="F47" s="717"/>
      <c r="G47" s="24">
        <f t="shared" si="14"/>
        <v>1</v>
      </c>
      <c r="H47" s="717"/>
      <c r="I47" s="24">
        <f t="shared" si="15"/>
        <v>1</v>
      </c>
      <c r="J47" s="717"/>
      <c r="K47" s="24">
        <f t="shared" si="16"/>
        <v>1</v>
      </c>
      <c r="L47" s="717"/>
      <c r="M47" s="24">
        <f t="shared" si="17"/>
        <v>1</v>
      </c>
      <c r="N47" s="717"/>
      <c r="O47" s="24">
        <f t="shared" si="18"/>
        <v>1</v>
      </c>
      <c r="P47" s="717" t="s">
        <v>3463</v>
      </c>
      <c r="Q47" s="24">
        <f t="shared" si="19"/>
        <v>1.04</v>
      </c>
      <c r="R47" s="713">
        <f t="shared" si="20"/>
        <v>36638</v>
      </c>
      <c r="S47" s="361">
        <f t="shared" si="11"/>
        <v>237</v>
      </c>
    </row>
    <row r="48" spans="1:19">
      <c r="A48" s="715" t="str">
        <f>'数据-基础表'!C37</f>
        <v>3-1-1103</v>
      </c>
      <c r="B48" s="715">
        <f>'数据-基础表'!I37</f>
        <v>65.38</v>
      </c>
      <c r="C48" s="24">
        <f t="shared" si="12"/>
        <v>1</v>
      </c>
      <c r="D48" s="717" t="s">
        <v>3384</v>
      </c>
      <c r="E48" s="24">
        <f t="shared" si="13"/>
        <v>1</v>
      </c>
      <c r="F48" s="717"/>
      <c r="G48" s="24">
        <f t="shared" si="14"/>
        <v>1</v>
      </c>
      <c r="H48" s="717"/>
      <c r="I48" s="24">
        <f t="shared" si="15"/>
        <v>1</v>
      </c>
      <c r="J48" s="717"/>
      <c r="K48" s="24">
        <f t="shared" si="16"/>
        <v>1</v>
      </c>
      <c r="L48" s="717"/>
      <c r="M48" s="24">
        <f t="shared" si="17"/>
        <v>1</v>
      </c>
      <c r="N48" s="717"/>
      <c r="O48" s="24">
        <f t="shared" si="18"/>
        <v>1</v>
      </c>
      <c r="P48" s="717" t="s">
        <v>3463</v>
      </c>
      <c r="Q48" s="24">
        <f t="shared" si="19"/>
        <v>1.04</v>
      </c>
      <c r="R48" s="713">
        <f t="shared" si="20"/>
        <v>36638</v>
      </c>
      <c r="S48" s="361">
        <f t="shared" si="11"/>
        <v>240</v>
      </c>
    </row>
    <row r="49" spans="1:19">
      <c r="A49" s="715" t="str">
        <f>'数据-基础表'!C38</f>
        <v>3-1-1104</v>
      </c>
      <c r="B49" s="715">
        <f>'数据-基础表'!I38</f>
        <v>64.69</v>
      </c>
      <c r="C49" s="24">
        <f t="shared" si="12"/>
        <v>1</v>
      </c>
      <c r="D49" s="717" t="s">
        <v>3384</v>
      </c>
      <c r="E49" s="24">
        <f t="shared" si="13"/>
        <v>1</v>
      </c>
      <c r="F49" s="717"/>
      <c r="G49" s="24">
        <f t="shared" si="14"/>
        <v>1</v>
      </c>
      <c r="H49" s="717"/>
      <c r="I49" s="24">
        <f t="shared" si="15"/>
        <v>1</v>
      </c>
      <c r="J49" s="717"/>
      <c r="K49" s="24">
        <f t="shared" si="16"/>
        <v>1</v>
      </c>
      <c r="L49" s="717"/>
      <c r="M49" s="24">
        <f t="shared" si="17"/>
        <v>1</v>
      </c>
      <c r="N49" s="717"/>
      <c r="O49" s="24">
        <f t="shared" si="18"/>
        <v>1</v>
      </c>
      <c r="P49" s="717" t="s">
        <v>3463</v>
      </c>
      <c r="Q49" s="24">
        <f t="shared" si="19"/>
        <v>1.04</v>
      </c>
      <c r="R49" s="713">
        <f t="shared" si="20"/>
        <v>36638</v>
      </c>
      <c r="S49" s="361">
        <f t="shared" si="11"/>
        <v>237</v>
      </c>
    </row>
    <row r="50" spans="1:19">
      <c r="A50" s="715" t="str">
        <f>'数据-基础表'!C39</f>
        <v>3-1-1105</v>
      </c>
      <c r="B50" s="715">
        <f>'数据-基础表'!I39</f>
        <v>65.38</v>
      </c>
      <c r="C50" s="24">
        <f t="shared" si="12"/>
        <v>1</v>
      </c>
      <c r="D50" s="717" t="s">
        <v>3384</v>
      </c>
      <c r="E50" s="24">
        <f t="shared" si="13"/>
        <v>1</v>
      </c>
      <c r="F50" s="717"/>
      <c r="G50" s="24">
        <f t="shared" si="14"/>
        <v>1</v>
      </c>
      <c r="H50" s="717"/>
      <c r="I50" s="24">
        <f t="shared" si="15"/>
        <v>1</v>
      </c>
      <c r="J50" s="717"/>
      <c r="K50" s="24">
        <f t="shared" si="16"/>
        <v>1</v>
      </c>
      <c r="L50" s="717"/>
      <c r="M50" s="24">
        <f t="shared" si="17"/>
        <v>1</v>
      </c>
      <c r="N50" s="717"/>
      <c r="O50" s="24">
        <f t="shared" si="18"/>
        <v>1</v>
      </c>
      <c r="P50" s="717" t="s">
        <v>3463</v>
      </c>
      <c r="Q50" s="24">
        <f t="shared" si="19"/>
        <v>1.04</v>
      </c>
      <c r="R50" s="713">
        <f t="shared" si="20"/>
        <v>36638</v>
      </c>
      <c r="S50" s="361">
        <f t="shared" si="11"/>
        <v>240</v>
      </c>
    </row>
    <row r="51" spans="1:19">
      <c r="A51" s="715" t="str">
        <f>'数据-基础表'!C40</f>
        <v>3-1-1201</v>
      </c>
      <c r="B51" s="715">
        <f>'数据-基础表'!I40</f>
        <v>91.55</v>
      </c>
      <c r="C51" s="24">
        <f t="shared" si="12"/>
        <v>1</v>
      </c>
      <c r="D51" s="717" t="s">
        <v>3384</v>
      </c>
      <c r="E51" s="24">
        <f t="shared" si="13"/>
        <v>1</v>
      </c>
      <c r="F51" s="717"/>
      <c r="G51" s="24">
        <f t="shared" si="14"/>
        <v>1</v>
      </c>
      <c r="H51" s="717"/>
      <c r="I51" s="24">
        <f t="shared" si="15"/>
        <v>1</v>
      </c>
      <c r="J51" s="717"/>
      <c r="K51" s="24">
        <f t="shared" si="16"/>
        <v>1</v>
      </c>
      <c r="L51" s="717"/>
      <c r="M51" s="24">
        <f t="shared" si="17"/>
        <v>1</v>
      </c>
      <c r="N51" s="717"/>
      <c r="O51" s="24">
        <f t="shared" si="18"/>
        <v>1</v>
      </c>
      <c r="P51" s="717" t="s">
        <v>3463</v>
      </c>
      <c r="Q51" s="24">
        <f t="shared" si="19"/>
        <v>1.04</v>
      </c>
      <c r="R51" s="713">
        <f t="shared" si="20"/>
        <v>36638</v>
      </c>
      <c r="S51" s="361">
        <f t="shared" si="11"/>
        <v>335</v>
      </c>
    </row>
    <row r="52" spans="1:19">
      <c r="A52" s="715" t="str">
        <f>'数据-基础表'!C41</f>
        <v>3-1-1202</v>
      </c>
      <c r="B52" s="715">
        <f>'数据-基础表'!I41</f>
        <v>65.38</v>
      </c>
      <c r="C52" s="24">
        <f t="shared" si="12"/>
        <v>1</v>
      </c>
      <c r="D52" s="717" t="s">
        <v>3384</v>
      </c>
      <c r="E52" s="24">
        <f t="shared" si="13"/>
        <v>1</v>
      </c>
      <c r="F52" s="717"/>
      <c r="G52" s="24">
        <f t="shared" si="14"/>
        <v>1</v>
      </c>
      <c r="H52" s="717"/>
      <c r="I52" s="24">
        <f t="shared" si="15"/>
        <v>1</v>
      </c>
      <c r="J52" s="717"/>
      <c r="K52" s="24">
        <f t="shared" si="16"/>
        <v>1</v>
      </c>
      <c r="L52" s="717"/>
      <c r="M52" s="24">
        <f t="shared" si="17"/>
        <v>1</v>
      </c>
      <c r="N52" s="717"/>
      <c r="O52" s="24">
        <f t="shared" si="18"/>
        <v>1</v>
      </c>
      <c r="P52" s="717" t="s">
        <v>3463</v>
      </c>
      <c r="Q52" s="24">
        <f t="shared" si="19"/>
        <v>1.04</v>
      </c>
      <c r="R52" s="713">
        <f t="shared" si="20"/>
        <v>36638</v>
      </c>
      <c r="S52" s="361">
        <f t="shared" si="11"/>
        <v>240</v>
      </c>
    </row>
    <row r="53" spans="1:19">
      <c r="A53" s="715" t="str">
        <f>'数据-基础表'!C42</f>
        <v>3-3-305</v>
      </c>
      <c r="B53" s="715">
        <f>'数据-基础表'!I42</f>
        <v>65.38</v>
      </c>
      <c r="C53" s="24">
        <f t="shared" si="12"/>
        <v>1</v>
      </c>
      <c r="D53" s="717" t="s">
        <v>3384</v>
      </c>
      <c r="E53" s="24">
        <f t="shared" si="13"/>
        <v>1</v>
      </c>
      <c r="F53" s="717"/>
      <c r="G53" s="24">
        <f t="shared" si="14"/>
        <v>1</v>
      </c>
      <c r="H53" s="717"/>
      <c r="I53" s="24">
        <f t="shared" si="15"/>
        <v>1</v>
      </c>
      <c r="J53" s="717"/>
      <c r="K53" s="24">
        <f t="shared" si="16"/>
        <v>1</v>
      </c>
      <c r="L53" s="717"/>
      <c r="M53" s="24">
        <f t="shared" si="17"/>
        <v>1</v>
      </c>
      <c r="N53" s="717"/>
      <c r="O53" s="24">
        <f t="shared" si="18"/>
        <v>1</v>
      </c>
      <c r="P53" s="717" t="s">
        <v>3465</v>
      </c>
      <c r="Q53" s="24">
        <f t="shared" si="19"/>
        <v>1</v>
      </c>
      <c r="R53" s="713">
        <f t="shared" si="20"/>
        <v>35229</v>
      </c>
      <c r="S53" s="361">
        <f t="shared" si="11"/>
        <v>230</v>
      </c>
    </row>
    <row r="54" spans="1:19">
      <c r="A54" s="715" t="str">
        <f>'数据-基础表'!C43</f>
        <v>17-1-201</v>
      </c>
      <c r="B54" s="715">
        <f>'数据-基础表'!I43</f>
        <v>93.17</v>
      </c>
      <c r="C54" s="24">
        <f t="shared" si="12"/>
        <v>1</v>
      </c>
      <c r="D54" s="717" t="s">
        <v>3384</v>
      </c>
      <c r="E54" s="24">
        <f t="shared" si="13"/>
        <v>1</v>
      </c>
      <c r="F54" s="717"/>
      <c r="G54" s="24">
        <f t="shared" si="14"/>
        <v>1</v>
      </c>
      <c r="H54" s="717"/>
      <c r="I54" s="24">
        <f t="shared" si="15"/>
        <v>1</v>
      </c>
      <c r="J54" s="717"/>
      <c r="K54" s="24">
        <f t="shared" si="16"/>
        <v>1</v>
      </c>
      <c r="L54" s="717"/>
      <c r="M54" s="24">
        <f t="shared" si="17"/>
        <v>1</v>
      </c>
      <c r="N54" s="717"/>
      <c r="O54" s="24">
        <f t="shared" si="18"/>
        <v>1</v>
      </c>
      <c r="P54" s="717" t="s">
        <v>3465</v>
      </c>
      <c r="Q54" s="24">
        <f t="shared" si="19"/>
        <v>1</v>
      </c>
      <c r="R54" s="713">
        <f t="shared" si="20"/>
        <v>35229</v>
      </c>
      <c r="S54" s="361">
        <f t="shared" si="11"/>
        <v>328</v>
      </c>
    </row>
    <row r="55" spans="1:19">
      <c r="A55" s="715" t="str">
        <f>'数据-基础表'!C44</f>
        <v>17-1-209</v>
      </c>
      <c r="B55" s="715">
        <f>'数据-基础表'!I44</f>
        <v>91.11</v>
      </c>
      <c r="C55" s="24">
        <f t="shared" si="12"/>
        <v>1</v>
      </c>
      <c r="D55" s="717" t="s">
        <v>3384</v>
      </c>
      <c r="E55" s="24">
        <f t="shared" si="13"/>
        <v>1</v>
      </c>
      <c r="F55" s="717"/>
      <c r="G55" s="24">
        <f t="shared" si="14"/>
        <v>1</v>
      </c>
      <c r="H55" s="717"/>
      <c r="I55" s="24">
        <f t="shared" si="15"/>
        <v>1</v>
      </c>
      <c r="J55" s="717"/>
      <c r="K55" s="24">
        <f t="shared" si="16"/>
        <v>1</v>
      </c>
      <c r="L55" s="717"/>
      <c r="M55" s="24">
        <f t="shared" si="17"/>
        <v>1</v>
      </c>
      <c r="N55" s="717"/>
      <c r="O55" s="24">
        <f t="shared" si="18"/>
        <v>1</v>
      </c>
      <c r="P55" s="717" t="s">
        <v>3465</v>
      </c>
      <c r="Q55" s="24">
        <f t="shared" si="19"/>
        <v>1</v>
      </c>
      <c r="R55" s="713">
        <f t="shared" si="20"/>
        <v>35229</v>
      </c>
      <c r="S55" s="361">
        <f t="shared" ref="S55:S77" si="21">ROUND(R55*B55/10000,0)</f>
        <v>321</v>
      </c>
    </row>
    <row r="56" spans="1:19">
      <c r="A56" s="715" t="str">
        <f>'数据-基础表'!C45</f>
        <v>17-1-210</v>
      </c>
      <c r="B56" s="715">
        <f>'数据-基础表'!I45</f>
        <v>91.79</v>
      </c>
      <c r="C56" s="24">
        <f t="shared" si="12"/>
        <v>1</v>
      </c>
      <c r="D56" s="717" t="s">
        <v>3384</v>
      </c>
      <c r="E56" s="24">
        <f t="shared" si="13"/>
        <v>1</v>
      </c>
      <c r="F56" s="717"/>
      <c r="G56" s="24">
        <f t="shared" si="14"/>
        <v>1</v>
      </c>
      <c r="H56" s="717"/>
      <c r="I56" s="24">
        <f t="shared" si="15"/>
        <v>1</v>
      </c>
      <c r="J56" s="717"/>
      <c r="K56" s="24">
        <f t="shared" si="16"/>
        <v>1</v>
      </c>
      <c r="L56" s="717"/>
      <c r="M56" s="24">
        <f t="shared" si="17"/>
        <v>1</v>
      </c>
      <c r="N56" s="717"/>
      <c r="O56" s="24">
        <f t="shared" si="18"/>
        <v>1</v>
      </c>
      <c r="P56" s="717" t="s">
        <v>3465</v>
      </c>
      <c r="Q56" s="24">
        <f t="shared" si="19"/>
        <v>1</v>
      </c>
      <c r="R56" s="713">
        <f t="shared" si="20"/>
        <v>35229</v>
      </c>
      <c r="S56" s="361">
        <f t="shared" si="21"/>
        <v>323</v>
      </c>
    </row>
    <row r="57" spans="1:19">
      <c r="A57" s="715" t="str">
        <f>'数据-基础表'!C46</f>
        <v>17-1-309</v>
      </c>
      <c r="B57" s="715">
        <f>'数据-基础表'!I46</f>
        <v>91.11</v>
      </c>
      <c r="C57" s="24">
        <f t="shared" si="12"/>
        <v>1</v>
      </c>
      <c r="D57" s="717" t="s">
        <v>3384</v>
      </c>
      <c r="E57" s="24">
        <f t="shared" si="13"/>
        <v>1</v>
      </c>
      <c r="F57" s="717"/>
      <c r="G57" s="24">
        <f t="shared" si="14"/>
        <v>1</v>
      </c>
      <c r="H57" s="717"/>
      <c r="I57" s="24">
        <f t="shared" si="15"/>
        <v>1</v>
      </c>
      <c r="J57" s="717"/>
      <c r="K57" s="24">
        <f t="shared" si="16"/>
        <v>1</v>
      </c>
      <c r="L57" s="717"/>
      <c r="M57" s="24">
        <f t="shared" si="17"/>
        <v>1</v>
      </c>
      <c r="N57" s="717"/>
      <c r="O57" s="24">
        <f t="shared" si="18"/>
        <v>1</v>
      </c>
      <c r="P57" s="717" t="s">
        <v>3465</v>
      </c>
      <c r="Q57" s="24">
        <f t="shared" si="19"/>
        <v>1</v>
      </c>
      <c r="R57" s="713">
        <f t="shared" si="20"/>
        <v>35229</v>
      </c>
      <c r="S57" s="361">
        <f t="shared" si="21"/>
        <v>321</v>
      </c>
    </row>
    <row r="58" spans="1:19">
      <c r="A58" s="715" t="str">
        <f>'数据-基础表'!C47</f>
        <v>17-1-310</v>
      </c>
      <c r="B58" s="715">
        <f>'数据-基础表'!I47</f>
        <v>91.79</v>
      </c>
      <c r="C58" s="24">
        <f t="shared" si="12"/>
        <v>1</v>
      </c>
      <c r="D58" s="717" t="s">
        <v>3384</v>
      </c>
      <c r="E58" s="24">
        <f t="shared" si="13"/>
        <v>1</v>
      </c>
      <c r="F58" s="717"/>
      <c r="G58" s="24">
        <f t="shared" si="14"/>
        <v>1</v>
      </c>
      <c r="H58" s="717"/>
      <c r="I58" s="24">
        <f t="shared" si="15"/>
        <v>1</v>
      </c>
      <c r="J58" s="717"/>
      <c r="K58" s="24">
        <f t="shared" si="16"/>
        <v>1</v>
      </c>
      <c r="L58" s="717"/>
      <c r="M58" s="24">
        <f t="shared" si="17"/>
        <v>1</v>
      </c>
      <c r="N58" s="717"/>
      <c r="O58" s="24">
        <f t="shared" si="18"/>
        <v>1</v>
      </c>
      <c r="P58" s="717" t="s">
        <v>3465</v>
      </c>
      <c r="Q58" s="24">
        <f t="shared" si="19"/>
        <v>1</v>
      </c>
      <c r="R58" s="713">
        <f t="shared" si="20"/>
        <v>35229</v>
      </c>
      <c r="S58" s="361">
        <f t="shared" si="21"/>
        <v>323</v>
      </c>
    </row>
    <row r="59" spans="1:19">
      <c r="A59" s="715" t="str">
        <f>'数据-基础表'!C48</f>
        <v>17-1-414</v>
      </c>
      <c r="B59" s="715">
        <f>'数据-基础表'!I48</f>
        <v>91.79</v>
      </c>
      <c r="C59" s="24">
        <f t="shared" si="12"/>
        <v>1</v>
      </c>
      <c r="D59" s="717" t="s">
        <v>3384</v>
      </c>
      <c r="E59" s="24">
        <f t="shared" si="13"/>
        <v>1</v>
      </c>
      <c r="F59" s="717"/>
      <c r="G59" s="24">
        <f t="shared" si="14"/>
        <v>1</v>
      </c>
      <c r="H59" s="717"/>
      <c r="I59" s="24">
        <f t="shared" si="15"/>
        <v>1</v>
      </c>
      <c r="J59" s="717"/>
      <c r="K59" s="24">
        <f t="shared" si="16"/>
        <v>1</v>
      </c>
      <c r="L59" s="717"/>
      <c r="M59" s="24">
        <f t="shared" si="17"/>
        <v>1</v>
      </c>
      <c r="N59" s="717"/>
      <c r="O59" s="24">
        <f t="shared" si="18"/>
        <v>1</v>
      </c>
      <c r="P59" s="717" t="s">
        <v>3465</v>
      </c>
      <c r="Q59" s="24">
        <f t="shared" si="19"/>
        <v>1</v>
      </c>
      <c r="R59" s="713">
        <f t="shared" si="20"/>
        <v>35229</v>
      </c>
      <c r="S59" s="361">
        <f t="shared" si="21"/>
        <v>323</v>
      </c>
    </row>
    <row r="60" spans="1:19">
      <c r="A60" s="715" t="str">
        <f>'数据-基础表'!C49</f>
        <v>17-1-415</v>
      </c>
      <c r="B60" s="715">
        <f>'数据-基础表'!I49</f>
        <v>91.11</v>
      </c>
      <c r="C60" s="24">
        <f t="shared" si="12"/>
        <v>1</v>
      </c>
      <c r="D60" s="717" t="s">
        <v>3384</v>
      </c>
      <c r="E60" s="24">
        <f t="shared" si="13"/>
        <v>1</v>
      </c>
      <c r="F60" s="717"/>
      <c r="G60" s="24">
        <f t="shared" si="14"/>
        <v>1</v>
      </c>
      <c r="H60" s="717"/>
      <c r="I60" s="24">
        <f t="shared" si="15"/>
        <v>1</v>
      </c>
      <c r="J60" s="717"/>
      <c r="K60" s="24">
        <f t="shared" si="16"/>
        <v>1</v>
      </c>
      <c r="L60" s="717"/>
      <c r="M60" s="24">
        <f t="shared" si="17"/>
        <v>1</v>
      </c>
      <c r="N60" s="717"/>
      <c r="O60" s="24">
        <f t="shared" si="18"/>
        <v>1</v>
      </c>
      <c r="P60" s="717" t="s">
        <v>3465</v>
      </c>
      <c r="Q60" s="24">
        <f t="shared" si="19"/>
        <v>1</v>
      </c>
      <c r="R60" s="713">
        <f t="shared" si="20"/>
        <v>35229</v>
      </c>
      <c r="S60" s="361">
        <f t="shared" si="21"/>
        <v>321</v>
      </c>
    </row>
    <row r="61" spans="1:19">
      <c r="A61" s="715" t="str">
        <f>'数据-基础表'!C50</f>
        <v>17-1-610</v>
      </c>
      <c r="B61" s="715">
        <f>'数据-基础表'!I50</f>
        <v>91.79</v>
      </c>
      <c r="C61" s="24">
        <f t="shared" si="12"/>
        <v>1</v>
      </c>
      <c r="D61" s="717" t="s">
        <v>3384</v>
      </c>
      <c r="E61" s="24">
        <f t="shared" si="13"/>
        <v>1</v>
      </c>
      <c r="F61" s="717"/>
      <c r="G61" s="24">
        <f t="shared" si="14"/>
        <v>1</v>
      </c>
      <c r="H61" s="717"/>
      <c r="I61" s="24">
        <f t="shared" si="15"/>
        <v>1</v>
      </c>
      <c r="J61" s="717"/>
      <c r="K61" s="24">
        <f t="shared" si="16"/>
        <v>1</v>
      </c>
      <c r="L61" s="717"/>
      <c r="M61" s="24">
        <f t="shared" si="17"/>
        <v>1</v>
      </c>
      <c r="N61" s="717"/>
      <c r="O61" s="24">
        <f t="shared" si="18"/>
        <v>1</v>
      </c>
      <c r="P61" s="717" t="s">
        <v>3464</v>
      </c>
      <c r="Q61" s="24">
        <f t="shared" si="19"/>
        <v>1.02</v>
      </c>
      <c r="R61" s="713">
        <f t="shared" si="20"/>
        <v>35934</v>
      </c>
      <c r="S61" s="361">
        <f t="shared" si="21"/>
        <v>330</v>
      </c>
    </row>
    <row r="62" spans="1:19">
      <c r="A62" s="715" t="str">
        <f>'数据-基础表'!C51</f>
        <v>17-1-615</v>
      </c>
      <c r="B62" s="715">
        <f>'数据-基础表'!I51</f>
        <v>91.11</v>
      </c>
      <c r="C62" s="24">
        <f t="shared" si="12"/>
        <v>1</v>
      </c>
      <c r="D62" s="717" t="s">
        <v>3384</v>
      </c>
      <c r="E62" s="24">
        <f t="shared" si="13"/>
        <v>1</v>
      </c>
      <c r="F62" s="717"/>
      <c r="G62" s="24">
        <f t="shared" si="14"/>
        <v>1</v>
      </c>
      <c r="H62" s="717"/>
      <c r="I62" s="24">
        <f t="shared" si="15"/>
        <v>1</v>
      </c>
      <c r="J62" s="717"/>
      <c r="K62" s="24">
        <f t="shared" si="16"/>
        <v>1</v>
      </c>
      <c r="L62" s="717"/>
      <c r="M62" s="24">
        <f t="shared" si="17"/>
        <v>1</v>
      </c>
      <c r="N62" s="717"/>
      <c r="O62" s="24">
        <f t="shared" si="18"/>
        <v>1</v>
      </c>
      <c r="P62" s="717" t="s">
        <v>3464</v>
      </c>
      <c r="Q62" s="24">
        <f t="shared" si="19"/>
        <v>1.02</v>
      </c>
      <c r="R62" s="713">
        <f t="shared" si="20"/>
        <v>35934</v>
      </c>
      <c r="S62" s="361">
        <f t="shared" si="21"/>
        <v>327</v>
      </c>
    </row>
    <row r="63" spans="1:19">
      <c r="A63" s="715" t="str">
        <f>'数据-基础表'!C52</f>
        <v>19-1-902</v>
      </c>
      <c r="B63" s="715">
        <f>'数据-基础表'!I52</f>
        <v>92.62</v>
      </c>
      <c r="C63" s="24">
        <f t="shared" si="12"/>
        <v>1</v>
      </c>
      <c r="D63" s="717" t="s">
        <v>3384</v>
      </c>
      <c r="E63" s="24">
        <f t="shared" si="13"/>
        <v>1</v>
      </c>
      <c r="F63" s="717"/>
      <c r="G63" s="24">
        <f t="shared" si="14"/>
        <v>1</v>
      </c>
      <c r="H63" s="717"/>
      <c r="I63" s="24">
        <f t="shared" si="15"/>
        <v>1</v>
      </c>
      <c r="J63" s="717"/>
      <c r="K63" s="24">
        <f t="shared" si="16"/>
        <v>1</v>
      </c>
      <c r="L63" s="717"/>
      <c r="M63" s="24">
        <f t="shared" si="17"/>
        <v>1</v>
      </c>
      <c r="N63" s="717"/>
      <c r="O63" s="24">
        <f t="shared" si="18"/>
        <v>1</v>
      </c>
      <c r="P63" s="717" t="s">
        <v>3463</v>
      </c>
      <c r="Q63" s="24">
        <f t="shared" si="19"/>
        <v>1.04</v>
      </c>
      <c r="R63" s="713">
        <f t="shared" si="20"/>
        <v>36638</v>
      </c>
      <c r="S63" s="361">
        <f t="shared" si="21"/>
        <v>339</v>
      </c>
    </row>
    <row r="64" spans="1:19">
      <c r="A64" s="715" t="str">
        <f>'数据-基础表'!C53</f>
        <v>19-1-906</v>
      </c>
      <c r="B64" s="715">
        <f>'数据-基础表'!I53</f>
        <v>92.62</v>
      </c>
      <c r="C64" s="24">
        <f t="shared" si="12"/>
        <v>1</v>
      </c>
      <c r="D64" s="717" t="s">
        <v>3384</v>
      </c>
      <c r="E64" s="24">
        <f t="shared" si="13"/>
        <v>1</v>
      </c>
      <c r="F64" s="717"/>
      <c r="G64" s="24">
        <f t="shared" si="14"/>
        <v>1</v>
      </c>
      <c r="H64" s="717"/>
      <c r="I64" s="24">
        <f t="shared" si="15"/>
        <v>1</v>
      </c>
      <c r="J64" s="717"/>
      <c r="K64" s="24">
        <f t="shared" si="16"/>
        <v>1</v>
      </c>
      <c r="L64" s="717"/>
      <c r="M64" s="24">
        <f t="shared" si="17"/>
        <v>1</v>
      </c>
      <c r="N64" s="717"/>
      <c r="O64" s="24">
        <f t="shared" si="18"/>
        <v>1</v>
      </c>
      <c r="P64" s="717" t="s">
        <v>3463</v>
      </c>
      <c r="Q64" s="24">
        <f t="shared" si="19"/>
        <v>1.04</v>
      </c>
      <c r="R64" s="713">
        <f t="shared" si="20"/>
        <v>36638</v>
      </c>
      <c r="S64" s="361">
        <f t="shared" si="21"/>
        <v>339</v>
      </c>
    </row>
    <row r="65" spans="1:19">
      <c r="A65" s="715" t="str">
        <f>'数据-基础表'!C54</f>
        <v>19-2-202</v>
      </c>
      <c r="B65" s="715">
        <f>'数据-基础表'!I54</f>
        <v>92.62</v>
      </c>
      <c r="C65" s="24">
        <f t="shared" si="12"/>
        <v>1</v>
      </c>
      <c r="D65" s="717" t="s">
        <v>3384</v>
      </c>
      <c r="E65" s="24">
        <f t="shared" si="13"/>
        <v>1</v>
      </c>
      <c r="F65" s="717"/>
      <c r="G65" s="24">
        <f t="shared" si="14"/>
        <v>1</v>
      </c>
      <c r="H65" s="717"/>
      <c r="I65" s="24">
        <f t="shared" si="15"/>
        <v>1</v>
      </c>
      <c r="J65" s="717"/>
      <c r="K65" s="24">
        <f t="shared" si="16"/>
        <v>1</v>
      </c>
      <c r="L65" s="717"/>
      <c r="M65" s="24">
        <f t="shared" si="17"/>
        <v>1</v>
      </c>
      <c r="N65" s="717"/>
      <c r="O65" s="24">
        <f t="shared" si="18"/>
        <v>1</v>
      </c>
      <c r="P65" s="717" t="s">
        <v>3465</v>
      </c>
      <c r="Q65" s="24">
        <f t="shared" si="19"/>
        <v>1</v>
      </c>
      <c r="R65" s="713">
        <f t="shared" si="20"/>
        <v>35229</v>
      </c>
      <c r="S65" s="361">
        <f t="shared" si="21"/>
        <v>326</v>
      </c>
    </row>
    <row r="66" spans="1:19">
      <c r="A66" s="715" t="str">
        <f>'数据-基础表'!C55</f>
        <v>19-2-203</v>
      </c>
      <c r="B66" s="715">
        <f>'数据-基础表'!I55</f>
        <v>92.62</v>
      </c>
      <c r="C66" s="24">
        <f t="shared" si="12"/>
        <v>1</v>
      </c>
      <c r="D66" s="717" t="s">
        <v>3384</v>
      </c>
      <c r="E66" s="24">
        <f t="shared" si="13"/>
        <v>1</v>
      </c>
      <c r="F66" s="717"/>
      <c r="G66" s="24">
        <f t="shared" si="14"/>
        <v>1</v>
      </c>
      <c r="H66" s="717"/>
      <c r="I66" s="24">
        <f t="shared" si="15"/>
        <v>1</v>
      </c>
      <c r="J66" s="717"/>
      <c r="K66" s="24">
        <f t="shared" si="16"/>
        <v>1</v>
      </c>
      <c r="L66" s="717"/>
      <c r="M66" s="24">
        <f t="shared" si="17"/>
        <v>1</v>
      </c>
      <c r="N66" s="717"/>
      <c r="O66" s="24">
        <f t="shared" si="18"/>
        <v>1</v>
      </c>
      <c r="P66" s="717" t="s">
        <v>3465</v>
      </c>
      <c r="Q66" s="24">
        <f t="shared" si="19"/>
        <v>1</v>
      </c>
      <c r="R66" s="713">
        <f t="shared" si="20"/>
        <v>35229</v>
      </c>
      <c r="S66" s="361">
        <f t="shared" si="21"/>
        <v>326</v>
      </c>
    </row>
    <row r="67" spans="1:19">
      <c r="A67" s="715" t="str">
        <f>'数据-基础表'!C56</f>
        <v>19-2-204</v>
      </c>
      <c r="B67" s="715">
        <f>'数据-基础表'!I56</f>
        <v>92.62</v>
      </c>
      <c r="C67" s="24">
        <f t="shared" si="12"/>
        <v>1</v>
      </c>
      <c r="D67" s="717" t="s">
        <v>3384</v>
      </c>
      <c r="E67" s="24">
        <f t="shared" si="13"/>
        <v>1</v>
      </c>
      <c r="F67" s="717"/>
      <c r="G67" s="24">
        <f t="shared" si="14"/>
        <v>1</v>
      </c>
      <c r="H67" s="717"/>
      <c r="I67" s="24">
        <f t="shared" si="15"/>
        <v>1</v>
      </c>
      <c r="J67" s="717"/>
      <c r="K67" s="24">
        <f t="shared" si="16"/>
        <v>1</v>
      </c>
      <c r="L67" s="717"/>
      <c r="M67" s="24">
        <f t="shared" si="17"/>
        <v>1</v>
      </c>
      <c r="N67" s="717"/>
      <c r="O67" s="24">
        <f t="shared" si="18"/>
        <v>1</v>
      </c>
      <c r="P67" s="717" t="s">
        <v>3465</v>
      </c>
      <c r="Q67" s="24">
        <f t="shared" si="19"/>
        <v>1</v>
      </c>
      <c r="R67" s="713">
        <f t="shared" si="20"/>
        <v>35229</v>
      </c>
      <c r="S67" s="361">
        <f t="shared" si="21"/>
        <v>326</v>
      </c>
    </row>
    <row r="68" spans="1:19">
      <c r="A68" s="715" t="str">
        <f>'数据-基础表'!C57</f>
        <v>19-2-205</v>
      </c>
      <c r="B68" s="715">
        <f>'数据-基础表'!I57</f>
        <v>92.62</v>
      </c>
      <c r="C68" s="24">
        <f t="shared" si="12"/>
        <v>1</v>
      </c>
      <c r="D68" s="717" t="s">
        <v>3384</v>
      </c>
      <c r="E68" s="24">
        <f t="shared" si="13"/>
        <v>1</v>
      </c>
      <c r="F68" s="717"/>
      <c r="G68" s="24">
        <f t="shared" si="14"/>
        <v>1</v>
      </c>
      <c r="H68" s="717"/>
      <c r="I68" s="24">
        <f t="shared" si="15"/>
        <v>1</v>
      </c>
      <c r="J68" s="717"/>
      <c r="K68" s="24">
        <f t="shared" si="16"/>
        <v>1</v>
      </c>
      <c r="L68" s="717"/>
      <c r="M68" s="24">
        <f t="shared" si="17"/>
        <v>1</v>
      </c>
      <c r="N68" s="717"/>
      <c r="O68" s="24">
        <f t="shared" si="18"/>
        <v>1</v>
      </c>
      <c r="P68" s="717" t="s">
        <v>3465</v>
      </c>
      <c r="Q68" s="24">
        <f t="shared" si="19"/>
        <v>1</v>
      </c>
      <c r="R68" s="713">
        <f t="shared" si="20"/>
        <v>35229</v>
      </c>
      <c r="S68" s="361">
        <f t="shared" si="21"/>
        <v>326</v>
      </c>
    </row>
    <row r="69" spans="1:19">
      <c r="A69" s="715" t="str">
        <f>'数据-基础表'!C58</f>
        <v>19-2-206</v>
      </c>
      <c r="B69" s="715">
        <f>'数据-基础表'!I58</f>
        <v>92.62</v>
      </c>
      <c r="C69" s="24">
        <f t="shared" si="12"/>
        <v>1</v>
      </c>
      <c r="D69" s="717" t="s">
        <v>3384</v>
      </c>
      <c r="E69" s="24">
        <f t="shared" si="13"/>
        <v>1</v>
      </c>
      <c r="F69" s="717"/>
      <c r="G69" s="24">
        <f t="shared" si="14"/>
        <v>1</v>
      </c>
      <c r="H69" s="717"/>
      <c r="I69" s="24">
        <f t="shared" si="15"/>
        <v>1</v>
      </c>
      <c r="J69" s="717"/>
      <c r="K69" s="24">
        <f t="shared" si="16"/>
        <v>1</v>
      </c>
      <c r="L69" s="717"/>
      <c r="M69" s="24">
        <f t="shared" si="17"/>
        <v>1</v>
      </c>
      <c r="N69" s="717"/>
      <c r="O69" s="24">
        <f t="shared" si="18"/>
        <v>1</v>
      </c>
      <c r="P69" s="717" t="s">
        <v>3465</v>
      </c>
      <c r="Q69" s="24">
        <f t="shared" si="19"/>
        <v>1</v>
      </c>
      <c r="R69" s="713">
        <f t="shared" si="20"/>
        <v>35229</v>
      </c>
      <c r="S69" s="361">
        <f t="shared" si="21"/>
        <v>326</v>
      </c>
    </row>
    <row r="70" spans="1:19">
      <c r="A70" s="715" t="str">
        <f>'数据-基础表'!C59</f>
        <v>19-2-207</v>
      </c>
      <c r="B70" s="715">
        <f>'数据-基础表'!I59</f>
        <v>92.62</v>
      </c>
      <c r="C70" s="24">
        <f t="shared" si="12"/>
        <v>1</v>
      </c>
      <c r="D70" s="717" t="s">
        <v>3384</v>
      </c>
      <c r="E70" s="24">
        <f t="shared" si="13"/>
        <v>1</v>
      </c>
      <c r="F70" s="717"/>
      <c r="G70" s="24">
        <f t="shared" si="14"/>
        <v>1</v>
      </c>
      <c r="H70" s="717"/>
      <c r="I70" s="24">
        <f t="shared" si="15"/>
        <v>1</v>
      </c>
      <c r="J70" s="717"/>
      <c r="K70" s="24">
        <f t="shared" si="16"/>
        <v>1</v>
      </c>
      <c r="L70" s="717"/>
      <c r="M70" s="24">
        <f t="shared" si="17"/>
        <v>1</v>
      </c>
      <c r="N70" s="717"/>
      <c r="O70" s="24">
        <f t="shared" si="18"/>
        <v>1</v>
      </c>
      <c r="P70" s="717" t="s">
        <v>3465</v>
      </c>
      <c r="Q70" s="24">
        <f t="shared" si="19"/>
        <v>1</v>
      </c>
      <c r="R70" s="713">
        <f t="shared" si="20"/>
        <v>35229</v>
      </c>
      <c r="S70" s="361">
        <f t="shared" si="21"/>
        <v>326</v>
      </c>
    </row>
    <row r="71" spans="1:19">
      <c r="A71" s="715" t="str">
        <f>'数据-基础表'!C60</f>
        <v>19-2-303</v>
      </c>
      <c r="B71" s="715">
        <f>'数据-基础表'!I60</f>
        <v>92.62</v>
      </c>
      <c r="C71" s="24">
        <f t="shared" si="12"/>
        <v>1</v>
      </c>
      <c r="D71" s="717" t="s">
        <v>3384</v>
      </c>
      <c r="E71" s="24">
        <f t="shared" si="13"/>
        <v>1</v>
      </c>
      <c r="F71" s="717"/>
      <c r="G71" s="24">
        <f t="shared" si="14"/>
        <v>1</v>
      </c>
      <c r="H71" s="717"/>
      <c r="I71" s="24">
        <f t="shared" si="15"/>
        <v>1</v>
      </c>
      <c r="J71" s="717"/>
      <c r="K71" s="24">
        <f t="shared" si="16"/>
        <v>1</v>
      </c>
      <c r="L71" s="717"/>
      <c r="M71" s="24">
        <f t="shared" si="17"/>
        <v>1</v>
      </c>
      <c r="N71" s="717"/>
      <c r="O71" s="24">
        <f t="shared" si="18"/>
        <v>1</v>
      </c>
      <c r="P71" s="717" t="s">
        <v>3465</v>
      </c>
      <c r="Q71" s="24">
        <f t="shared" si="19"/>
        <v>1</v>
      </c>
      <c r="R71" s="713">
        <f t="shared" si="20"/>
        <v>35229</v>
      </c>
      <c r="S71" s="361">
        <f t="shared" si="21"/>
        <v>326</v>
      </c>
    </row>
    <row r="72" spans="1:19">
      <c r="A72" s="715" t="str">
        <f>'数据-基础表'!C61</f>
        <v>7-1-213</v>
      </c>
      <c r="B72" s="715">
        <f>'数据-基础表'!I61</f>
        <v>91.63</v>
      </c>
      <c r="C72" s="24">
        <f t="shared" si="12"/>
        <v>1</v>
      </c>
      <c r="D72" s="717" t="s">
        <v>3384</v>
      </c>
      <c r="E72" s="24">
        <f t="shared" si="13"/>
        <v>1</v>
      </c>
      <c r="F72" s="717"/>
      <c r="G72" s="24">
        <f t="shared" si="14"/>
        <v>1</v>
      </c>
      <c r="H72" s="717"/>
      <c r="I72" s="24">
        <f t="shared" si="15"/>
        <v>1</v>
      </c>
      <c r="J72" s="717"/>
      <c r="K72" s="24">
        <f t="shared" si="16"/>
        <v>1</v>
      </c>
      <c r="L72" s="717"/>
      <c r="M72" s="24">
        <f t="shared" si="17"/>
        <v>1</v>
      </c>
      <c r="N72" s="717"/>
      <c r="O72" s="24">
        <f t="shared" si="18"/>
        <v>1</v>
      </c>
      <c r="P72" s="717" t="s">
        <v>3465</v>
      </c>
      <c r="Q72" s="24">
        <f t="shared" si="19"/>
        <v>1</v>
      </c>
      <c r="R72" s="713">
        <f t="shared" si="20"/>
        <v>35229</v>
      </c>
      <c r="S72" s="361">
        <f t="shared" si="21"/>
        <v>323</v>
      </c>
    </row>
    <row r="73" spans="1:19">
      <c r="A73" s="715" t="str">
        <f>'数据-基础表'!C62</f>
        <v>1-1-202</v>
      </c>
      <c r="B73" s="715">
        <f>'数据-基础表'!I62</f>
        <v>92.59</v>
      </c>
      <c r="C73" s="24">
        <f t="shared" si="12"/>
        <v>1</v>
      </c>
      <c r="D73" s="717" t="s">
        <v>3384</v>
      </c>
      <c r="E73" s="24">
        <f t="shared" si="13"/>
        <v>1</v>
      </c>
      <c r="F73" s="717"/>
      <c r="G73" s="24">
        <f t="shared" si="14"/>
        <v>1</v>
      </c>
      <c r="H73" s="717"/>
      <c r="I73" s="24">
        <f t="shared" si="15"/>
        <v>1</v>
      </c>
      <c r="J73" s="717"/>
      <c r="K73" s="24">
        <f t="shared" si="16"/>
        <v>1</v>
      </c>
      <c r="L73" s="717"/>
      <c r="M73" s="24">
        <f t="shared" si="17"/>
        <v>1</v>
      </c>
      <c r="N73" s="717"/>
      <c r="O73" s="24">
        <f t="shared" si="18"/>
        <v>1</v>
      </c>
      <c r="P73" s="717" t="s">
        <v>3465</v>
      </c>
      <c r="Q73" s="24">
        <f t="shared" si="19"/>
        <v>1</v>
      </c>
      <c r="R73" s="713">
        <f t="shared" si="20"/>
        <v>35229</v>
      </c>
      <c r="S73" s="361">
        <f t="shared" si="21"/>
        <v>326</v>
      </c>
    </row>
    <row r="74" spans="1:19">
      <c r="A74" s="715" t="str">
        <f>'数据-基础表'!C63</f>
        <v>1-1-203</v>
      </c>
      <c r="B74" s="715">
        <f>'数据-基础表'!I63</f>
        <v>92.59</v>
      </c>
      <c r="C74" s="24">
        <f t="shared" si="12"/>
        <v>1</v>
      </c>
      <c r="D74" s="717" t="s">
        <v>3384</v>
      </c>
      <c r="E74" s="24">
        <f t="shared" si="13"/>
        <v>1</v>
      </c>
      <c r="F74" s="717"/>
      <c r="G74" s="24">
        <f t="shared" si="14"/>
        <v>1</v>
      </c>
      <c r="H74" s="717"/>
      <c r="I74" s="24">
        <f t="shared" si="15"/>
        <v>1</v>
      </c>
      <c r="J74" s="717"/>
      <c r="K74" s="24">
        <f t="shared" si="16"/>
        <v>1</v>
      </c>
      <c r="L74" s="717"/>
      <c r="M74" s="24">
        <f t="shared" si="17"/>
        <v>1</v>
      </c>
      <c r="N74" s="717"/>
      <c r="O74" s="24">
        <f t="shared" si="18"/>
        <v>1</v>
      </c>
      <c r="P74" s="717" t="s">
        <v>3465</v>
      </c>
      <c r="Q74" s="24">
        <f t="shared" si="19"/>
        <v>1</v>
      </c>
      <c r="R74" s="713">
        <f t="shared" si="20"/>
        <v>35229</v>
      </c>
      <c r="S74" s="361">
        <f t="shared" si="21"/>
        <v>326</v>
      </c>
    </row>
    <row r="75" spans="1:19">
      <c r="A75" s="715" t="str">
        <f>'数据-基础表'!C64</f>
        <v>1-1-205</v>
      </c>
      <c r="B75" s="715">
        <f>'数据-基础表'!I64</f>
        <v>92.59</v>
      </c>
      <c r="C75" s="24">
        <f t="shared" si="12"/>
        <v>1</v>
      </c>
      <c r="D75" s="717" t="s">
        <v>3384</v>
      </c>
      <c r="E75" s="24">
        <f t="shared" si="13"/>
        <v>1</v>
      </c>
      <c r="F75" s="717"/>
      <c r="G75" s="24">
        <f t="shared" si="14"/>
        <v>1</v>
      </c>
      <c r="H75" s="717"/>
      <c r="I75" s="24">
        <f t="shared" si="15"/>
        <v>1</v>
      </c>
      <c r="J75" s="717"/>
      <c r="K75" s="24">
        <f t="shared" si="16"/>
        <v>1</v>
      </c>
      <c r="L75" s="717"/>
      <c r="M75" s="24">
        <f t="shared" si="17"/>
        <v>1</v>
      </c>
      <c r="N75" s="717"/>
      <c r="O75" s="24">
        <f t="shared" si="18"/>
        <v>1</v>
      </c>
      <c r="P75" s="717" t="s">
        <v>3465</v>
      </c>
      <c r="Q75" s="24">
        <f t="shared" si="19"/>
        <v>1</v>
      </c>
      <c r="R75" s="713">
        <f t="shared" si="20"/>
        <v>35229</v>
      </c>
      <c r="S75" s="361">
        <f t="shared" si="21"/>
        <v>326</v>
      </c>
    </row>
    <row r="76" spans="1:19">
      <c r="A76" s="715" t="str">
        <f>'数据-基础表'!C65</f>
        <v>1-1-207</v>
      </c>
      <c r="B76" s="715">
        <f>'数据-基础表'!I65</f>
        <v>92.59</v>
      </c>
      <c r="C76" s="24">
        <f t="shared" si="12"/>
        <v>1</v>
      </c>
      <c r="D76" s="717" t="s">
        <v>3384</v>
      </c>
      <c r="E76" s="24">
        <f t="shared" si="13"/>
        <v>1</v>
      </c>
      <c r="F76" s="717"/>
      <c r="G76" s="24">
        <f t="shared" si="14"/>
        <v>1</v>
      </c>
      <c r="H76" s="717"/>
      <c r="I76" s="24">
        <f t="shared" si="15"/>
        <v>1</v>
      </c>
      <c r="J76" s="717"/>
      <c r="K76" s="24">
        <f t="shared" si="16"/>
        <v>1</v>
      </c>
      <c r="L76" s="717"/>
      <c r="M76" s="24">
        <f t="shared" si="17"/>
        <v>1</v>
      </c>
      <c r="N76" s="717"/>
      <c r="O76" s="24">
        <f t="shared" si="18"/>
        <v>1</v>
      </c>
      <c r="P76" s="717" t="s">
        <v>3465</v>
      </c>
      <c r="Q76" s="24">
        <f t="shared" si="19"/>
        <v>1</v>
      </c>
      <c r="R76" s="713">
        <f t="shared" si="20"/>
        <v>35229</v>
      </c>
      <c r="S76" s="361">
        <f t="shared" si="21"/>
        <v>326</v>
      </c>
    </row>
    <row r="77" spans="1:19">
      <c r="A77" s="715" t="str">
        <f>'数据-基础表'!C66</f>
        <v>1-1-208</v>
      </c>
      <c r="B77" s="715">
        <f>'数据-基础表'!I66</f>
        <v>93.73</v>
      </c>
      <c r="C77" s="24">
        <f t="shared" si="12"/>
        <v>1</v>
      </c>
      <c r="D77" s="717" t="s">
        <v>3384</v>
      </c>
      <c r="E77" s="24">
        <f t="shared" si="13"/>
        <v>1</v>
      </c>
      <c r="F77" s="717"/>
      <c r="G77" s="24">
        <f t="shared" si="14"/>
        <v>1</v>
      </c>
      <c r="H77" s="717"/>
      <c r="I77" s="24">
        <f t="shared" si="15"/>
        <v>1</v>
      </c>
      <c r="J77" s="717"/>
      <c r="K77" s="24">
        <f t="shared" si="16"/>
        <v>1</v>
      </c>
      <c r="L77" s="717"/>
      <c r="M77" s="24">
        <f t="shared" si="17"/>
        <v>1</v>
      </c>
      <c r="N77" s="717"/>
      <c r="O77" s="24">
        <f t="shared" si="18"/>
        <v>1</v>
      </c>
      <c r="P77" s="717" t="s">
        <v>3465</v>
      </c>
      <c r="Q77" s="24">
        <f t="shared" si="19"/>
        <v>1</v>
      </c>
      <c r="R77" s="713">
        <f t="shared" si="20"/>
        <v>35229</v>
      </c>
      <c r="S77" s="361">
        <f t="shared" si="21"/>
        <v>330</v>
      </c>
    </row>
    <row r="78" spans="1:19">
      <c r="A78" s="715" t="str">
        <f>'数据-基础表'!C67</f>
        <v>1-1-209</v>
      </c>
      <c r="B78" s="715">
        <f>'数据-基础表'!I67</f>
        <v>91.54</v>
      </c>
      <c r="C78" s="24">
        <f t="shared" si="12"/>
        <v>1</v>
      </c>
      <c r="D78" s="717" t="s">
        <v>3384</v>
      </c>
      <c r="E78" s="24">
        <f t="shared" si="13"/>
        <v>1</v>
      </c>
      <c r="F78" s="717"/>
      <c r="G78" s="24">
        <f t="shared" si="14"/>
        <v>1</v>
      </c>
      <c r="H78" s="717"/>
      <c r="I78" s="24">
        <f t="shared" si="15"/>
        <v>1</v>
      </c>
      <c r="J78" s="717"/>
      <c r="K78" s="24">
        <f t="shared" si="16"/>
        <v>1</v>
      </c>
      <c r="L78" s="717"/>
      <c r="M78" s="24">
        <f t="shared" si="17"/>
        <v>1</v>
      </c>
      <c r="N78" s="717"/>
      <c r="O78" s="24">
        <f t="shared" si="18"/>
        <v>1</v>
      </c>
      <c r="P78" s="717" t="s">
        <v>3465</v>
      </c>
      <c r="Q78" s="24">
        <f t="shared" si="19"/>
        <v>1</v>
      </c>
      <c r="R78" s="713">
        <f t="shared" si="20"/>
        <v>35229</v>
      </c>
      <c r="S78" s="361">
        <f t="shared" ref="S78:S122" si="22">ROUND(R78*B78/10000,0)</f>
        <v>322</v>
      </c>
    </row>
    <row r="79" spans="1:19">
      <c r="A79" s="715" t="str">
        <f>'数据-基础表'!C68</f>
        <v>1-1-212</v>
      </c>
      <c r="B79" s="715">
        <f>'数据-基础表'!I68</f>
        <v>65.69</v>
      </c>
      <c r="C79" s="24">
        <f t="shared" si="12"/>
        <v>1</v>
      </c>
      <c r="D79" s="717" t="s">
        <v>3384</v>
      </c>
      <c r="E79" s="24">
        <f t="shared" si="13"/>
        <v>1</v>
      </c>
      <c r="F79" s="717"/>
      <c r="G79" s="24">
        <f t="shared" si="14"/>
        <v>1</v>
      </c>
      <c r="H79" s="717"/>
      <c r="I79" s="24">
        <f t="shared" si="15"/>
        <v>1</v>
      </c>
      <c r="J79" s="717"/>
      <c r="K79" s="24">
        <f t="shared" si="16"/>
        <v>1</v>
      </c>
      <c r="L79" s="717"/>
      <c r="M79" s="24">
        <f t="shared" si="17"/>
        <v>1</v>
      </c>
      <c r="N79" s="717"/>
      <c r="O79" s="24">
        <f t="shared" si="18"/>
        <v>1</v>
      </c>
      <c r="P79" s="717" t="s">
        <v>3465</v>
      </c>
      <c r="Q79" s="24">
        <f t="shared" si="19"/>
        <v>1</v>
      </c>
      <c r="R79" s="713">
        <f t="shared" si="20"/>
        <v>35229</v>
      </c>
      <c r="S79" s="361">
        <f t="shared" si="22"/>
        <v>231</v>
      </c>
    </row>
    <row r="80" spans="1:19">
      <c r="A80" s="715" t="str">
        <f>'数据-基础表'!C69</f>
        <v>1-1-214</v>
      </c>
      <c r="B80" s="715">
        <f>'数据-基础表'!I69</f>
        <v>90.57</v>
      </c>
      <c r="C80" s="24">
        <f t="shared" si="12"/>
        <v>1</v>
      </c>
      <c r="D80" s="717" t="s">
        <v>3384</v>
      </c>
      <c r="E80" s="24">
        <f t="shared" si="13"/>
        <v>1</v>
      </c>
      <c r="F80" s="717"/>
      <c r="G80" s="24">
        <f t="shared" si="14"/>
        <v>1</v>
      </c>
      <c r="H80" s="717"/>
      <c r="I80" s="24">
        <f t="shared" si="15"/>
        <v>1</v>
      </c>
      <c r="J80" s="717"/>
      <c r="K80" s="24">
        <f t="shared" si="16"/>
        <v>1</v>
      </c>
      <c r="L80" s="717"/>
      <c r="M80" s="24">
        <f t="shared" si="17"/>
        <v>1</v>
      </c>
      <c r="N80" s="717"/>
      <c r="O80" s="24">
        <f t="shared" si="18"/>
        <v>1</v>
      </c>
      <c r="P80" s="717" t="s">
        <v>3465</v>
      </c>
      <c r="Q80" s="24">
        <f t="shared" si="19"/>
        <v>1</v>
      </c>
      <c r="R80" s="713">
        <f t="shared" si="20"/>
        <v>35229</v>
      </c>
      <c r="S80" s="361">
        <f t="shared" si="22"/>
        <v>319</v>
      </c>
    </row>
    <row r="81" spans="1:19">
      <c r="A81" s="715" t="str">
        <f>'数据-基础表'!C70</f>
        <v>1-1-310</v>
      </c>
      <c r="B81" s="715">
        <f>'数据-基础表'!I70</f>
        <v>92.59</v>
      </c>
      <c r="C81" s="24">
        <f t="shared" si="12"/>
        <v>1</v>
      </c>
      <c r="D81" s="717" t="s">
        <v>3384</v>
      </c>
      <c r="E81" s="24">
        <f t="shared" si="13"/>
        <v>1</v>
      </c>
      <c r="F81" s="717"/>
      <c r="G81" s="24">
        <f t="shared" si="14"/>
        <v>1</v>
      </c>
      <c r="H81" s="717"/>
      <c r="I81" s="24">
        <f t="shared" si="15"/>
        <v>1</v>
      </c>
      <c r="J81" s="717"/>
      <c r="K81" s="24">
        <f t="shared" si="16"/>
        <v>1</v>
      </c>
      <c r="L81" s="717"/>
      <c r="M81" s="24">
        <f t="shared" si="17"/>
        <v>1</v>
      </c>
      <c r="N81" s="717"/>
      <c r="O81" s="24">
        <f t="shared" si="18"/>
        <v>1</v>
      </c>
      <c r="P81" s="717" t="s">
        <v>3465</v>
      </c>
      <c r="Q81" s="24">
        <f t="shared" si="19"/>
        <v>1</v>
      </c>
      <c r="R81" s="713">
        <f t="shared" si="20"/>
        <v>35229</v>
      </c>
      <c r="S81" s="361">
        <f t="shared" si="22"/>
        <v>326</v>
      </c>
    </row>
    <row r="82" spans="1:19">
      <c r="A82" s="715" t="str">
        <f>'数据-基础表'!C71</f>
        <v>1-1-406</v>
      </c>
      <c r="B82" s="715">
        <f>'数据-基础表'!I71</f>
        <v>92.59</v>
      </c>
      <c r="C82" s="24">
        <f t="shared" si="12"/>
        <v>1</v>
      </c>
      <c r="D82" s="717" t="s">
        <v>3384</v>
      </c>
      <c r="E82" s="24">
        <f t="shared" si="13"/>
        <v>1</v>
      </c>
      <c r="F82" s="717"/>
      <c r="G82" s="24">
        <f t="shared" si="14"/>
        <v>1</v>
      </c>
      <c r="H82" s="717"/>
      <c r="I82" s="24">
        <f t="shared" si="15"/>
        <v>1</v>
      </c>
      <c r="J82" s="717"/>
      <c r="K82" s="24">
        <f t="shared" si="16"/>
        <v>1</v>
      </c>
      <c r="L82" s="717"/>
      <c r="M82" s="24">
        <f t="shared" si="17"/>
        <v>1</v>
      </c>
      <c r="N82" s="717"/>
      <c r="O82" s="24">
        <f t="shared" si="18"/>
        <v>1</v>
      </c>
      <c r="P82" s="717" t="s">
        <v>3464</v>
      </c>
      <c r="Q82" s="24">
        <f t="shared" si="19"/>
        <v>1.02</v>
      </c>
      <c r="R82" s="713">
        <f t="shared" si="20"/>
        <v>35934</v>
      </c>
      <c r="S82" s="361">
        <f t="shared" si="22"/>
        <v>333</v>
      </c>
    </row>
    <row r="83" spans="1:19">
      <c r="A83" s="715" t="str">
        <f>'数据-基础表'!C72</f>
        <v>1-1-603</v>
      </c>
      <c r="B83" s="715">
        <f>'数据-基础表'!I72</f>
        <v>92.59</v>
      </c>
      <c r="C83" s="24">
        <f t="shared" si="12"/>
        <v>1</v>
      </c>
      <c r="D83" s="717" t="s">
        <v>3384</v>
      </c>
      <c r="E83" s="24">
        <f t="shared" si="13"/>
        <v>1</v>
      </c>
      <c r="F83" s="717"/>
      <c r="G83" s="24">
        <f t="shared" si="14"/>
        <v>1</v>
      </c>
      <c r="H83" s="717"/>
      <c r="I83" s="24">
        <f t="shared" si="15"/>
        <v>1</v>
      </c>
      <c r="J83" s="717"/>
      <c r="K83" s="24">
        <f t="shared" si="16"/>
        <v>1</v>
      </c>
      <c r="L83" s="717"/>
      <c r="M83" s="24">
        <f t="shared" si="17"/>
        <v>1</v>
      </c>
      <c r="N83" s="717"/>
      <c r="O83" s="24">
        <f t="shared" si="18"/>
        <v>1</v>
      </c>
      <c r="P83" s="717" t="s">
        <v>3464</v>
      </c>
      <c r="Q83" s="24">
        <f t="shared" si="19"/>
        <v>1.02</v>
      </c>
      <c r="R83" s="713">
        <f t="shared" si="20"/>
        <v>35934</v>
      </c>
      <c r="S83" s="361">
        <f t="shared" si="22"/>
        <v>333</v>
      </c>
    </row>
    <row r="84" spans="1:19">
      <c r="A84" s="715" t="str">
        <f>'数据-基础表'!C73</f>
        <v>1-1-904</v>
      </c>
      <c r="B84" s="715">
        <f>'数据-基础表'!I73</f>
        <v>92.59</v>
      </c>
      <c r="C84" s="24">
        <f t="shared" si="12"/>
        <v>1</v>
      </c>
      <c r="D84" s="717" t="s">
        <v>3384</v>
      </c>
      <c r="E84" s="24">
        <f t="shared" si="13"/>
        <v>1</v>
      </c>
      <c r="F84" s="717"/>
      <c r="G84" s="24">
        <f t="shared" si="14"/>
        <v>1</v>
      </c>
      <c r="H84" s="717"/>
      <c r="I84" s="24">
        <f t="shared" si="15"/>
        <v>1</v>
      </c>
      <c r="J84" s="717"/>
      <c r="K84" s="24">
        <f t="shared" si="16"/>
        <v>1</v>
      </c>
      <c r="L84" s="717"/>
      <c r="M84" s="24">
        <f t="shared" si="17"/>
        <v>1</v>
      </c>
      <c r="N84" s="717"/>
      <c r="O84" s="24">
        <f t="shared" si="18"/>
        <v>1</v>
      </c>
      <c r="P84" s="717" t="s">
        <v>3463</v>
      </c>
      <c r="Q84" s="24">
        <f t="shared" si="19"/>
        <v>1.04</v>
      </c>
      <c r="R84" s="713">
        <f t="shared" si="20"/>
        <v>36638</v>
      </c>
      <c r="S84" s="361">
        <f t="shared" si="22"/>
        <v>339</v>
      </c>
    </row>
    <row r="85" spans="1:19">
      <c r="A85" s="715" t="str">
        <f>'数据-基础表'!C74</f>
        <v>1-2-203</v>
      </c>
      <c r="B85" s="715">
        <f>'数据-基础表'!I74</f>
        <v>92.59</v>
      </c>
      <c r="C85" s="24">
        <f t="shared" si="12"/>
        <v>1</v>
      </c>
      <c r="D85" s="717" t="s">
        <v>3384</v>
      </c>
      <c r="E85" s="24">
        <f t="shared" si="13"/>
        <v>1</v>
      </c>
      <c r="F85" s="717"/>
      <c r="G85" s="24">
        <f t="shared" si="14"/>
        <v>1</v>
      </c>
      <c r="H85" s="717"/>
      <c r="I85" s="24">
        <f t="shared" si="15"/>
        <v>1</v>
      </c>
      <c r="J85" s="717"/>
      <c r="K85" s="24">
        <f t="shared" si="16"/>
        <v>1</v>
      </c>
      <c r="L85" s="717"/>
      <c r="M85" s="24">
        <f t="shared" si="17"/>
        <v>1</v>
      </c>
      <c r="N85" s="717"/>
      <c r="O85" s="24">
        <f t="shared" si="18"/>
        <v>1</v>
      </c>
      <c r="P85" s="717" t="s">
        <v>3465</v>
      </c>
      <c r="Q85" s="24">
        <f t="shared" si="19"/>
        <v>1</v>
      </c>
      <c r="R85" s="713">
        <f t="shared" si="20"/>
        <v>35229</v>
      </c>
      <c r="S85" s="361">
        <f t="shared" si="22"/>
        <v>326</v>
      </c>
    </row>
    <row r="86" spans="1:19">
      <c r="A86" s="715" t="str">
        <f>'数据-基础表'!C75</f>
        <v>1-2-204</v>
      </c>
      <c r="B86" s="715">
        <f>'数据-基础表'!I75</f>
        <v>92.59</v>
      </c>
      <c r="C86" s="24">
        <f t="shared" si="12"/>
        <v>1</v>
      </c>
      <c r="D86" s="717" t="s">
        <v>3384</v>
      </c>
      <c r="E86" s="24">
        <f t="shared" si="13"/>
        <v>1</v>
      </c>
      <c r="F86" s="717"/>
      <c r="G86" s="24">
        <f t="shared" si="14"/>
        <v>1</v>
      </c>
      <c r="H86" s="717"/>
      <c r="I86" s="24">
        <f t="shared" si="15"/>
        <v>1</v>
      </c>
      <c r="J86" s="717"/>
      <c r="K86" s="24">
        <f t="shared" si="16"/>
        <v>1</v>
      </c>
      <c r="L86" s="717"/>
      <c r="M86" s="24">
        <f t="shared" si="17"/>
        <v>1</v>
      </c>
      <c r="N86" s="717"/>
      <c r="O86" s="24">
        <f t="shared" si="18"/>
        <v>1</v>
      </c>
      <c r="P86" s="717" t="s">
        <v>3465</v>
      </c>
      <c r="Q86" s="24">
        <f t="shared" si="19"/>
        <v>1</v>
      </c>
      <c r="R86" s="713">
        <f t="shared" si="20"/>
        <v>35229</v>
      </c>
      <c r="S86" s="361">
        <f t="shared" si="22"/>
        <v>326</v>
      </c>
    </row>
    <row r="87" spans="1:19">
      <c r="A87" s="715" t="str">
        <f>'数据-基础表'!C76</f>
        <v>1-2-207</v>
      </c>
      <c r="B87" s="715">
        <f>'数据-基础表'!I76</f>
        <v>92.59</v>
      </c>
      <c r="C87" s="24">
        <f t="shared" si="12"/>
        <v>1</v>
      </c>
      <c r="D87" s="717" t="s">
        <v>3384</v>
      </c>
      <c r="E87" s="24">
        <f t="shared" si="13"/>
        <v>1</v>
      </c>
      <c r="F87" s="717"/>
      <c r="G87" s="24">
        <f t="shared" si="14"/>
        <v>1</v>
      </c>
      <c r="H87" s="717"/>
      <c r="I87" s="24">
        <f t="shared" si="15"/>
        <v>1</v>
      </c>
      <c r="J87" s="717"/>
      <c r="K87" s="24">
        <f t="shared" si="16"/>
        <v>1</v>
      </c>
      <c r="L87" s="717"/>
      <c r="M87" s="24">
        <f t="shared" si="17"/>
        <v>1</v>
      </c>
      <c r="N87" s="717"/>
      <c r="O87" s="24">
        <f t="shared" si="18"/>
        <v>1</v>
      </c>
      <c r="P87" s="717" t="s">
        <v>3465</v>
      </c>
      <c r="Q87" s="24">
        <f t="shared" si="19"/>
        <v>1</v>
      </c>
      <c r="R87" s="713">
        <f t="shared" si="20"/>
        <v>35229</v>
      </c>
      <c r="S87" s="361">
        <f t="shared" si="22"/>
        <v>326</v>
      </c>
    </row>
    <row r="88" spans="1:19">
      <c r="A88" s="715" t="str">
        <f>'数据-基础表'!C77</f>
        <v>1-2-214</v>
      </c>
      <c r="B88" s="715">
        <f>'数据-基础表'!I77</f>
        <v>92.59</v>
      </c>
      <c r="C88" s="24">
        <f t="shared" si="12"/>
        <v>1</v>
      </c>
      <c r="D88" s="717" t="s">
        <v>3384</v>
      </c>
      <c r="E88" s="24">
        <f t="shared" si="13"/>
        <v>1</v>
      </c>
      <c r="F88" s="717"/>
      <c r="G88" s="24">
        <f t="shared" si="14"/>
        <v>1</v>
      </c>
      <c r="H88" s="717"/>
      <c r="I88" s="24">
        <f t="shared" si="15"/>
        <v>1</v>
      </c>
      <c r="J88" s="717"/>
      <c r="K88" s="24">
        <f t="shared" si="16"/>
        <v>1</v>
      </c>
      <c r="L88" s="717"/>
      <c r="M88" s="24">
        <f t="shared" si="17"/>
        <v>1</v>
      </c>
      <c r="N88" s="717"/>
      <c r="O88" s="24">
        <f t="shared" si="18"/>
        <v>1</v>
      </c>
      <c r="P88" s="717" t="s">
        <v>3465</v>
      </c>
      <c r="Q88" s="24">
        <f t="shared" si="19"/>
        <v>1</v>
      </c>
      <c r="R88" s="713">
        <f t="shared" si="20"/>
        <v>35229</v>
      </c>
      <c r="S88" s="361">
        <f t="shared" si="22"/>
        <v>326</v>
      </c>
    </row>
    <row r="89" spans="1:19">
      <c r="A89" s="715" t="str">
        <f>'数据-基础表'!C78</f>
        <v>1-2-902</v>
      </c>
      <c r="B89" s="715">
        <f>'数据-基础表'!I78</f>
        <v>92.59</v>
      </c>
      <c r="C89" s="24">
        <f t="shared" si="12"/>
        <v>1</v>
      </c>
      <c r="D89" s="717" t="s">
        <v>3384</v>
      </c>
      <c r="E89" s="24">
        <f t="shared" si="13"/>
        <v>1</v>
      </c>
      <c r="F89" s="717"/>
      <c r="G89" s="24">
        <f t="shared" si="14"/>
        <v>1</v>
      </c>
      <c r="H89" s="717"/>
      <c r="I89" s="24">
        <f t="shared" si="15"/>
        <v>1</v>
      </c>
      <c r="J89" s="717"/>
      <c r="K89" s="24">
        <f t="shared" si="16"/>
        <v>1</v>
      </c>
      <c r="L89" s="717"/>
      <c r="M89" s="24">
        <f t="shared" si="17"/>
        <v>1</v>
      </c>
      <c r="N89" s="717"/>
      <c r="O89" s="24">
        <f t="shared" si="18"/>
        <v>1</v>
      </c>
      <c r="P89" s="717" t="s">
        <v>3463</v>
      </c>
      <c r="Q89" s="24">
        <f t="shared" si="19"/>
        <v>1.04</v>
      </c>
      <c r="R89" s="713">
        <f t="shared" si="20"/>
        <v>36638</v>
      </c>
      <c r="S89" s="361">
        <f t="shared" si="22"/>
        <v>339</v>
      </c>
    </row>
    <row r="90" spans="1:19">
      <c r="A90" s="715" t="str">
        <f>'数据-基础表'!C79</f>
        <v>1-2-903</v>
      </c>
      <c r="B90" s="715">
        <f>'数据-基础表'!I79</f>
        <v>92.59</v>
      </c>
      <c r="C90" s="24">
        <f t="shared" ref="C90:C153" si="23">IF(B90="",1,(LOOKUP(B90,$3:$3,$4:$4)-LOOKUP($B$24,$3:$3,$4:$4)+100)/100)</f>
        <v>1</v>
      </c>
      <c r="D90" s="717" t="s">
        <v>3384</v>
      </c>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t="s">
        <v>3463</v>
      </c>
      <c r="Q90" s="24">
        <f t="shared" ref="Q90:Q153" si="30">(SUMIF($17:$17,P90,$18:$18)-SUMIF($17:$17,$P$24,$18:$18)+100)/100</f>
        <v>1.04</v>
      </c>
      <c r="R90" s="713">
        <f t="shared" ref="R90:R153" si="31">IF(B90="",0,ROUND($R$24*C90*E90*G90*I90*K90*M90*O90*Q90,0))</f>
        <v>36638</v>
      </c>
      <c r="S90" s="361">
        <f t="shared" si="22"/>
        <v>339</v>
      </c>
    </row>
    <row r="91" spans="1:19">
      <c r="A91" s="715" t="str">
        <f>'数据-基础表'!C80</f>
        <v>1-2-904</v>
      </c>
      <c r="B91" s="715">
        <f>'数据-基础表'!I80</f>
        <v>92.59</v>
      </c>
      <c r="C91" s="24">
        <f t="shared" si="23"/>
        <v>1</v>
      </c>
      <c r="D91" s="717" t="s">
        <v>3384</v>
      </c>
      <c r="E91" s="24">
        <f t="shared" si="24"/>
        <v>1</v>
      </c>
      <c r="F91" s="717"/>
      <c r="G91" s="24">
        <f t="shared" si="25"/>
        <v>1</v>
      </c>
      <c r="H91" s="717"/>
      <c r="I91" s="24">
        <f t="shared" si="26"/>
        <v>1</v>
      </c>
      <c r="J91" s="717"/>
      <c r="K91" s="24">
        <f t="shared" si="27"/>
        <v>1</v>
      </c>
      <c r="L91" s="717"/>
      <c r="M91" s="24">
        <f t="shared" si="28"/>
        <v>1</v>
      </c>
      <c r="N91" s="717"/>
      <c r="O91" s="24">
        <f t="shared" si="29"/>
        <v>1</v>
      </c>
      <c r="P91" s="717" t="s">
        <v>3463</v>
      </c>
      <c r="Q91" s="24">
        <f t="shared" si="30"/>
        <v>1.04</v>
      </c>
      <c r="R91" s="713">
        <f t="shared" si="31"/>
        <v>36638</v>
      </c>
      <c r="S91" s="361">
        <f t="shared" si="22"/>
        <v>339</v>
      </c>
    </row>
    <row r="92" spans="1:19">
      <c r="A92" s="715" t="str">
        <f>'数据-基础表'!C81</f>
        <v>1-2-905</v>
      </c>
      <c r="B92" s="715">
        <f>'数据-基础表'!I81</f>
        <v>92.59</v>
      </c>
      <c r="C92" s="24">
        <f t="shared" si="23"/>
        <v>1</v>
      </c>
      <c r="D92" s="717" t="s">
        <v>3384</v>
      </c>
      <c r="E92" s="24">
        <f t="shared" si="24"/>
        <v>1</v>
      </c>
      <c r="F92" s="717"/>
      <c r="G92" s="24">
        <f t="shared" si="25"/>
        <v>1</v>
      </c>
      <c r="H92" s="717"/>
      <c r="I92" s="24">
        <f t="shared" si="26"/>
        <v>1</v>
      </c>
      <c r="J92" s="717"/>
      <c r="K92" s="24">
        <f t="shared" si="27"/>
        <v>1</v>
      </c>
      <c r="L92" s="717"/>
      <c r="M92" s="24">
        <f t="shared" si="28"/>
        <v>1</v>
      </c>
      <c r="N92" s="717"/>
      <c r="O92" s="24">
        <f t="shared" si="29"/>
        <v>1</v>
      </c>
      <c r="P92" s="717" t="s">
        <v>3463</v>
      </c>
      <c r="Q92" s="24">
        <f t="shared" si="30"/>
        <v>1.04</v>
      </c>
      <c r="R92" s="713">
        <f t="shared" si="31"/>
        <v>36638</v>
      </c>
      <c r="S92" s="361">
        <f t="shared" si="22"/>
        <v>339</v>
      </c>
    </row>
    <row r="93" spans="1:19">
      <c r="A93" s="715" t="str">
        <f>'数据-基础表'!C82</f>
        <v>1-3-201</v>
      </c>
      <c r="B93" s="715">
        <f>'数据-基础表'!I82</f>
        <v>93.73</v>
      </c>
      <c r="C93" s="24">
        <f t="shared" si="23"/>
        <v>1</v>
      </c>
      <c r="D93" s="717" t="s">
        <v>3384</v>
      </c>
      <c r="E93" s="24">
        <f t="shared" si="24"/>
        <v>1</v>
      </c>
      <c r="F93" s="717"/>
      <c r="G93" s="24">
        <f t="shared" si="25"/>
        <v>1</v>
      </c>
      <c r="H93" s="717"/>
      <c r="I93" s="24">
        <f t="shared" si="26"/>
        <v>1</v>
      </c>
      <c r="J93" s="717"/>
      <c r="K93" s="24">
        <f t="shared" si="27"/>
        <v>1</v>
      </c>
      <c r="L93" s="717"/>
      <c r="M93" s="24">
        <f t="shared" si="28"/>
        <v>1</v>
      </c>
      <c r="N93" s="717"/>
      <c r="O93" s="24">
        <f t="shared" si="29"/>
        <v>1</v>
      </c>
      <c r="P93" s="717" t="s">
        <v>3465</v>
      </c>
      <c r="Q93" s="24">
        <f t="shared" si="30"/>
        <v>1</v>
      </c>
      <c r="R93" s="713">
        <f t="shared" si="31"/>
        <v>35229</v>
      </c>
      <c r="S93" s="361">
        <f t="shared" si="22"/>
        <v>330</v>
      </c>
    </row>
    <row r="94" spans="1:19">
      <c r="A94" s="715" t="str">
        <f>'数据-基础表'!C83</f>
        <v>1-3-202</v>
      </c>
      <c r="B94" s="715">
        <f>'数据-基础表'!I83</f>
        <v>92.59</v>
      </c>
      <c r="C94" s="24">
        <f t="shared" si="23"/>
        <v>1</v>
      </c>
      <c r="D94" s="717" t="s">
        <v>3384</v>
      </c>
      <c r="E94" s="24">
        <f t="shared" si="24"/>
        <v>1</v>
      </c>
      <c r="F94" s="717"/>
      <c r="G94" s="24">
        <f t="shared" si="25"/>
        <v>1</v>
      </c>
      <c r="H94" s="717"/>
      <c r="I94" s="24">
        <f t="shared" si="26"/>
        <v>1</v>
      </c>
      <c r="J94" s="717"/>
      <c r="K94" s="24">
        <f t="shared" si="27"/>
        <v>1</v>
      </c>
      <c r="L94" s="717"/>
      <c r="M94" s="24">
        <f t="shared" si="28"/>
        <v>1</v>
      </c>
      <c r="N94" s="717"/>
      <c r="O94" s="24">
        <f t="shared" si="29"/>
        <v>1</v>
      </c>
      <c r="P94" s="717" t="s">
        <v>3465</v>
      </c>
      <c r="Q94" s="24">
        <f t="shared" si="30"/>
        <v>1</v>
      </c>
      <c r="R94" s="713">
        <f t="shared" si="31"/>
        <v>35229</v>
      </c>
      <c r="S94" s="361">
        <f t="shared" si="22"/>
        <v>326</v>
      </c>
    </row>
    <row r="95" spans="1:19">
      <c r="A95" s="715" t="str">
        <f>'数据-基础表'!C84</f>
        <v>1-3-203</v>
      </c>
      <c r="B95" s="715">
        <f>'数据-基础表'!I84</f>
        <v>92.59</v>
      </c>
      <c r="C95" s="24">
        <f t="shared" si="23"/>
        <v>1</v>
      </c>
      <c r="D95" s="717" t="s">
        <v>3384</v>
      </c>
      <c r="E95" s="24">
        <f t="shared" si="24"/>
        <v>1</v>
      </c>
      <c r="F95" s="717"/>
      <c r="G95" s="24">
        <f t="shared" si="25"/>
        <v>1</v>
      </c>
      <c r="H95" s="717"/>
      <c r="I95" s="24">
        <f t="shared" si="26"/>
        <v>1</v>
      </c>
      <c r="J95" s="717"/>
      <c r="K95" s="24">
        <f t="shared" si="27"/>
        <v>1</v>
      </c>
      <c r="L95" s="717"/>
      <c r="M95" s="24">
        <f t="shared" si="28"/>
        <v>1</v>
      </c>
      <c r="N95" s="717"/>
      <c r="O95" s="24">
        <f t="shared" si="29"/>
        <v>1</v>
      </c>
      <c r="P95" s="717" t="s">
        <v>3465</v>
      </c>
      <c r="Q95" s="24">
        <f t="shared" si="30"/>
        <v>1</v>
      </c>
      <c r="R95" s="713">
        <f t="shared" si="31"/>
        <v>35229</v>
      </c>
      <c r="S95" s="361">
        <f t="shared" si="22"/>
        <v>326</v>
      </c>
    </row>
    <row r="96" spans="1:19">
      <c r="A96" s="715" t="str">
        <f>'数据-基础表'!C85</f>
        <v>1-3-204</v>
      </c>
      <c r="B96" s="715">
        <f>'数据-基础表'!I85</f>
        <v>92.59</v>
      </c>
      <c r="C96" s="24">
        <f t="shared" si="23"/>
        <v>1</v>
      </c>
      <c r="D96" s="717" t="s">
        <v>3384</v>
      </c>
      <c r="E96" s="24">
        <f t="shared" si="24"/>
        <v>1</v>
      </c>
      <c r="F96" s="717"/>
      <c r="G96" s="24">
        <f t="shared" si="25"/>
        <v>1</v>
      </c>
      <c r="H96" s="717"/>
      <c r="I96" s="24">
        <f t="shared" si="26"/>
        <v>1</v>
      </c>
      <c r="J96" s="717"/>
      <c r="K96" s="24">
        <f t="shared" si="27"/>
        <v>1</v>
      </c>
      <c r="L96" s="717"/>
      <c r="M96" s="24">
        <f t="shared" si="28"/>
        <v>1</v>
      </c>
      <c r="N96" s="717"/>
      <c r="O96" s="24">
        <f t="shared" si="29"/>
        <v>1</v>
      </c>
      <c r="P96" s="717" t="s">
        <v>3465</v>
      </c>
      <c r="Q96" s="24">
        <f t="shared" si="30"/>
        <v>1</v>
      </c>
      <c r="R96" s="713">
        <f t="shared" si="31"/>
        <v>35229</v>
      </c>
      <c r="S96" s="361">
        <f t="shared" si="22"/>
        <v>326</v>
      </c>
    </row>
    <row r="97" spans="1:19">
      <c r="A97" s="715" t="str">
        <f>'数据-基础表'!C86</f>
        <v>1-3-205</v>
      </c>
      <c r="B97" s="715">
        <f>'数据-基础表'!I86</f>
        <v>92.59</v>
      </c>
      <c r="C97" s="24">
        <f t="shared" si="23"/>
        <v>1</v>
      </c>
      <c r="D97" s="717" t="s">
        <v>3384</v>
      </c>
      <c r="E97" s="24">
        <f t="shared" si="24"/>
        <v>1</v>
      </c>
      <c r="F97" s="717"/>
      <c r="G97" s="24">
        <f t="shared" si="25"/>
        <v>1</v>
      </c>
      <c r="H97" s="717"/>
      <c r="I97" s="24">
        <f t="shared" si="26"/>
        <v>1</v>
      </c>
      <c r="J97" s="717"/>
      <c r="K97" s="24">
        <f t="shared" si="27"/>
        <v>1</v>
      </c>
      <c r="L97" s="717"/>
      <c r="M97" s="24">
        <f t="shared" si="28"/>
        <v>1</v>
      </c>
      <c r="N97" s="717"/>
      <c r="O97" s="24">
        <f t="shared" si="29"/>
        <v>1</v>
      </c>
      <c r="P97" s="717" t="s">
        <v>3465</v>
      </c>
      <c r="Q97" s="24">
        <f t="shared" si="30"/>
        <v>1</v>
      </c>
      <c r="R97" s="713">
        <f t="shared" si="31"/>
        <v>35229</v>
      </c>
      <c r="S97" s="361">
        <f t="shared" si="22"/>
        <v>326</v>
      </c>
    </row>
    <row r="98" spans="1:19">
      <c r="A98" s="715" t="str">
        <f>'数据-基础表'!C87</f>
        <v>1-3-206</v>
      </c>
      <c r="B98" s="715">
        <f>'数据-基础表'!I87</f>
        <v>92.59</v>
      </c>
      <c r="C98" s="24">
        <f t="shared" si="23"/>
        <v>1</v>
      </c>
      <c r="D98" s="717" t="s">
        <v>3384</v>
      </c>
      <c r="E98" s="24">
        <f t="shared" si="24"/>
        <v>1</v>
      </c>
      <c r="F98" s="717"/>
      <c r="G98" s="24">
        <f t="shared" si="25"/>
        <v>1</v>
      </c>
      <c r="H98" s="717"/>
      <c r="I98" s="24">
        <f t="shared" si="26"/>
        <v>1</v>
      </c>
      <c r="J98" s="717"/>
      <c r="K98" s="24">
        <f t="shared" si="27"/>
        <v>1</v>
      </c>
      <c r="L98" s="717"/>
      <c r="M98" s="24">
        <f t="shared" si="28"/>
        <v>1</v>
      </c>
      <c r="N98" s="717"/>
      <c r="O98" s="24">
        <f t="shared" si="29"/>
        <v>1</v>
      </c>
      <c r="P98" s="717" t="s">
        <v>3465</v>
      </c>
      <c r="Q98" s="24">
        <f t="shared" si="30"/>
        <v>1</v>
      </c>
      <c r="R98" s="713">
        <f t="shared" si="31"/>
        <v>35229</v>
      </c>
      <c r="S98" s="361">
        <f t="shared" si="22"/>
        <v>326</v>
      </c>
    </row>
    <row r="99" spans="1:19">
      <c r="A99" s="715" t="str">
        <f>'数据-基础表'!C88</f>
        <v>1-3-207</v>
      </c>
      <c r="B99" s="715">
        <f>'数据-基础表'!I88</f>
        <v>92.59</v>
      </c>
      <c r="C99" s="24">
        <f t="shared" si="23"/>
        <v>1</v>
      </c>
      <c r="D99" s="717" t="s">
        <v>3384</v>
      </c>
      <c r="E99" s="24">
        <f t="shared" si="24"/>
        <v>1</v>
      </c>
      <c r="F99" s="717"/>
      <c r="G99" s="24">
        <f t="shared" si="25"/>
        <v>1</v>
      </c>
      <c r="H99" s="717"/>
      <c r="I99" s="24">
        <f t="shared" si="26"/>
        <v>1</v>
      </c>
      <c r="J99" s="717"/>
      <c r="K99" s="24">
        <f t="shared" si="27"/>
        <v>1</v>
      </c>
      <c r="L99" s="717"/>
      <c r="M99" s="24">
        <f t="shared" si="28"/>
        <v>1</v>
      </c>
      <c r="N99" s="717"/>
      <c r="O99" s="24">
        <f t="shared" si="29"/>
        <v>1</v>
      </c>
      <c r="P99" s="717" t="s">
        <v>3465</v>
      </c>
      <c r="Q99" s="24">
        <f t="shared" si="30"/>
        <v>1</v>
      </c>
      <c r="R99" s="713">
        <f t="shared" si="31"/>
        <v>35229</v>
      </c>
      <c r="S99" s="361">
        <f t="shared" si="22"/>
        <v>326</v>
      </c>
    </row>
    <row r="100" spans="1:19">
      <c r="A100" s="715" t="str">
        <f>'数据-基础表'!C89</f>
        <v>1-3-210</v>
      </c>
      <c r="B100" s="715">
        <f>'数据-基础表'!I89</f>
        <v>92.59</v>
      </c>
      <c r="C100" s="24">
        <f t="shared" si="23"/>
        <v>1</v>
      </c>
      <c r="D100" s="717" t="s">
        <v>3384</v>
      </c>
      <c r="E100" s="24">
        <f t="shared" si="24"/>
        <v>1</v>
      </c>
      <c r="F100" s="717"/>
      <c r="G100" s="24">
        <f t="shared" si="25"/>
        <v>1</v>
      </c>
      <c r="H100" s="717"/>
      <c r="I100" s="24">
        <f t="shared" si="26"/>
        <v>1</v>
      </c>
      <c r="J100" s="717"/>
      <c r="K100" s="24">
        <f t="shared" si="27"/>
        <v>1</v>
      </c>
      <c r="L100" s="717"/>
      <c r="M100" s="24">
        <f t="shared" si="28"/>
        <v>1</v>
      </c>
      <c r="N100" s="717"/>
      <c r="O100" s="24">
        <f t="shared" si="29"/>
        <v>1</v>
      </c>
      <c r="P100" s="717" t="s">
        <v>3465</v>
      </c>
      <c r="Q100" s="24">
        <f t="shared" si="30"/>
        <v>1</v>
      </c>
      <c r="R100" s="713">
        <f t="shared" si="31"/>
        <v>35229</v>
      </c>
      <c r="S100" s="361">
        <f t="shared" si="22"/>
        <v>326</v>
      </c>
    </row>
    <row r="101" spans="1:19">
      <c r="A101" s="715" t="str">
        <f>'数据-基础表'!C90</f>
        <v>1-3-314</v>
      </c>
      <c r="B101" s="715">
        <f>'数据-基础表'!I90</f>
        <v>92.59</v>
      </c>
      <c r="C101" s="24">
        <f t="shared" si="23"/>
        <v>1</v>
      </c>
      <c r="D101" s="717" t="s">
        <v>3384</v>
      </c>
      <c r="E101" s="24">
        <f t="shared" si="24"/>
        <v>1</v>
      </c>
      <c r="F101" s="717"/>
      <c r="G101" s="24">
        <f t="shared" si="25"/>
        <v>1</v>
      </c>
      <c r="H101" s="717"/>
      <c r="I101" s="24">
        <f t="shared" si="26"/>
        <v>1</v>
      </c>
      <c r="J101" s="717"/>
      <c r="K101" s="24">
        <f t="shared" si="27"/>
        <v>1</v>
      </c>
      <c r="L101" s="717"/>
      <c r="M101" s="24">
        <f t="shared" si="28"/>
        <v>1</v>
      </c>
      <c r="N101" s="717"/>
      <c r="O101" s="24">
        <f t="shared" si="29"/>
        <v>1</v>
      </c>
      <c r="P101" s="717" t="s">
        <v>3465</v>
      </c>
      <c r="Q101" s="24">
        <f t="shared" si="30"/>
        <v>1</v>
      </c>
      <c r="R101" s="713">
        <f t="shared" si="31"/>
        <v>35229</v>
      </c>
      <c r="S101" s="361">
        <f t="shared" si="22"/>
        <v>326</v>
      </c>
    </row>
    <row r="102" spans="1:19">
      <c r="A102" s="715" t="str">
        <f>'数据-基础表'!C91</f>
        <v>1-3-901</v>
      </c>
      <c r="B102" s="715">
        <f>'数据-基础表'!I91</f>
        <v>93.73</v>
      </c>
      <c r="C102" s="24">
        <f t="shared" si="23"/>
        <v>1</v>
      </c>
      <c r="D102" s="717" t="s">
        <v>3384</v>
      </c>
      <c r="E102" s="24">
        <f t="shared" si="24"/>
        <v>1</v>
      </c>
      <c r="F102" s="717"/>
      <c r="G102" s="24">
        <f t="shared" si="25"/>
        <v>1</v>
      </c>
      <c r="H102" s="717"/>
      <c r="I102" s="24">
        <f t="shared" si="26"/>
        <v>1</v>
      </c>
      <c r="J102" s="717"/>
      <c r="K102" s="24">
        <f t="shared" si="27"/>
        <v>1</v>
      </c>
      <c r="L102" s="717"/>
      <c r="M102" s="24">
        <f t="shared" si="28"/>
        <v>1</v>
      </c>
      <c r="N102" s="717"/>
      <c r="O102" s="24">
        <f t="shared" si="29"/>
        <v>1</v>
      </c>
      <c r="P102" s="717" t="s">
        <v>3463</v>
      </c>
      <c r="Q102" s="24">
        <f t="shared" si="30"/>
        <v>1.04</v>
      </c>
      <c r="R102" s="713">
        <f t="shared" si="31"/>
        <v>36638</v>
      </c>
      <c r="S102" s="361">
        <f t="shared" si="22"/>
        <v>343</v>
      </c>
    </row>
    <row r="103" spans="1:19">
      <c r="A103" s="715" t="str">
        <f>'数据-基础表'!C92</f>
        <v>1-3-904</v>
      </c>
      <c r="B103" s="715">
        <f>'数据-基础表'!I92</f>
        <v>92.59</v>
      </c>
      <c r="C103" s="24">
        <f t="shared" si="23"/>
        <v>1</v>
      </c>
      <c r="D103" s="717" t="s">
        <v>3384</v>
      </c>
      <c r="E103" s="24">
        <f t="shared" si="24"/>
        <v>1</v>
      </c>
      <c r="F103" s="717"/>
      <c r="G103" s="24">
        <f t="shared" si="25"/>
        <v>1</v>
      </c>
      <c r="H103" s="717"/>
      <c r="I103" s="24">
        <f t="shared" si="26"/>
        <v>1</v>
      </c>
      <c r="J103" s="717"/>
      <c r="K103" s="24">
        <f t="shared" si="27"/>
        <v>1</v>
      </c>
      <c r="L103" s="717"/>
      <c r="M103" s="24">
        <f t="shared" si="28"/>
        <v>1</v>
      </c>
      <c r="N103" s="717"/>
      <c r="O103" s="24">
        <f t="shared" si="29"/>
        <v>1</v>
      </c>
      <c r="P103" s="717" t="s">
        <v>3463</v>
      </c>
      <c r="Q103" s="24">
        <f t="shared" si="30"/>
        <v>1.04</v>
      </c>
      <c r="R103" s="713">
        <f t="shared" si="31"/>
        <v>36638</v>
      </c>
      <c r="S103" s="361">
        <f t="shared" si="22"/>
        <v>339</v>
      </c>
    </row>
    <row r="104" spans="1:19">
      <c r="A104" s="715" t="str">
        <f>'数据-基础表'!C93</f>
        <v>1-3-905</v>
      </c>
      <c r="B104" s="715">
        <f>'数据-基础表'!I93</f>
        <v>92.59</v>
      </c>
      <c r="C104" s="24">
        <f t="shared" si="23"/>
        <v>1</v>
      </c>
      <c r="D104" s="717" t="s">
        <v>3384</v>
      </c>
      <c r="E104" s="24">
        <f t="shared" si="24"/>
        <v>1</v>
      </c>
      <c r="F104" s="717"/>
      <c r="G104" s="24">
        <f t="shared" si="25"/>
        <v>1</v>
      </c>
      <c r="H104" s="717"/>
      <c r="I104" s="24">
        <f t="shared" si="26"/>
        <v>1</v>
      </c>
      <c r="J104" s="717"/>
      <c r="K104" s="24">
        <f t="shared" si="27"/>
        <v>1</v>
      </c>
      <c r="L104" s="717"/>
      <c r="M104" s="24">
        <f t="shared" si="28"/>
        <v>1</v>
      </c>
      <c r="N104" s="717"/>
      <c r="O104" s="24">
        <f t="shared" si="29"/>
        <v>1</v>
      </c>
      <c r="P104" s="717" t="s">
        <v>3463</v>
      </c>
      <c r="Q104" s="24">
        <f t="shared" si="30"/>
        <v>1.04</v>
      </c>
      <c r="R104" s="713">
        <f t="shared" si="31"/>
        <v>36638</v>
      </c>
      <c r="S104" s="361">
        <f t="shared" si="22"/>
        <v>339</v>
      </c>
    </row>
    <row r="105" spans="1:19">
      <c r="A105" s="715" t="str">
        <f>'数据-基础表'!C94</f>
        <v>1-3-906</v>
      </c>
      <c r="B105" s="715">
        <f>'数据-基础表'!I94</f>
        <v>92.59</v>
      </c>
      <c r="C105" s="24">
        <f t="shared" si="23"/>
        <v>1</v>
      </c>
      <c r="D105" s="717" t="s">
        <v>3384</v>
      </c>
      <c r="E105" s="24">
        <f t="shared" si="24"/>
        <v>1</v>
      </c>
      <c r="F105" s="717"/>
      <c r="G105" s="24">
        <f t="shared" si="25"/>
        <v>1</v>
      </c>
      <c r="H105" s="717"/>
      <c r="I105" s="24">
        <f t="shared" si="26"/>
        <v>1</v>
      </c>
      <c r="J105" s="717"/>
      <c r="K105" s="24">
        <f t="shared" si="27"/>
        <v>1</v>
      </c>
      <c r="L105" s="717"/>
      <c r="M105" s="24">
        <f t="shared" si="28"/>
        <v>1</v>
      </c>
      <c r="N105" s="717"/>
      <c r="O105" s="24">
        <f t="shared" si="29"/>
        <v>1</v>
      </c>
      <c r="P105" s="717" t="s">
        <v>3463</v>
      </c>
      <c r="Q105" s="24">
        <f t="shared" si="30"/>
        <v>1.04</v>
      </c>
      <c r="R105" s="713">
        <f t="shared" si="31"/>
        <v>36638</v>
      </c>
      <c r="S105" s="361">
        <f t="shared" si="22"/>
        <v>339</v>
      </c>
    </row>
    <row r="106" spans="1:19">
      <c r="A106" s="715" t="str">
        <f>'数据-基础表'!C95</f>
        <v>3-1-309</v>
      </c>
      <c r="B106" s="715">
        <f>'数据-基础表'!I95</f>
        <v>91.19</v>
      </c>
      <c r="C106" s="24">
        <f t="shared" si="23"/>
        <v>1</v>
      </c>
      <c r="D106" s="717" t="s">
        <v>3384</v>
      </c>
      <c r="E106" s="24">
        <f t="shared" si="24"/>
        <v>1</v>
      </c>
      <c r="F106" s="717"/>
      <c r="G106" s="24">
        <f t="shared" si="25"/>
        <v>1</v>
      </c>
      <c r="H106" s="717"/>
      <c r="I106" s="24">
        <f t="shared" si="26"/>
        <v>1</v>
      </c>
      <c r="J106" s="717"/>
      <c r="K106" s="24">
        <f t="shared" si="27"/>
        <v>1</v>
      </c>
      <c r="L106" s="717"/>
      <c r="M106" s="24">
        <f t="shared" si="28"/>
        <v>1</v>
      </c>
      <c r="N106" s="717"/>
      <c r="O106" s="24">
        <f t="shared" si="29"/>
        <v>1</v>
      </c>
      <c r="P106" s="717" t="s">
        <v>3465</v>
      </c>
      <c r="Q106" s="24">
        <f t="shared" si="30"/>
        <v>1</v>
      </c>
      <c r="R106" s="713">
        <f t="shared" si="31"/>
        <v>35229</v>
      </c>
      <c r="S106" s="361">
        <f t="shared" si="22"/>
        <v>321</v>
      </c>
    </row>
    <row r="107" spans="1:19">
      <c r="A107" s="715" t="str">
        <f>'数据-基础表'!C96</f>
        <v>3-1-311</v>
      </c>
      <c r="B107" s="715">
        <f>'数据-基础表'!I96</f>
        <v>91.19</v>
      </c>
      <c r="C107" s="24">
        <f t="shared" si="23"/>
        <v>1</v>
      </c>
      <c r="D107" s="717" t="s">
        <v>3384</v>
      </c>
      <c r="E107" s="24">
        <f t="shared" si="24"/>
        <v>1</v>
      </c>
      <c r="F107" s="717"/>
      <c r="G107" s="24">
        <f t="shared" si="25"/>
        <v>1</v>
      </c>
      <c r="H107" s="717"/>
      <c r="I107" s="24">
        <f t="shared" si="26"/>
        <v>1</v>
      </c>
      <c r="J107" s="717"/>
      <c r="K107" s="24">
        <f t="shared" si="27"/>
        <v>1</v>
      </c>
      <c r="L107" s="717"/>
      <c r="M107" s="24">
        <f t="shared" si="28"/>
        <v>1</v>
      </c>
      <c r="N107" s="717"/>
      <c r="O107" s="24">
        <f t="shared" si="29"/>
        <v>1</v>
      </c>
      <c r="P107" s="717" t="s">
        <v>3465</v>
      </c>
      <c r="Q107" s="24">
        <f t="shared" si="30"/>
        <v>1</v>
      </c>
      <c r="R107" s="713">
        <f t="shared" si="31"/>
        <v>35229</v>
      </c>
      <c r="S107" s="361">
        <f t="shared" si="22"/>
        <v>321</v>
      </c>
    </row>
    <row r="108" spans="1:19">
      <c r="A108" s="715" t="str">
        <f>'数据-基础表'!C97</f>
        <v>3-1-313</v>
      </c>
      <c r="B108" s="715">
        <f>'数据-基础表'!I97</f>
        <v>91.19</v>
      </c>
      <c r="C108" s="24">
        <f t="shared" si="23"/>
        <v>1</v>
      </c>
      <c r="D108" s="717" t="s">
        <v>3384</v>
      </c>
      <c r="E108" s="24">
        <f t="shared" si="24"/>
        <v>1</v>
      </c>
      <c r="F108" s="717"/>
      <c r="G108" s="24">
        <f t="shared" si="25"/>
        <v>1</v>
      </c>
      <c r="H108" s="717"/>
      <c r="I108" s="24">
        <f t="shared" si="26"/>
        <v>1</v>
      </c>
      <c r="J108" s="717"/>
      <c r="K108" s="24">
        <f t="shared" si="27"/>
        <v>1</v>
      </c>
      <c r="L108" s="717"/>
      <c r="M108" s="24">
        <f t="shared" si="28"/>
        <v>1</v>
      </c>
      <c r="N108" s="717"/>
      <c r="O108" s="24">
        <f t="shared" si="29"/>
        <v>1</v>
      </c>
      <c r="P108" s="717" t="s">
        <v>3465</v>
      </c>
      <c r="Q108" s="24">
        <f t="shared" si="30"/>
        <v>1</v>
      </c>
      <c r="R108" s="713">
        <f t="shared" si="31"/>
        <v>35229</v>
      </c>
      <c r="S108" s="361">
        <f t="shared" si="22"/>
        <v>321</v>
      </c>
    </row>
    <row r="109" spans="1:19">
      <c r="A109" s="715" t="str">
        <f>'数据-基础表'!C98</f>
        <v>3-1-402</v>
      </c>
      <c r="B109" s="715">
        <f>'数据-基础表'!I98</f>
        <v>91.19</v>
      </c>
      <c r="C109" s="24">
        <f t="shared" si="23"/>
        <v>1</v>
      </c>
      <c r="D109" s="717" t="s">
        <v>3384</v>
      </c>
      <c r="E109" s="24">
        <f t="shared" si="24"/>
        <v>1</v>
      </c>
      <c r="F109" s="717"/>
      <c r="G109" s="24">
        <f t="shared" si="25"/>
        <v>1</v>
      </c>
      <c r="H109" s="717"/>
      <c r="I109" s="24">
        <f t="shared" si="26"/>
        <v>1</v>
      </c>
      <c r="J109" s="717"/>
      <c r="K109" s="24">
        <f t="shared" si="27"/>
        <v>1</v>
      </c>
      <c r="L109" s="717"/>
      <c r="M109" s="24">
        <f t="shared" si="28"/>
        <v>1</v>
      </c>
      <c r="N109" s="717"/>
      <c r="O109" s="24">
        <f t="shared" si="29"/>
        <v>1</v>
      </c>
      <c r="P109" s="717" t="s">
        <v>3465</v>
      </c>
      <c r="Q109" s="24">
        <f t="shared" si="30"/>
        <v>1</v>
      </c>
      <c r="R109" s="713">
        <f t="shared" si="31"/>
        <v>35229</v>
      </c>
      <c r="S109" s="361">
        <f t="shared" si="22"/>
        <v>321</v>
      </c>
    </row>
    <row r="110" spans="1:19">
      <c r="A110" s="715" t="str">
        <f>'数据-基础表'!C99</f>
        <v>3-1-711</v>
      </c>
      <c r="B110" s="715">
        <f>'数据-基础表'!I99</f>
        <v>91.19</v>
      </c>
      <c r="C110" s="24">
        <f t="shared" si="23"/>
        <v>1</v>
      </c>
      <c r="D110" s="717" t="s">
        <v>3384</v>
      </c>
      <c r="E110" s="24">
        <f t="shared" si="24"/>
        <v>1</v>
      </c>
      <c r="F110" s="717"/>
      <c r="G110" s="24">
        <f t="shared" si="25"/>
        <v>1</v>
      </c>
      <c r="H110" s="717"/>
      <c r="I110" s="24">
        <f t="shared" si="26"/>
        <v>1</v>
      </c>
      <c r="J110" s="717"/>
      <c r="K110" s="24">
        <f t="shared" si="27"/>
        <v>1</v>
      </c>
      <c r="L110" s="717"/>
      <c r="M110" s="24">
        <f t="shared" si="28"/>
        <v>1</v>
      </c>
      <c r="N110" s="717"/>
      <c r="O110" s="24">
        <f t="shared" si="29"/>
        <v>1</v>
      </c>
      <c r="P110" s="717" t="s">
        <v>3464</v>
      </c>
      <c r="Q110" s="24">
        <f t="shared" si="30"/>
        <v>1.02</v>
      </c>
      <c r="R110" s="713">
        <f t="shared" si="31"/>
        <v>35934</v>
      </c>
      <c r="S110" s="361">
        <f t="shared" si="22"/>
        <v>328</v>
      </c>
    </row>
    <row r="111" spans="1:19">
      <c r="A111" s="715" t="str">
        <f>'数据-基础表'!C100</f>
        <v>3-1-806</v>
      </c>
      <c r="B111" s="715">
        <f>'数据-基础表'!I100</f>
        <v>91.19</v>
      </c>
      <c r="C111" s="24">
        <f t="shared" si="23"/>
        <v>1</v>
      </c>
      <c r="D111" s="717" t="s">
        <v>3384</v>
      </c>
      <c r="E111" s="24">
        <f t="shared" si="24"/>
        <v>1</v>
      </c>
      <c r="F111" s="717"/>
      <c r="G111" s="24">
        <f t="shared" si="25"/>
        <v>1</v>
      </c>
      <c r="H111" s="717"/>
      <c r="I111" s="24">
        <f t="shared" si="26"/>
        <v>1</v>
      </c>
      <c r="J111" s="717"/>
      <c r="K111" s="24">
        <f t="shared" si="27"/>
        <v>1</v>
      </c>
      <c r="L111" s="717"/>
      <c r="M111" s="24">
        <f t="shared" si="28"/>
        <v>1</v>
      </c>
      <c r="N111" s="717"/>
      <c r="O111" s="24">
        <f t="shared" si="29"/>
        <v>1</v>
      </c>
      <c r="P111" s="717" t="s">
        <v>3464</v>
      </c>
      <c r="Q111" s="24">
        <f t="shared" si="30"/>
        <v>1.02</v>
      </c>
      <c r="R111" s="713">
        <f t="shared" si="31"/>
        <v>35934</v>
      </c>
      <c r="S111" s="361">
        <f t="shared" si="22"/>
        <v>328</v>
      </c>
    </row>
    <row r="112" spans="1:19">
      <c r="A112" s="715" t="str">
        <f>'数据-基础表'!C101</f>
        <v>3-1-807</v>
      </c>
      <c r="B112" s="715">
        <f>'数据-基础表'!I101</f>
        <v>90.1</v>
      </c>
      <c r="C112" s="24">
        <f t="shared" si="23"/>
        <v>1</v>
      </c>
      <c r="D112" s="717" t="s">
        <v>3384</v>
      </c>
      <c r="E112" s="24">
        <f t="shared" si="24"/>
        <v>1</v>
      </c>
      <c r="F112" s="717"/>
      <c r="G112" s="24">
        <f t="shared" si="25"/>
        <v>1</v>
      </c>
      <c r="H112" s="717"/>
      <c r="I112" s="24">
        <f t="shared" si="26"/>
        <v>1</v>
      </c>
      <c r="J112" s="717"/>
      <c r="K112" s="24">
        <f t="shared" si="27"/>
        <v>1</v>
      </c>
      <c r="L112" s="717"/>
      <c r="M112" s="24">
        <f t="shared" si="28"/>
        <v>1</v>
      </c>
      <c r="N112" s="717"/>
      <c r="O112" s="24">
        <f t="shared" si="29"/>
        <v>1</v>
      </c>
      <c r="P112" s="717" t="s">
        <v>3464</v>
      </c>
      <c r="Q112" s="24">
        <f t="shared" si="30"/>
        <v>1.02</v>
      </c>
      <c r="R112" s="713">
        <f t="shared" si="31"/>
        <v>35934</v>
      </c>
      <c r="S112" s="361">
        <f t="shared" si="22"/>
        <v>324</v>
      </c>
    </row>
    <row r="113" spans="1:19">
      <c r="A113" s="715" t="str">
        <f>'数据-基础表'!C102</f>
        <v>3-1-808</v>
      </c>
      <c r="B113" s="715">
        <f>'数据-基础表'!I102</f>
        <v>92.19</v>
      </c>
      <c r="C113" s="24">
        <f t="shared" si="23"/>
        <v>1</v>
      </c>
      <c r="D113" s="717" t="s">
        <v>3384</v>
      </c>
      <c r="E113" s="24">
        <f t="shared" si="24"/>
        <v>1</v>
      </c>
      <c r="F113" s="717"/>
      <c r="G113" s="24">
        <f t="shared" si="25"/>
        <v>1</v>
      </c>
      <c r="H113" s="717"/>
      <c r="I113" s="24">
        <f t="shared" si="26"/>
        <v>1</v>
      </c>
      <c r="J113" s="717"/>
      <c r="K113" s="24">
        <f t="shared" si="27"/>
        <v>1</v>
      </c>
      <c r="L113" s="717"/>
      <c r="M113" s="24">
        <f t="shared" si="28"/>
        <v>1</v>
      </c>
      <c r="N113" s="717"/>
      <c r="O113" s="24">
        <f t="shared" si="29"/>
        <v>1</v>
      </c>
      <c r="P113" s="717" t="s">
        <v>3464</v>
      </c>
      <c r="Q113" s="24">
        <f t="shared" si="30"/>
        <v>1.02</v>
      </c>
      <c r="R113" s="713">
        <f t="shared" si="31"/>
        <v>35934</v>
      </c>
      <c r="S113" s="361">
        <f t="shared" si="22"/>
        <v>331</v>
      </c>
    </row>
    <row r="114" spans="1:19">
      <c r="A114" s="715" t="str">
        <f>'数据-基础表'!C103</f>
        <v>3-1-809</v>
      </c>
      <c r="B114" s="715">
        <f>'数据-基础表'!I103</f>
        <v>91.19</v>
      </c>
      <c r="C114" s="24">
        <f t="shared" si="23"/>
        <v>1</v>
      </c>
      <c r="D114" s="717" t="s">
        <v>3384</v>
      </c>
      <c r="E114" s="24">
        <f t="shared" si="24"/>
        <v>1</v>
      </c>
      <c r="F114" s="717"/>
      <c r="G114" s="24">
        <f t="shared" si="25"/>
        <v>1</v>
      </c>
      <c r="H114" s="717"/>
      <c r="I114" s="24">
        <f t="shared" si="26"/>
        <v>1</v>
      </c>
      <c r="J114" s="717"/>
      <c r="K114" s="24">
        <f t="shared" si="27"/>
        <v>1</v>
      </c>
      <c r="L114" s="717"/>
      <c r="M114" s="24">
        <f t="shared" si="28"/>
        <v>1</v>
      </c>
      <c r="N114" s="717"/>
      <c r="O114" s="24">
        <f t="shared" si="29"/>
        <v>1</v>
      </c>
      <c r="P114" s="717" t="s">
        <v>3464</v>
      </c>
      <c r="Q114" s="24">
        <f t="shared" si="30"/>
        <v>1.02</v>
      </c>
      <c r="R114" s="713">
        <f t="shared" si="31"/>
        <v>35934</v>
      </c>
      <c r="S114" s="361">
        <f t="shared" si="22"/>
        <v>328</v>
      </c>
    </row>
    <row r="115" spans="1:19">
      <c r="A115" s="715" t="str">
        <f>'数据-基础表'!C104</f>
        <v>3-1-810</v>
      </c>
      <c r="B115" s="715">
        <f>'数据-基础表'!I104</f>
        <v>91.19</v>
      </c>
      <c r="C115" s="24">
        <f t="shared" si="23"/>
        <v>1</v>
      </c>
      <c r="D115" s="717" t="s">
        <v>3384</v>
      </c>
      <c r="E115" s="24">
        <f t="shared" si="24"/>
        <v>1</v>
      </c>
      <c r="F115" s="717"/>
      <c r="G115" s="24">
        <f t="shared" si="25"/>
        <v>1</v>
      </c>
      <c r="H115" s="717"/>
      <c r="I115" s="24">
        <f t="shared" si="26"/>
        <v>1</v>
      </c>
      <c r="J115" s="717"/>
      <c r="K115" s="24">
        <f t="shared" si="27"/>
        <v>1</v>
      </c>
      <c r="L115" s="717"/>
      <c r="M115" s="24">
        <f t="shared" si="28"/>
        <v>1</v>
      </c>
      <c r="N115" s="717"/>
      <c r="O115" s="24">
        <f t="shared" si="29"/>
        <v>1</v>
      </c>
      <c r="P115" s="717" t="s">
        <v>3464</v>
      </c>
      <c r="Q115" s="24">
        <f t="shared" si="30"/>
        <v>1.02</v>
      </c>
      <c r="R115" s="713">
        <f t="shared" si="31"/>
        <v>35934</v>
      </c>
      <c r="S115" s="361">
        <f t="shared" si="22"/>
        <v>328</v>
      </c>
    </row>
    <row r="116" spans="1:19">
      <c r="A116" s="715" t="str">
        <f>'数据-基础表'!C105</f>
        <v>3-1-811</v>
      </c>
      <c r="B116" s="715">
        <f>'数据-基础表'!I105</f>
        <v>91.19</v>
      </c>
      <c r="C116" s="24">
        <f t="shared" si="23"/>
        <v>1</v>
      </c>
      <c r="D116" s="717" t="s">
        <v>3384</v>
      </c>
      <c r="E116" s="24">
        <f t="shared" si="24"/>
        <v>1</v>
      </c>
      <c r="F116" s="717"/>
      <c r="G116" s="24">
        <f t="shared" si="25"/>
        <v>1</v>
      </c>
      <c r="H116" s="717"/>
      <c r="I116" s="24">
        <f t="shared" si="26"/>
        <v>1</v>
      </c>
      <c r="J116" s="717"/>
      <c r="K116" s="24">
        <f t="shared" si="27"/>
        <v>1</v>
      </c>
      <c r="L116" s="717"/>
      <c r="M116" s="24">
        <f t="shared" si="28"/>
        <v>1</v>
      </c>
      <c r="N116" s="717"/>
      <c r="O116" s="24">
        <f t="shared" si="29"/>
        <v>1</v>
      </c>
      <c r="P116" s="717" t="s">
        <v>3464</v>
      </c>
      <c r="Q116" s="24">
        <f t="shared" si="30"/>
        <v>1.02</v>
      </c>
      <c r="R116" s="713">
        <f t="shared" si="31"/>
        <v>35934</v>
      </c>
      <c r="S116" s="361">
        <f t="shared" si="22"/>
        <v>328</v>
      </c>
    </row>
    <row r="117" spans="1:19">
      <c r="A117" s="715" t="str">
        <f>'数据-基础表'!C106</f>
        <v>3-1-812</v>
      </c>
      <c r="B117" s="715">
        <f>'数据-基础表'!I106</f>
        <v>91.19</v>
      </c>
      <c r="C117" s="24">
        <f t="shared" si="23"/>
        <v>1</v>
      </c>
      <c r="D117" s="717" t="s">
        <v>3384</v>
      </c>
      <c r="E117" s="24">
        <f t="shared" si="24"/>
        <v>1</v>
      </c>
      <c r="F117" s="717"/>
      <c r="G117" s="24">
        <f t="shared" si="25"/>
        <v>1</v>
      </c>
      <c r="H117" s="717"/>
      <c r="I117" s="24">
        <f t="shared" si="26"/>
        <v>1</v>
      </c>
      <c r="J117" s="717"/>
      <c r="K117" s="24">
        <f t="shared" si="27"/>
        <v>1</v>
      </c>
      <c r="L117" s="717"/>
      <c r="M117" s="24">
        <f t="shared" si="28"/>
        <v>1</v>
      </c>
      <c r="N117" s="717"/>
      <c r="O117" s="24">
        <f t="shared" si="29"/>
        <v>1</v>
      </c>
      <c r="P117" s="717" t="s">
        <v>3464</v>
      </c>
      <c r="Q117" s="24">
        <f t="shared" si="30"/>
        <v>1.02</v>
      </c>
      <c r="R117" s="713">
        <f t="shared" si="31"/>
        <v>35934</v>
      </c>
      <c r="S117" s="361">
        <f t="shared" si="22"/>
        <v>328</v>
      </c>
    </row>
    <row r="118" spans="1:19">
      <c r="A118" s="715" t="str">
        <f>'数据-基础表'!C107</f>
        <v>3-1-813</v>
      </c>
      <c r="B118" s="715">
        <f>'数据-基础表'!I107</f>
        <v>91.19</v>
      </c>
      <c r="C118" s="24">
        <f t="shared" si="23"/>
        <v>1</v>
      </c>
      <c r="D118" s="717" t="s">
        <v>3384</v>
      </c>
      <c r="E118" s="24">
        <f t="shared" si="24"/>
        <v>1</v>
      </c>
      <c r="F118" s="717"/>
      <c r="G118" s="24">
        <f t="shared" si="25"/>
        <v>1</v>
      </c>
      <c r="H118" s="717"/>
      <c r="I118" s="24">
        <f t="shared" si="26"/>
        <v>1</v>
      </c>
      <c r="J118" s="717"/>
      <c r="K118" s="24">
        <f t="shared" si="27"/>
        <v>1</v>
      </c>
      <c r="L118" s="717"/>
      <c r="M118" s="24">
        <f t="shared" si="28"/>
        <v>1</v>
      </c>
      <c r="N118" s="717"/>
      <c r="O118" s="24">
        <f t="shared" si="29"/>
        <v>1</v>
      </c>
      <c r="P118" s="717" t="s">
        <v>3464</v>
      </c>
      <c r="Q118" s="24">
        <f t="shared" si="30"/>
        <v>1.02</v>
      </c>
      <c r="R118" s="713">
        <f t="shared" si="31"/>
        <v>35934</v>
      </c>
      <c r="S118" s="361">
        <f t="shared" si="22"/>
        <v>328</v>
      </c>
    </row>
    <row r="119" spans="1:19">
      <c r="A119" s="715" t="str">
        <f>'数据-基础表'!C108</f>
        <v>3-1-1203</v>
      </c>
      <c r="B119" s="715">
        <f>'数据-基础表'!I108</f>
        <v>64.69</v>
      </c>
      <c r="C119" s="24">
        <f t="shared" si="23"/>
        <v>1</v>
      </c>
      <c r="D119" s="717" t="s">
        <v>3384</v>
      </c>
      <c r="E119" s="24">
        <f t="shared" si="24"/>
        <v>1</v>
      </c>
      <c r="F119" s="717"/>
      <c r="G119" s="24">
        <f t="shared" si="25"/>
        <v>1</v>
      </c>
      <c r="H119" s="717"/>
      <c r="I119" s="24">
        <f t="shared" si="26"/>
        <v>1</v>
      </c>
      <c r="J119" s="717"/>
      <c r="K119" s="24">
        <f t="shared" si="27"/>
        <v>1</v>
      </c>
      <c r="L119" s="717"/>
      <c r="M119" s="24">
        <f t="shared" si="28"/>
        <v>1</v>
      </c>
      <c r="N119" s="717"/>
      <c r="O119" s="24">
        <f t="shared" si="29"/>
        <v>1</v>
      </c>
      <c r="P119" s="717" t="s">
        <v>3463</v>
      </c>
      <c r="Q119" s="24">
        <f t="shared" si="30"/>
        <v>1.04</v>
      </c>
      <c r="R119" s="713">
        <f t="shared" si="31"/>
        <v>36638</v>
      </c>
      <c r="S119" s="361">
        <f t="shared" si="22"/>
        <v>237</v>
      </c>
    </row>
    <row r="120" spans="1:19">
      <c r="A120" s="715" t="str">
        <f>'数据-基础表'!C109</f>
        <v>3-1-1204</v>
      </c>
      <c r="B120" s="715">
        <f>'数据-基础表'!I109</f>
        <v>65.38</v>
      </c>
      <c r="C120" s="24">
        <f t="shared" si="23"/>
        <v>1</v>
      </c>
      <c r="D120" s="717" t="s">
        <v>3384</v>
      </c>
      <c r="E120" s="24">
        <f t="shared" si="24"/>
        <v>1</v>
      </c>
      <c r="F120" s="717"/>
      <c r="G120" s="24">
        <f t="shared" si="25"/>
        <v>1</v>
      </c>
      <c r="H120" s="717"/>
      <c r="I120" s="24">
        <f t="shared" si="26"/>
        <v>1</v>
      </c>
      <c r="J120" s="717"/>
      <c r="K120" s="24">
        <f t="shared" si="27"/>
        <v>1</v>
      </c>
      <c r="L120" s="717"/>
      <c r="M120" s="24">
        <f t="shared" si="28"/>
        <v>1</v>
      </c>
      <c r="N120" s="717"/>
      <c r="O120" s="24">
        <f t="shared" si="29"/>
        <v>1</v>
      </c>
      <c r="P120" s="717" t="s">
        <v>3463</v>
      </c>
      <c r="Q120" s="24">
        <f t="shared" si="30"/>
        <v>1.04</v>
      </c>
      <c r="R120" s="713">
        <f t="shared" si="31"/>
        <v>36638</v>
      </c>
      <c r="S120" s="361">
        <f t="shared" si="22"/>
        <v>240</v>
      </c>
    </row>
    <row r="121" spans="1:19">
      <c r="A121" s="715" t="str">
        <f>'数据-基础表'!C110</f>
        <v>3-1-1209</v>
      </c>
      <c r="B121" s="715">
        <f>'数据-基础表'!I110</f>
        <v>91.19</v>
      </c>
      <c r="C121" s="24">
        <f t="shared" si="23"/>
        <v>1</v>
      </c>
      <c r="D121" s="717" t="s">
        <v>3384</v>
      </c>
      <c r="E121" s="24">
        <f t="shared" si="24"/>
        <v>1</v>
      </c>
      <c r="F121" s="717"/>
      <c r="G121" s="24">
        <f t="shared" si="25"/>
        <v>1</v>
      </c>
      <c r="H121" s="717"/>
      <c r="I121" s="24">
        <f t="shared" si="26"/>
        <v>1</v>
      </c>
      <c r="J121" s="717"/>
      <c r="K121" s="24">
        <f t="shared" si="27"/>
        <v>1</v>
      </c>
      <c r="L121" s="717"/>
      <c r="M121" s="24">
        <f t="shared" si="28"/>
        <v>1</v>
      </c>
      <c r="N121" s="717"/>
      <c r="O121" s="24">
        <f t="shared" si="29"/>
        <v>1</v>
      </c>
      <c r="P121" s="717" t="s">
        <v>3463</v>
      </c>
      <c r="Q121" s="24">
        <f t="shared" si="30"/>
        <v>1.04</v>
      </c>
      <c r="R121" s="713">
        <f t="shared" si="31"/>
        <v>36638</v>
      </c>
      <c r="S121" s="361">
        <f t="shared" si="22"/>
        <v>334</v>
      </c>
    </row>
    <row r="122" spans="1:19">
      <c r="A122" s="715" t="str">
        <f>'数据-基础表'!C111</f>
        <v>3-1-1210</v>
      </c>
      <c r="B122" s="715">
        <f>'数据-基础表'!I111</f>
        <v>91.19</v>
      </c>
      <c r="C122" s="24">
        <f t="shared" si="23"/>
        <v>1</v>
      </c>
      <c r="D122" s="717" t="s">
        <v>3384</v>
      </c>
      <c r="E122" s="24">
        <f t="shared" si="24"/>
        <v>1</v>
      </c>
      <c r="F122" s="717"/>
      <c r="G122" s="24">
        <f t="shared" si="25"/>
        <v>1</v>
      </c>
      <c r="H122" s="717"/>
      <c r="I122" s="24">
        <f t="shared" si="26"/>
        <v>1</v>
      </c>
      <c r="J122" s="717"/>
      <c r="K122" s="24">
        <f t="shared" si="27"/>
        <v>1</v>
      </c>
      <c r="L122" s="717"/>
      <c r="M122" s="24">
        <f t="shared" si="28"/>
        <v>1</v>
      </c>
      <c r="N122" s="717"/>
      <c r="O122" s="24">
        <f t="shared" si="29"/>
        <v>1</v>
      </c>
      <c r="P122" s="717" t="s">
        <v>3463</v>
      </c>
      <c r="Q122" s="24">
        <f t="shared" si="30"/>
        <v>1.04</v>
      </c>
      <c r="R122" s="713">
        <f t="shared" si="31"/>
        <v>36638</v>
      </c>
      <c r="S122" s="361">
        <f t="shared" si="22"/>
        <v>334</v>
      </c>
    </row>
    <row r="123" spans="1:19">
      <c r="A123" s="715" t="str">
        <f>'数据-基础表'!C112</f>
        <v>3-1-1213</v>
      </c>
      <c r="B123" s="715">
        <f>'数据-基础表'!I112</f>
        <v>91.55</v>
      </c>
      <c r="C123" s="24">
        <f t="shared" si="23"/>
        <v>1</v>
      </c>
      <c r="D123" s="717" t="s">
        <v>3384</v>
      </c>
      <c r="E123" s="24">
        <f t="shared" si="24"/>
        <v>1</v>
      </c>
      <c r="F123" s="717"/>
      <c r="G123" s="24">
        <f t="shared" si="25"/>
        <v>1</v>
      </c>
      <c r="H123" s="717"/>
      <c r="I123" s="24">
        <f t="shared" si="26"/>
        <v>1</v>
      </c>
      <c r="J123" s="717"/>
      <c r="K123" s="24">
        <f t="shared" si="27"/>
        <v>1</v>
      </c>
      <c r="L123" s="717"/>
      <c r="M123" s="24">
        <f t="shared" si="28"/>
        <v>1</v>
      </c>
      <c r="N123" s="717"/>
      <c r="O123" s="24">
        <f t="shared" si="29"/>
        <v>1</v>
      </c>
      <c r="P123" s="717" t="s">
        <v>3463</v>
      </c>
      <c r="Q123" s="24">
        <f t="shared" si="30"/>
        <v>1.04</v>
      </c>
      <c r="R123" s="713">
        <f t="shared" si="31"/>
        <v>36638</v>
      </c>
      <c r="S123" s="361">
        <f t="shared" ref="S123:S186" si="32">ROUND(R123*B123/10000,0)</f>
        <v>335</v>
      </c>
    </row>
    <row r="124" spans="1:19">
      <c r="A124" s="715" t="str">
        <f>'数据-基础表'!C113</f>
        <v>3-2-409</v>
      </c>
      <c r="B124" s="715">
        <f>'数据-基础表'!I113</f>
        <v>91.19</v>
      </c>
      <c r="C124" s="24">
        <f t="shared" si="23"/>
        <v>1</v>
      </c>
      <c r="D124" s="717" t="s">
        <v>3384</v>
      </c>
      <c r="E124" s="24">
        <f t="shared" si="24"/>
        <v>1</v>
      </c>
      <c r="F124" s="717"/>
      <c r="G124" s="24">
        <f t="shared" si="25"/>
        <v>1</v>
      </c>
      <c r="H124" s="717"/>
      <c r="I124" s="24">
        <f t="shared" si="26"/>
        <v>1</v>
      </c>
      <c r="J124" s="717"/>
      <c r="K124" s="24">
        <f t="shared" si="27"/>
        <v>1</v>
      </c>
      <c r="L124" s="717"/>
      <c r="M124" s="24">
        <f t="shared" si="28"/>
        <v>1</v>
      </c>
      <c r="N124" s="717"/>
      <c r="O124" s="24">
        <f t="shared" si="29"/>
        <v>1</v>
      </c>
      <c r="P124" s="717" t="s">
        <v>3465</v>
      </c>
      <c r="Q124" s="24">
        <f t="shared" si="30"/>
        <v>1</v>
      </c>
      <c r="R124" s="713">
        <f t="shared" si="31"/>
        <v>35229</v>
      </c>
      <c r="S124" s="361">
        <f t="shared" si="32"/>
        <v>321</v>
      </c>
    </row>
    <row r="125" spans="1:19">
      <c r="A125" s="715" t="str">
        <f>'数据-基础表'!C114</f>
        <v>3-2-901</v>
      </c>
      <c r="B125" s="715">
        <f>'数据-基础表'!I114</f>
        <v>90.1</v>
      </c>
      <c r="C125" s="24">
        <f t="shared" si="23"/>
        <v>1</v>
      </c>
      <c r="D125" s="717" t="s">
        <v>3384</v>
      </c>
      <c r="E125" s="24">
        <f t="shared" si="24"/>
        <v>1</v>
      </c>
      <c r="F125" s="717"/>
      <c r="G125" s="24">
        <f t="shared" si="25"/>
        <v>1</v>
      </c>
      <c r="H125" s="717"/>
      <c r="I125" s="24">
        <f t="shared" si="26"/>
        <v>1</v>
      </c>
      <c r="J125" s="717"/>
      <c r="K125" s="24">
        <f t="shared" si="27"/>
        <v>1</v>
      </c>
      <c r="L125" s="717"/>
      <c r="M125" s="24">
        <f t="shared" si="28"/>
        <v>1</v>
      </c>
      <c r="N125" s="717"/>
      <c r="O125" s="24">
        <f t="shared" si="29"/>
        <v>1</v>
      </c>
      <c r="P125" s="717" t="s">
        <v>3463</v>
      </c>
      <c r="Q125" s="24">
        <f t="shared" si="30"/>
        <v>1.04</v>
      </c>
      <c r="R125" s="713">
        <f t="shared" si="31"/>
        <v>36638</v>
      </c>
      <c r="S125" s="361">
        <f t="shared" si="32"/>
        <v>330</v>
      </c>
    </row>
    <row r="126" spans="1:19">
      <c r="A126" s="715" t="str">
        <f>'数据-基础表'!C115</f>
        <v>3-2-1107</v>
      </c>
      <c r="B126" s="715">
        <f>'数据-基础表'!I115</f>
        <v>90.1</v>
      </c>
      <c r="C126" s="24">
        <f t="shared" si="23"/>
        <v>1</v>
      </c>
      <c r="D126" s="717" t="s">
        <v>3384</v>
      </c>
      <c r="E126" s="24">
        <f t="shared" si="24"/>
        <v>1</v>
      </c>
      <c r="F126" s="717"/>
      <c r="G126" s="24">
        <f t="shared" si="25"/>
        <v>1</v>
      </c>
      <c r="H126" s="717"/>
      <c r="I126" s="24">
        <f t="shared" si="26"/>
        <v>1</v>
      </c>
      <c r="J126" s="717"/>
      <c r="K126" s="24">
        <f t="shared" si="27"/>
        <v>1</v>
      </c>
      <c r="L126" s="717"/>
      <c r="M126" s="24">
        <f t="shared" si="28"/>
        <v>1</v>
      </c>
      <c r="N126" s="717"/>
      <c r="O126" s="24">
        <f t="shared" si="29"/>
        <v>1</v>
      </c>
      <c r="P126" s="717" t="s">
        <v>3463</v>
      </c>
      <c r="Q126" s="24">
        <f t="shared" si="30"/>
        <v>1.04</v>
      </c>
      <c r="R126" s="713">
        <f t="shared" si="31"/>
        <v>36638</v>
      </c>
      <c r="S126" s="361">
        <f t="shared" si="32"/>
        <v>330</v>
      </c>
    </row>
    <row r="127" spans="1:19">
      <c r="A127" s="715" t="str">
        <f>'数据-基础表'!C116</f>
        <v>3-3-201</v>
      </c>
      <c r="B127" s="715">
        <f>'数据-基础表'!I116</f>
        <v>90.1</v>
      </c>
      <c r="C127" s="24">
        <f t="shared" si="23"/>
        <v>1</v>
      </c>
      <c r="D127" s="717" t="s">
        <v>3384</v>
      </c>
      <c r="E127" s="24">
        <f t="shared" si="24"/>
        <v>1</v>
      </c>
      <c r="F127" s="717"/>
      <c r="G127" s="24">
        <f t="shared" si="25"/>
        <v>1</v>
      </c>
      <c r="H127" s="717"/>
      <c r="I127" s="24">
        <f t="shared" si="26"/>
        <v>1</v>
      </c>
      <c r="J127" s="717"/>
      <c r="K127" s="24">
        <f t="shared" si="27"/>
        <v>1</v>
      </c>
      <c r="L127" s="717"/>
      <c r="M127" s="24">
        <f t="shared" si="28"/>
        <v>1</v>
      </c>
      <c r="N127" s="717"/>
      <c r="O127" s="24">
        <f t="shared" si="29"/>
        <v>1</v>
      </c>
      <c r="P127" s="717" t="s">
        <v>3465</v>
      </c>
      <c r="Q127" s="24">
        <f t="shared" si="30"/>
        <v>1</v>
      </c>
      <c r="R127" s="713">
        <f t="shared" si="31"/>
        <v>35229</v>
      </c>
      <c r="S127" s="361">
        <f t="shared" si="32"/>
        <v>317</v>
      </c>
    </row>
    <row r="128" spans="1:19">
      <c r="A128" s="715" t="str">
        <f>'数据-基础表'!C117</f>
        <v>3-3-402</v>
      </c>
      <c r="B128" s="715">
        <f>'数据-基础表'!I117</f>
        <v>91.19</v>
      </c>
      <c r="C128" s="24">
        <f t="shared" si="23"/>
        <v>1</v>
      </c>
      <c r="D128" s="717" t="s">
        <v>3384</v>
      </c>
      <c r="E128" s="24">
        <f t="shared" si="24"/>
        <v>1</v>
      </c>
      <c r="F128" s="717"/>
      <c r="G128" s="24">
        <f t="shared" si="25"/>
        <v>1</v>
      </c>
      <c r="H128" s="717"/>
      <c r="I128" s="24">
        <f t="shared" si="26"/>
        <v>1</v>
      </c>
      <c r="J128" s="717"/>
      <c r="K128" s="24">
        <f t="shared" si="27"/>
        <v>1</v>
      </c>
      <c r="L128" s="717"/>
      <c r="M128" s="24">
        <f t="shared" si="28"/>
        <v>1</v>
      </c>
      <c r="N128" s="717"/>
      <c r="O128" s="24">
        <f t="shared" si="29"/>
        <v>1</v>
      </c>
      <c r="P128" s="717" t="s">
        <v>3465</v>
      </c>
      <c r="Q128" s="24">
        <f t="shared" si="30"/>
        <v>1</v>
      </c>
      <c r="R128" s="713">
        <f t="shared" si="31"/>
        <v>35229</v>
      </c>
      <c r="S128" s="361">
        <f t="shared" si="32"/>
        <v>321</v>
      </c>
    </row>
    <row r="129" spans="1:19">
      <c r="A129" s="715" t="str">
        <f>'数据-基础表'!C118</f>
        <v>3-3-602</v>
      </c>
      <c r="B129" s="715">
        <f>'数据-基础表'!I118</f>
        <v>91.19</v>
      </c>
      <c r="C129" s="24">
        <f t="shared" si="23"/>
        <v>1</v>
      </c>
      <c r="D129" s="717" t="s">
        <v>3384</v>
      </c>
      <c r="E129" s="24">
        <f t="shared" si="24"/>
        <v>1</v>
      </c>
      <c r="F129" s="717"/>
      <c r="G129" s="24">
        <f t="shared" si="25"/>
        <v>1</v>
      </c>
      <c r="H129" s="717"/>
      <c r="I129" s="24">
        <f t="shared" si="26"/>
        <v>1</v>
      </c>
      <c r="J129" s="717"/>
      <c r="K129" s="24">
        <f t="shared" si="27"/>
        <v>1</v>
      </c>
      <c r="L129" s="717"/>
      <c r="M129" s="24">
        <f t="shared" si="28"/>
        <v>1</v>
      </c>
      <c r="N129" s="717"/>
      <c r="O129" s="24">
        <f t="shared" si="29"/>
        <v>1</v>
      </c>
      <c r="P129" s="717" t="s">
        <v>3464</v>
      </c>
      <c r="Q129" s="24">
        <f t="shared" si="30"/>
        <v>1.02</v>
      </c>
      <c r="R129" s="713">
        <f t="shared" si="31"/>
        <v>35934</v>
      </c>
      <c r="S129" s="361">
        <f t="shared" si="32"/>
        <v>328</v>
      </c>
    </row>
    <row r="130" spans="1:19">
      <c r="A130" s="715" t="str">
        <f>'数据-基础表'!C119</f>
        <v>3-3-1106</v>
      </c>
      <c r="B130" s="715">
        <f>'数据-基础表'!I119</f>
        <v>91.19</v>
      </c>
      <c r="C130" s="24">
        <f t="shared" si="23"/>
        <v>1</v>
      </c>
      <c r="D130" s="717" t="s">
        <v>3384</v>
      </c>
      <c r="E130" s="24">
        <f t="shared" si="24"/>
        <v>1</v>
      </c>
      <c r="F130" s="717"/>
      <c r="G130" s="24">
        <f t="shared" si="25"/>
        <v>1</v>
      </c>
      <c r="H130" s="717"/>
      <c r="I130" s="24">
        <f t="shared" si="26"/>
        <v>1</v>
      </c>
      <c r="J130" s="717"/>
      <c r="K130" s="24">
        <f t="shared" si="27"/>
        <v>1</v>
      </c>
      <c r="L130" s="717"/>
      <c r="M130" s="24">
        <f t="shared" si="28"/>
        <v>1</v>
      </c>
      <c r="N130" s="717"/>
      <c r="O130" s="24">
        <f t="shared" si="29"/>
        <v>1</v>
      </c>
      <c r="P130" s="717" t="s">
        <v>3463</v>
      </c>
      <c r="Q130" s="24">
        <f t="shared" si="30"/>
        <v>1.04</v>
      </c>
      <c r="R130" s="713">
        <f t="shared" si="31"/>
        <v>36638</v>
      </c>
      <c r="S130" s="361">
        <f t="shared" si="32"/>
        <v>334</v>
      </c>
    </row>
    <row r="131" spans="1:19">
      <c r="A131" s="715" t="str">
        <f>'数据-基础表'!C120</f>
        <v>15-1-01</v>
      </c>
      <c r="B131" s="715">
        <f>'数据-基础表'!I120</f>
        <v>88.22</v>
      </c>
      <c r="C131" s="24">
        <f t="shared" si="23"/>
        <v>1</v>
      </c>
      <c r="D131" s="717" t="s">
        <v>3384</v>
      </c>
      <c r="E131" s="24">
        <f t="shared" si="24"/>
        <v>1</v>
      </c>
      <c r="F131" s="717"/>
      <c r="G131" s="24">
        <f t="shared" si="25"/>
        <v>1</v>
      </c>
      <c r="H131" s="717"/>
      <c r="I131" s="24">
        <f t="shared" si="26"/>
        <v>1</v>
      </c>
      <c r="J131" s="717"/>
      <c r="K131" s="24">
        <f t="shared" si="27"/>
        <v>1</v>
      </c>
      <c r="L131" s="717"/>
      <c r="M131" s="24">
        <f t="shared" si="28"/>
        <v>1</v>
      </c>
      <c r="N131" s="717"/>
      <c r="O131" s="24">
        <f t="shared" si="29"/>
        <v>1</v>
      </c>
      <c r="P131" s="717" t="s">
        <v>3465</v>
      </c>
      <c r="Q131" s="24">
        <f t="shared" si="30"/>
        <v>1</v>
      </c>
      <c r="R131" s="713">
        <f t="shared" si="31"/>
        <v>35229</v>
      </c>
      <c r="S131" s="361">
        <f t="shared" si="32"/>
        <v>311</v>
      </c>
    </row>
    <row r="132" spans="1:19">
      <c r="A132" s="715" t="str">
        <f>'数据-基础表'!C121</f>
        <v>15-1-03</v>
      </c>
      <c r="B132" s="715">
        <f>'数据-基础表'!I121</f>
        <v>85.73</v>
      </c>
      <c r="C132" s="24">
        <f t="shared" si="23"/>
        <v>1</v>
      </c>
      <c r="D132" s="717" t="s">
        <v>3384</v>
      </c>
      <c r="E132" s="24">
        <f t="shared" si="24"/>
        <v>1</v>
      </c>
      <c r="F132" s="717"/>
      <c r="G132" s="24">
        <f t="shared" si="25"/>
        <v>1</v>
      </c>
      <c r="H132" s="717"/>
      <c r="I132" s="24">
        <f t="shared" si="26"/>
        <v>1</v>
      </c>
      <c r="J132" s="717"/>
      <c r="K132" s="24">
        <f t="shared" si="27"/>
        <v>1</v>
      </c>
      <c r="L132" s="717"/>
      <c r="M132" s="24">
        <f t="shared" si="28"/>
        <v>1</v>
      </c>
      <c r="N132" s="717"/>
      <c r="O132" s="24">
        <f t="shared" si="29"/>
        <v>1</v>
      </c>
      <c r="P132" s="717" t="s">
        <v>3465</v>
      </c>
      <c r="Q132" s="24">
        <f t="shared" si="30"/>
        <v>1</v>
      </c>
      <c r="R132" s="713">
        <f t="shared" si="31"/>
        <v>35229</v>
      </c>
      <c r="S132" s="361">
        <f t="shared" si="32"/>
        <v>302</v>
      </c>
    </row>
    <row r="133" spans="1:19">
      <c r="A133" s="715" t="str">
        <f>'数据-基础表'!C122</f>
        <v>15-1-102</v>
      </c>
      <c r="B133" s="715">
        <f>'数据-基础表'!I122</f>
        <v>64.510000000000005</v>
      </c>
      <c r="C133" s="24">
        <f t="shared" si="23"/>
        <v>1</v>
      </c>
      <c r="D133" s="717" t="s">
        <v>3384</v>
      </c>
      <c r="E133" s="24">
        <f t="shared" si="24"/>
        <v>1</v>
      </c>
      <c r="F133" s="717"/>
      <c r="G133" s="24">
        <f t="shared" si="25"/>
        <v>1</v>
      </c>
      <c r="H133" s="717"/>
      <c r="I133" s="24">
        <f t="shared" si="26"/>
        <v>1</v>
      </c>
      <c r="J133" s="717"/>
      <c r="K133" s="24">
        <f t="shared" si="27"/>
        <v>1</v>
      </c>
      <c r="L133" s="717"/>
      <c r="M133" s="24">
        <f t="shared" si="28"/>
        <v>1</v>
      </c>
      <c r="N133" s="717"/>
      <c r="O133" s="24">
        <f t="shared" si="29"/>
        <v>1</v>
      </c>
      <c r="P133" s="717" t="s">
        <v>3465</v>
      </c>
      <c r="Q133" s="24">
        <f t="shared" si="30"/>
        <v>1</v>
      </c>
      <c r="R133" s="713">
        <f t="shared" si="31"/>
        <v>35229</v>
      </c>
      <c r="S133" s="361">
        <f t="shared" si="32"/>
        <v>227</v>
      </c>
    </row>
    <row r="134" spans="1:19">
      <c r="A134" s="715" t="str">
        <f>'数据-基础表'!C123</f>
        <v>15-1-111</v>
      </c>
      <c r="B134" s="715">
        <f>'数据-基础表'!I123</f>
        <v>90.65</v>
      </c>
      <c r="C134" s="24">
        <f t="shared" si="23"/>
        <v>1</v>
      </c>
      <c r="D134" s="717" t="s">
        <v>3384</v>
      </c>
      <c r="E134" s="24">
        <f t="shared" si="24"/>
        <v>1</v>
      </c>
      <c r="F134" s="717"/>
      <c r="G134" s="24">
        <f t="shared" si="25"/>
        <v>1</v>
      </c>
      <c r="H134" s="717"/>
      <c r="I134" s="24">
        <f t="shared" si="26"/>
        <v>1</v>
      </c>
      <c r="J134" s="717"/>
      <c r="K134" s="24">
        <f t="shared" si="27"/>
        <v>1</v>
      </c>
      <c r="L134" s="717"/>
      <c r="M134" s="24">
        <f t="shared" si="28"/>
        <v>1</v>
      </c>
      <c r="N134" s="717"/>
      <c r="O134" s="24">
        <f t="shared" si="29"/>
        <v>1</v>
      </c>
      <c r="P134" s="717" t="s">
        <v>3465</v>
      </c>
      <c r="Q134" s="24">
        <f t="shared" si="30"/>
        <v>1</v>
      </c>
      <c r="R134" s="713">
        <f t="shared" si="31"/>
        <v>35229</v>
      </c>
      <c r="S134" s="361">
        <f t="shared" si="32"/>
        <v>319</v>
      </c>
    </row>
    <row r="135" spans="1:19">
      <c r="A135" s="715" t="str">
        <f>'数据-基础表'!C124</f>
        <v>15-1-302</v>
      </c>
      <c r="B135" s="715">
        <f>'数据-基础表'!I124</f>
        <v>90.65</v>
      </c>
      <c r="C135" s="24">
        <f t="shared" si="23"/>
        <v>1</v>
      </c>
      <c r="D135" s="717" t="s">
        <v>3384</v>
      </c>
      <c r="E135" s="24">
        <f t="shared" si="24"/>
        <v>1</v>
      </c>
      <c r="F135" s="717"/>
      <c r="G135" s="24">
        <f t="shared" si="25"/>
        <v>1</v>
      </c>
      <c r="H135" s="717"/>
      <c r="I135" s="24">
        <f t="shared" si="26"/>
        <v>1</v>
      </c>
      <c r="J135" s="717"/>
      <c r="K135" s="24">
        <f t="shared" si="27"/>
        <v>1</v>
      </c>
      <c r="L135" s="717"/>
      <c r="M135" s="24">
        <f t="shared" si="28"/>
        <v>1</v>
      </c>
      <c r="N135" s="717"/>
      <c r="O135" s="24">
        <f t="shared" si="29"/>
        <v>1</v>
      </c>
      <c r="P135" s="717" t="s">
        <v>3465</v>
      </c>
      <c r="Q135" s="24">
        <f t="shared" si="30"/>
        <v>1</v>
      </c>
      <c r="R135" s="713">
        <f t="shared" si="31"/>
        <v>35229</v>
      </c>
      <c r="S135" s="361">
        <f t="shared" si="32"/>
        <v>319</v>
      </c>
    </row>
    <row r="136" spans="1:19">
      <c r="A136" s="715" t="str">
        <f>'数据-基础表'!C125</f>
        <v>15-2-08</v>
      </c>
      <c r="B136" s="715">
        <f>'数据-基础表'!I125</f>
        <v>88.22</v>
      </c>
      <c r="C136" s="24">
        <f t="shared" si="23"/>
        <v>1</v>
      </c>
      <c r="D136" s="717" t="s">
        <v>3384</v>
      </c>
      <c r="E136" s="24">
        <f t="shared" si="24"/>
        <v>1</v>
      </c>
      <c r="F136" s="717"/>
      <c r="G136" s="24">
        <f t="shared" si="25"/>
        <v>1</v>
      </c>
      <c r="H136" s="717"/>
      <c r="I136" s="24">
        <f t="shared" si="26"/>
        <v>1</v>
      </c>
      <c r="J136" s="717"/>
      <c r="K136" s="24">
        <f t="shared" si="27"/>
        <v>1</v>
      </c>
      <c r="L136" s="717"/>
      <c r="M136" s="24">
        <f t="shared" si="28"/>
        <v>1</v>
      </c>
      <c r="N136" s="717"/>
      <c r="O136" s="24">
        <f t="shared" si="29"/>
        <v>1</v>
      </c>
      <c r="P136" s="717" t="s">
        <v>3465</v>
      </c>
      <c r="Q136" s="24">
        <f t="shared" si="30"/>
        <v>1</v>
      </c>
      <c r="R136" s="713">
        <f t="shared" si="31"/>
        <v>35229</v>
      </c>
      <c r="S136" s="361">
        <f t="shared" si="32"/>
        <v>311</v>
      </c>
    </row>
    <row r="137" spans="1:19">
      <c r="A137" s="715" t="str">
        <f>'数据-基础表'!C126</f>
        <v>15-2-09</v>
      </c>
      <c r="B137" s="715">
        <f>'数据-基础表'!I126</f>
        <v>88.22</v>
      </c>
      <c r="C137" s="24">
        <f t="shared" si="23"/>
        <v>1</v>
      </c>
      <c r="D137" s="717" t="s">
        <v>3384</v>
      </c>
      <c r="E137" s="24">
        <f t="shared" si="24"/>
        <v>1</v>
      </c>
      <c r="F137" s="717"/>
      <c r="G137" s="24">
        <f t="shared" si="25"/>
        <v>1</v>
      </c>
      <c r="H137" s="717"/>
      <c r="I137" s="24">
        <f t="shared" si="26"/>
        <v>1</v>
      </c>
      <c r="J137" s="717"/>
      <c r="K137" s="24">
        <f t="shared" si="27"/>
        <v>1</v>
      </c>
      <c r="L137" s="717"/>
      <c r="M137" s="24">
        <f t="shared" si="28"/>
        <v>1</v>
      </c>
      <c r="N137" s="717"/>
      <c r="O137" s="24">
        <f t="shared" si="29"/>
        <v>1</v>
      </c>
      <c r="P137" s="717" t="s">
        <v>3465</v>
      </c>
      <c r="Q137" s="24">
        <f t="shared" si="30"/>
        <v>1</v>
      </c>
      <c r="R137" s="713">
        <f t="shared" si="31"/>
        <v>35229</v>
      </c>
      <c r="S137" s="361">
        <f t="shared" si="32"/>
        <v>311</v>
      </c>
    </row>
    <row r="138" spans="1:19">
      <c r="A138" s="715" t="str">
        <f>'数据-基础表'!C127</f>
        <v>15-2-12</v>
      </c>
      <c r="B138" s="715">
        <f>'数据-基础表'!I127</f>
        <v>89.39</v>
      </c>
      <c r="C138" s="24">
        <f t="shared" si="23"/>
        <v>1</v>
      </c>
      <c r="D138" s="717" t="s">
        <v>3384</v>
      </c>
      <c r="E138" s="24">
        <f t="shared" si="24"/>
        <v>1</v>
      </c>
      <c r="F138" s="717"/>
      <c r="G138" s="24">
        <f t="shared" si="25"/>
        <v>1</v>
      </c>
      <c r="H138" s="717"/>
      <c r="I138" s="24">
        <f t="shared" si="26"/>
        <v>1</v>
      </c>
      <c r="J138" s="717"/>
      <c r="K138" s="24">
        <f t="shared" si="27"/>
        <v>1</v>
      </c>
      <c r="L138" s="717"/>
      <c r="M138" s="24">
        <f t="shared" si="28"/>
        <v>1</v>
      </c>
      <c r="N138" s="717"/>
      <c r="O138" s="24">
        <f t="shared" si="29"/>
        <v>1</v>
      </c>
      <c r="P138" s="717" t="s">
        <v>3465</v>
      </c>
      <c r="Q138" s="24">
        <f t="shared" si="30"/>
        <v>1</v>
      </c>
      <c r="R138" s="713">
        <f t="shared" si="31"/>
        <v>35229</v>
      </c>
      <c r="S138" s="361">
        <f t="shared" si="32"/>
        <v>315</v>
      </c>
    </row>
    <row r="139" spans="1:19">
      <c r="A139" s="715" t="str">
        <f>'数据-基础表'!C128</f>
        <v>15-2-103</v>
      </c>
      <c r="B139" s="715">
        <f>'数据-基础表'!I128</f>
        <v>64.510000000000005</v>
      </c>
      <c r="C139" s="24">
        <f t="shared" si="23"/>
        <v>1</v>
      </c>
      <c r="D139" s="717" t="s">
        <v>3384</v>
      </c>
      <c r="E139" s="24">
        <f t="shared" si="24"/>
        <v>1</v>
      </c>
      <c r="F139" s="717"/>
      <c r="G139" s="24">
        <f t="shared" si="25"/>
        <v>1</v>
      </c>
      <c r="H139" s="717"/>
      <c r="I139" s="24">
        <f t="shared" si="26"/>
        <v>1</v>
      </c>
      <c r="J139" s="717"/>
      <c r="K139" s="24">
        <f t="shared" si="27"/>
        <v>1</v>
      </c>
      <c r="L139" s="717"/>
      <c r="M139" s="24">
        <f t="shared" si="28"/>
        <v>1</v>
      </c>
      <c r="N139" s="717"/>
      <c r="O139" s="24">
        <f t="shared" si="29"/>
        <v>1</v>
      </c>
      <c r="P139" s="717" t="s">
        <v>3465</v>
      </c>
      <c r="Q139" s="24">
        <f t="shared" si="30"/>
        <v>1</v>
      </c>
      <c r="R139" s="713">
        <f t="shared" si="31"/>
        <v>35229</v>
      </c>
      <c r="S139" s="361">
        <f t="shared" si="32"/>
        <v>227</v>
      </c>
    </row>
    <row r="140" spans="1:19">
      <c r="A140" s="715" t="str">
        <f>'数据-基础表'!C129</f>
        <v>15-2-107</v>
      </c>
      <c r="B140" s="715">
        <f>'数据-基础表'!I129</f>
        <v>92.26</v>
      </c>
      <c r="C140" s="24">
        <f t="shared" si="23"/>
        <v>1</v>
      </c>
      <c r="D140" s="717" t="s">
        <v>3384</v>
      </c>
      <c r="E140" s="24">
        <f t="shared" si="24"/>
        <v>1</v>
      </c>
      <c r="F140" s="717"/>
      <c r="G140" s="24">
        <f t="shared" si="25"/>
        <v>1</v>
      </c>
      <c r="H140" s="717"/>
      <c r="I140" s="24">
        <f t="shared" si="26"/>
        <v>1</v>
      </c>
      <c r="J140" s="717"/>
      <c r="K140" s="24">
        <f t="shared" si="27"/>
        <v>1</v>
      </c>
      <c r="L140" s="717"/>
      <c r="M140" s="24">
        <f t="shared" si="28"/>
        <v>1</v>
      </c>
      <c r="N140" s="717"/>
      <c r="O140" s="24">
        <f t="shared" si="29"/>
        <v>1</v>
      </c>
      <c r="P140" s="717" t="s">
        <v>3465</v>
      </c>
      <c r="Q140" s="24">
        <f t="shared" si="30"/>
        <v>1</v>
      </c>
      <c r="R140" s="713">
        <f t="shared" si="31"/>
        <v>35229</v>
      </c>
      <c r="S140" s="361">
        <f t="shared" si="32"/>
        <v>325</v>
      </c>
    </row>
    <row r="141" spans="1:19">
      <c r="A141" s="715" t="str">
        <f>'数据-基础表'!C130</f>
        <v>15-2-108</v>
      </c>
      <c r="B141" s="715">
        <f>'数据-基础表'!I130</f>
        <v>90.65</v>
      </c>
      <c r="C141" s="24">
        <f t="shared" si="23"/>
        <v>1</v>
      </c>
      <c r="D141" s="717" t="s">
        <v>3384</v>
      </c>
      <c r="E141" s="24">
        <f t="shared" si="24"/>
        <v>1</v>
      </c>
      <c r="F141" s="717"/>
      <c r="G141" s="24">
        <f t="shared" si="25"/>
        <v>1</v>
      </c>
      <c r="H141" s="717"/>
      <c r="I141" s="24">
        <f t="shared" si="26"/>
        <v>1</v>
      </c>
      <c r="J141" s="717"/>
      <c r="K141" s="24">
        <f t="shared" si="27"/>
        <v>1</v>
      </c>
      <c r="L141" s="717"/>
      <c r="M141" s="24">
        <f t="shared" si="28"/>
        <v>1</v>
      </c>
      <c r="N141" s="717"/>
      <c r="O141" s="24">
        <f t="shared" si="29"/>
        <v>1</v>
      </c>
      <c r="P141" s="717" t="s">
        <v>3465</v>
      </c>
      <c r="Q141" s="24">
        <f t="shared" si="30"/>
        <v>1</v>
      </c>
      <c r="R141" s="713">
        <f t="shared" si="31"/>
        <v>35229</v>
      </c>
      <c r="S141" s="361">
        <f t="shared" si="32"/>
        <v>319</v>
      </c>
    </row>
    <row r="142" spans="1:19">
      <c r="A142" s="715" t="str">
        <f>'数据-基础表'!C131</f>
        <v>15-2-614</v>
      </c>
      <c r="B142" s="715">
        <f>'数据-基础表'!I131</f>
        <v>90.65</v>
      </c>
      <c r="C142" s="24">
        <f t="shared" si="23"/>
        <v>1</v>
      </c>
      <c r="D142" s="717" t="s">
        <v>3384</v>
      </c>
      <c r="E142" s="24">
        <f t="shared" si="24"/>
        <v>1</v>
      </c>
      <c r="F142" s="717"/>
      <c r="G142" s="24">
        <f t="shared" si="25"/>
        <v>1</v>
      </c>
      <c r="H142" s="717"/>
      <c r="I142" s="24">
        <f t="shared" si="26"/>
        <v>1</v>
      </c>
      <c r="J142" s="717"/>
      <c r="K142" s="24">
        <f t="shared" si="27"/>
        <v>1</v>
      </c>
      <c r="L142" s="717"/>
      <c r="M142" s="24">
        <f t="shared" si="28"/>
        <v>1</v>
      </c>
      <c r="N142" s="717"/>
      <c r="O142" s="24">
        <f t="shared" si="29"/>
        <v>1</v>
      </c>
      <c r="P142" s="717" t="s">
        <v>3464</v>
      </c>
      <c r="Q142" s="24">
        <f t="shared" si="30"/>
        <v>1.02</v>
      </c>
      <c r="R142" s="713">
        <f t="shared" si="31"/>
        <v>35934</v>
      </c>
      <c r="S142" s="361">
        <f t="shared" si="32"/>
        <v>326</v>
      </c>
    </row>
    <row r="143" spans="1:19">
      <c r="A143" s="715" t="str">
        <f>'数据-基础表'!C132</f>
        <v>17-1-207</v>
      </c>
      <c r="B143" s="715">
        <f>'数据-基础表'!I132</f>
        <v>91.79</v>
      </c>
      <c r="C143" s="24">
        <f t="shared" si="23"/>
        <v>1</v>
      </c>
      <c r="D143" s="717" t="s">
        <v>3384</v>
      </c>
      <c r="E143" s="24">
        <f t="shared" si="24"/>
        <v>1</v>
      </c>
      <c r="F143" s="717"/>
      <c r="G143" s="24">
        <f t="shared" si="25"/>
        <v>1</v>
      </c>
      <c r="H143" s="717"/>
      <c r="I143" s="24">
        <f t="shared" si="26"/>
        <v>1</v>
      </c>
      <c r="J143" s="717"/>
      <c r="K143" s="24">
        <f t="shared" si="27"/>
        <v>1</v>
      </c>
      <c r="L143" s="717"/>
      <c r="M143" s="24">
        <f t="shared" si="28"/>
        <v>1</v>
      </c>
      <c r="N143" s="717"/>
      <c r="O143" s="24">
        <f t="shared" si="29"/>
        <v>1</v>
      </c>
      <c r="P143" s="717" t="s">
        <v>3465</v>
      </c>
      <c r="Q143" s="24">
        <f t="shared" si="30"/>
        <v>1</v>
      </c>
      <c r="R143" s="713">
        <f t="shared" si="31"/>
        <v>35229</v>
      </c>
      <c r="S143" s="361">
        <f t="shared" si="32"/>
        <v>323</v>
      </c>
    </row>
    <row r="144" spans="1:19">
      <c r="A144" s="715" t="str">
        <f>'数据-基础表'!C133</f>
        <v>17-1-614</v>
      </c>
      <c r="B144" s="715">
        <f>'数据-基础表'!I133</f>
        <v>91.79</v>
      </c>
      <c r="C144" s="24">
        <f t="shared" si="23"/>
        <v>1</v>
      </c>
      <c r="D144" s="717" t="s">
        <v>3384</v>
      </c>
      <c r="E144" s="24">
        <f t="shared" si="24"/>
        <v>1</v>
      </c>
      <c r="F144" s="717"/>
      <c r="G144" s="24">
        <f t="shared" si="25"/>
        <v>1</v>
      </c>
      <c r="H144" s="717"/>
      <c r="I144" s="24">
        <f t="shared" si="26"/>
        <v>1</v>
      </c>
      <c r="J144" s="717"/>
      <c r="K144" s="24">
        <f t="shared" si="27"/>
        <v>1</v>
      </c>
      <c r="L144" s="717"/>
      <c r="M144" s="24">
        <f t="shared" si="28"/>
        <v>1</v>
      </c>
      <c r="N144" s="717"/>
      <c r="O144" s="24">
        <f t="shared" si="29"/>
        <v>1</v>
      </c>
      <c r="P144" s="717" t="s">
        <v>3464</v>
      </c>
      <c r="Q144" s="24">
        <f t="shared" si="30"/>
        <v>1.02</v>
      </c>
      <c r="R144" s="713">
        <f t="shared" si="31"/>
        <v>35934</v>
      </c>
      <c r="S144" s="361">
        <f t="shared" si="32"/>
        <v>330</v>
      </c>
    </row>
    <row r="145" spans="1:19">
      <c r="A145" s="715" t="str">
        <f>'数据-基础表'!C134</f>
        <v>17-1-1205</v>
      </c>
      <c r="B145" s="715">
        <f>'数据-基础表'!I134</f>
        <v>91.79</v>
      </c>
      <c r="C145" s="24">
        <f t="shared" si="23"/>
        <v>1</v>
      </c>
      <c r="D145" s="717" t="s">
        <v>3384</v>
      </c>
      <c r="E145" s="24">
        <f t="shared" si="24"/>
        <v>1</v>
      </c>
      <c r="F145" s="717"/>
      <c r="G145" s="24">
        <f t="shared" si="25"/>
        <v>1</v>
      </c>
      <c r="H145" s="717"/>
      <c r="I145" s="24">
        <f t="shared" si="26"/>
        <v>1</v>
      </c>
      <c r="J145" s="717"/>
      <c r="K145" s="24">
        <f t="shared" si="27"/>
        <v>1</v>
      </c>
      <c r="L145" s="717"/>
      <c r="M145" s="24">
        <f t="shared" si="28"/>
        <v>1</v>
      </c>
      <c r="N145" s="717"/>
      <c r="O145" s="24">
        <f t="shared" si="29"/>
        <v>1</v>
      </c>
      <c r="P145" s="717" t="s">
        <v>3463</v>
      </c>
      <c r="Q145" s="24">
        <f t="shared" si="30"/>
        <v>1.04</v>
      </c>
      <c r="R145" s="713">
        <f t="shared" si="31"/>
        <v>36638</v>
      </c>
      <c r="S145" s="361">
        <f t="shared" si="32"/>
        <v>336</v>
      </c>
    </row>
    <row r="146" spans="1:19">
      <c r="A146" s="715" t="str">
        <f>'数据-基础表'!C135</f>
        <v>19-1-209</v>
      </c>
      <c r="B146" s="715">
        <f>'数据-基础表'!I135</f>
        <v>91.54</v>
      </c>
      <c r="C146" s="24">
        <f t="shared" si="23"/>
        <v>1</v>
      </c>
      <c r="D146" s="717" t="s">
        <v>3384</v>
      </c>
      <c r="E146" s="24">
        <f t="shared" si="24"/>
        <v>1</v>
      </c>
      <c r="F146" s="717"/>
      <c r="G146" s="24">
        <f t="shared" si="25"/>
        <v>1</v>
      </c>
      <c r="H146" s="717"/>
      <c r="I146" s="24">
        <f t="shared" si="26"/>
        <v>1</v>
      </c>
      <c r="J146" s="717"/>
      <c r="K146" s="24">
        <f t="shared" si="27"/>
        <v>1</v>
      </c>
      <c r="L146" s="717"/>
      <c r="M146" s="24">
        <f t="shared" si="28"/>
        <v>1</v>
      </c>
      <c r="N146" s="717"/>
      <c r="O146" s="24">
        <f t="shared" si="29"/>
        <v>1</v>
      </c>
      <c r="P146" s="717" t="s">
        <v>3465</v>
      </c>
      <c r="Q146" s="24">
        <f t="shared" si="30"/>
        <v>1</v>
      </c>
      <c r="R146" s="713">
        <f t="shared" si="31"/>
        <v>35229</v>
      </c>
      <c r="S146" s="361">
        <f t="shared" si="32"/>
        <v>322</v>
      </c>
    </row>
    <row r="147" spans="1:19">
      <c r="A147" s="715" t="str">
        <f>'数据-基础表'!C136</f>
        <v>19-1-214</v>
      </c>
      <c r="B147" s="715">
        <f>'数据-基础表'!I136</f>
        <v>92.24</v>
      </c>
      <c r="C147" s="24">
        <f t="shared" si="23"/>
        <v>1</v>
      </c>
      <c r="D147" s="717" t="s">
        <v>3384</v>
      </c>
      <c r="E147" s="24">
        <f t="shared" si="24"/>
        <v>1</v>
      </c>
      <c r="F147" s="717"/>
      <c r="G147" s="24">
        <f t="shared" si="25"/>
        <v>1</v>
      </c>
      <c r="H147" s="717"/>
      <c r="I147" s="24">
        <f t="shared" si="26"/>
        <v>1</v>
      </c>
      <c r="J147" s="717"/>
      <c r="K147" s="24">
        <f t="shared" si="27"/>
        <v>1</v>
      </c>
      <c r="L147" s="717"/>
      <c r="M147" s="24">
        <f t="shared" si="28"/>
        <v>1</v>
      </c>
      <c r="N147" s="717"/>
      <c r="O147" s="24">
        <f t="shared" si="29"/>
        <v>1</v>
      </c>
      <c r="P147" s="717" t="s">
        <v>3465</v>
      </c>
      <c r="Q147" s="24">
        <f t="shared" si="30"/>
        <v>1</v>
      </c>
      <c r="R147" s="713">
        <f t="shared" si="31"/>
        <v>35229</v>
      </c>
      <c r="S147" s="361">
        <f t="shared" si="32"/>
        <v>325</v>
      </c>
    </row>
    <row r="148" spans="1:19">
      <c r="A148" s="715" t="str">
        <f>'数据-基础表'!C137</f>
        <v>19-1-810</v>
      </c>
      <c r="B148" s="715">
        <f>'数据-基础表'!I137</f>
        <v>92.24</v>
      </c>
      <c r="C148" s="24">
        <f t="shared" si="23"/>
        <v>1</v>
      </c>
      <c r="D148" s="717" t="s">
        <v>3384</v>
      </c>
      <c r="E148" s="24">
        <f t="shared" si="24"/>
        <v>1</v>
      </c>
      <c r="F148" s="717"/>
      <c r="G148" s="24">
        <f t="shared" si="25"/>
        <v>1</v>
      </c>
      <c r="H148" s="717"/>
      <c r="I148" s="24">
        <f t="shared" si="26"/>
        <v>1</v>
      </c>
      <c r="J148" s="717"/>
      <c r="K148" s="24">
        <f t="shared" si="27"/>
        <v>1</v>
      </c>
      <c r="L148" s="717"/>
      <c r="M148" s="24">
        <f t="shared" si="28"/>
        <v>1</v>
      </c>
      <c r="N148" s="717"/>
      <c r="O148" s="24">
        <f t="shared" si="29"/>
        <v>1</v>
      </c>
      <c r="P148" s="717" t="s">
        <v>3463</v>
      </c>
      <c r="Q148" s="24">
        <f t="shared" si="30"/>
        <v>1.04</v>
      </c>
      <c r="R148" s="713">
        <f t="shared" si="31"/>
        <v>36638</v>
      </c>
      <c r="S148" s="361">
        <f t="shared" si="32"/>
        <v>338</v>
      </c>
    </row>
    <row r="149" spans="1:19">
      <c r="A149" s="715" t="str">
        <f>'数据-基础表'!C138</f>
        <v>19-2-210</v>
      </c>
      <c r="B149" s="715">
        <f>'数据-基础表'!I138</f>
        <v>92.24</v>
      </c>
      <c r="C149" s="24">
        <f t="shared" si="23"/>
        <v>1</v>
      </c>
      <c r="D149" s="717" t="s">
        <v>3384</v>
      </c>
      <c r="E149" s="24">
        <f t="shared" si="24"/>
        <v>1</v>
      </c>
      <c r="F149" s="717"/>
      <c r="G149" s="24">
        <f t="shared" si="25"/>
        <v>1</v>
      </c>
      <c r="H149" s="717"/>
      <c r="I149" s="24">
        <f t="shared" si="26"/>
        <v>1</v>
      </c>
      <c r="J149" s="717"/>
      <c r="K149" s="24">
        <f t="shared" si="27"/>
        <v>1</v>
      </c>
      <c r="L149" s="717"/>
      <c r="M149" s="24">
        <f t="shared" si="28"/>
        <v>1</v>
      </c>
      <c r="N149" s="717"/>
      <c r="O149" s="24">
        <f t="shared" si="29"/>
        <v>1</v>
      </c>
      <c r="P149" s="717" t="s">
        <v>3465</v>
      </c>
      <c r="Q149" s="24">
        <f t="shared" si="30"/>
        <v>1</v>
      </c>
      <c r="R149" s="713">
        <f t="shared" si="31"/>
        <v>35229</v>
      </c>
      <c r="S149" s="361">
        <f t="shared" si="32"/>
        <v>325</v>
      </c>
    </row>
    <row r="150" spans="1:19">
      <c r="A150" s="715" t="str">
        <f>'数据-基础表'!C139</f>
        <v>19-2-407</v>
      </c>
      <c r="B150" s="715">
        <f>'数据-基础表'!I139</f>
        <v>92.62</v>
      </c>
      <c r="C150" s="24">
        <f t="shared" si="23"/>
        <v>1</v>
      </c>
      <c r="D150" s="717" t="s">
        <v>3384</v>
      </c>
      <c r="E150" s="24">
        <f t="shared" si="24"/>
        <v>1</v>
      </c>
      <c r="F150" s="717"/>
      <c r="G150" s="24">
        <f t="shared" si="25"/>
        <v>1</v>
      </c>
      <c r="H150" s="717"/>
      <c r="I150" s="24">
        <f t="shared" si="26"/>
        <v>1</v>
      </c>
      <c r="J150" s="717"/>
      <c r="K150" s="24">
        <f t="shared" si="27"/>
        <v>1</v>
      </c>
      <c r="L150" s="717"/>
      <c r="M150" s="24">
        <f t="shared" si="28"/>
        <v>1</v>
      </c>
      <c r="N150" s="717"/>
      <c r="O150" s="24">
        <f t="shared" si="29"/>
        <v>1</v>
      </c>
      <c r="P150" s="717" t="s">
        <v>3464</v>
      </c>
      <c r="Q150" s="24">
        <f t="shared" si="30"/>
        <v>1.02</v>
      </c>
      <c r="R150" s="713">
        <f t="shared" si="31"/>
        <v>35934</v>
      </c>
      <c r="S150" s="361">
        <f t="shared" si="32"/>
        <v>333</v>
      </c>
    </row>
    <row r="151" spans="1:19">
      <c r="A151" s="715" t="str">
        <f>'数据-基础表'!C140</f>
        <v>19-2-414</v>
      </c>
      <c r="B151" s="715">
        <f>'数据-基础表'!I140</f>
        <v>92.24</v>
      </c>
      <c r="C151" s="24">
        <f t="shared" si="23"/>
        <v>1</v>
      </c>
      <c r="D151" s="717" t="s">
        <v>3384</v>
      </c>
      <c r="E151" s="24">
        <f t="shared" si="24"/>
        <v>1</v>
      </c>
      <c r="F151" s="717"/>
      <c r="G151" s="24">
        <f t="shared" si="25"/>
        <v>1</v>
      </c>
      <c r="H151" s="717"/>
      <c r="I151" s="24">
        <f t="shared" si="26"/>
        <v>1</v>
      </c>
      <c r="J151" s="717"/>
      <c r="K151" s="24">
        <f t="shared" si="27"/>
        <v>1</v>
      </c>
      <c r="L151" s="717"/>
      <c r="M151" s="24">
        <f t="shared" si="28"/>
        <v>1</v>
      </c>
      <c r="N151" s="717"/>
      <c r="O151" s="24">
        <f t="shared" si="29"/>
        <v>1</v>
      </c>
      <c r="P151" s="717" t="s">
        <v>3464</v>
      </c>
      <c r="Q151" s="24">
        <f t="shared" si="30"/>
        <v>1.02</v>
      </c>
      <c r="R151" s="713">
        <f t="shared" si="31"/>
        <v>35934</v>
      </c>
      <c r="S151" s="361">
        <f t="shared" si="32"/>
        <v>331</v>
      </c>
    </row>
    <row r="152" spans="1:19">
      <c r="A152" s="715" t="str">
        <f>'数据-基础表'!C141</f>
        <v>19-2-604</v>
      </c>
      <c r="B152" s="715">
        <f>'数据-基础表'!I141</f>
        <v>92.62</v>
      </c>
      <c r="C152" s="24">
        <f t="shared" si="23"/>
        <v>1</v>
      </c>
      <c r="D152" s="717" t="s">
        <v>3384</v>
      </c>
      <c r="E152" s="24">
        <f t="shared" si="24"/>
        <v>1</v>
      </c>
      <c r="F152" s="717"/>
      <c r="G152" s="24">
        <f t="shared" si="25"/>
        <v>1</v>
      </c>
      <c r="H152" s="717"/>
      <c r="I152" s="24">
        <f t="shared" si="26"/>
        <v>1</v>
      </c>
      <c r="J152" s="717"/>
      <c r="K152" s="24">
        <f t="shared" si="27"/>
        <v>1</v>
      </c>
      <c r="L152" s="717"/>
      <c r="M152" s="24">
        <f t="shared" si="28"/>
        <v>1</v>
      </c>
      <c r="N152" s="717"/>
      <c r="O152" s="24">
        <f t="shared" si="29"/>
        <v>1</v>
      </c>
      <c r="P152" s="717" t="s">
        <v>3464</v>
      </c>
      <c r="Q152" s="24">
        <f t="shared" si="30"/>
        <v>1.02</v>
      </c>
      <c r="R152" s="713">
        <f t="shared" si="31"/>
        <v>35934</v>
      </c>
      <c r="S152" s="361">
        <f t="shared" si="32"/>
        <v>333</v>
      </c>
    </row>
    <row r="153" spans="1:19">
      <c r="A153" s="715" t="str">
        <f>'数据-基础表'!C142</f>
        <v>19-2-714</v>
      </c>
      <c r="B153" s="715">
        <f>'数据-基础表'!I142</f>
        <v>92.24</v>
      </c>
      <c r="C153" s="24">
        <f t="shared" si="23"/>
        <v>1</v>
      </c>
      <c r="D153" s="717" t="s">
        <v>3384</v>
      </c>
      <c r="E153" s="24">
        <f t="shared" si="24"/>
        <v>1</v>
      </c>
      <c r="F153" s="717"/>
      <c r="G153" s="24">
        <f t="shared" si="25"/>
        <v>1</v>
      </c>
      <c r="H153" s="717"/>
      <c r="I153" s="24">
        <f t="shared" si="26"/>
        <v>1</v>
      </c>
      <c r="J153" s="717"/>
      <c r="K153" s="24">
        <f t="shared" si="27"/>
        <v>1</v>
      </c>
      <c r="L153" s="717"/>
      <c r="M153" s="24">
        <f t="shared" si="28"/>
        <v>1</v>
      </c>
      <c r="N153" s="717"/>
      <c r="O153" s="24">
        <f t="shared" si="29"/>
        <v>1</v>
      </c>
      <c r="P153" s="717" t="s">
        <v>3463</v>
      </c>
      <c r="Q153" s="24">
        <f t="shared" si="30"/>
        <v>1.04</v>
      </c>
      <c r="R153" s="713">
        <f t="shared" si="31"/>
        <v>36638</v>
      </c>
      <c r="S153" s="361">
        <f t="shared" si="32"/>
        <v>338</v>
      </c>
    </row>
    <row r="154" spans="1:19">
      <c r="A154" s="715" t="str">
        <f>'数据-基础表'!C143</f>
        <v>19-2-905</v>
      </c>
      <c r="B154" s="715">
        <f>'数据-基础表'!I143</f>
        <v>92.62</v>
      </c>
      <c r="C154" s="24">
        <f t="shared" ref="C154:C217" si="33">IF(B154="",1,(LOOKUP(B154,$3:$3,$4:$4)-LOOKUP($B$24,$3:$3,$4:$4)+100)/100)</f>
        <v>1</v>
      </c>
      <c r="D154" s="717" t="s">
        <v>3384</v>
      </c>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t="s">
        <v>3463</v>
      </c>
      <c r="Q154" s="24">
        <f t="shared" ref="Q154:Q217" si="40">(SUMIF($17:$17,P154,$18:$18)-SUMIF($17:$17,$P$24,$18:$18)+100)/100</f>
        <v>1.04</v>
      </c>
      <c r="R154" s="713">
        <f t="shared" ref="R154:R217" si="41">IF(B154="",0,ROUND($R$24*C154*E154*G154*I154*K154*M154*O154*Q154,0))</f>
        <v>36638</v>
      </c>
      <c r="S154" s="361">
        <f t="shared" si="32"/>
        <v>339</v>
      </c>
    </row>
    <row r="155" spans="1:19">
      <c r="A155" s="715" t="str">
        <f>'数据-基础表'!C144</f>
        <v>19-2-906</v>
      </c>
      <c r="B155" s="715">
        <f>'数据-基础表'!I144</f>
        <v>92.62</v>
      </c>
      <c r="C155" s="24">
        <f t="shared" si="33"/>
        <v>1</v>
      </c>
      <c r="D155" s="717" t="s">
        <v>3384</v>
      </c>
      <c r="E155" s="24">
        <f t="shared" si="34"/>
        <v>1</v>
      </c>
      <c r="F155" s="717"/>
      <c r="G155" s="24">
        <f t="shared" si="35"/>
        <v>1</v>
      </c>
      <c r="H155" s="717"/>
      <c r="I155" s="24">
        <f t="shared" si="36"/>
        <v>1</v>
      </c>
      <c r="J155" s="717"/>
      <c r="K155" s="24">
        <f t="shared" si="37"/>
        <v>1</v>
      </c>
      <c r="L155" s="717"/>
      <c r="M155" s="24">
        <f t="shared" si="38"/>
        <v>1</v>
      </c>
      <c r="N155" s="717"/>
      <c r="O155" s="24">
        <f t="shared" si="39"/>
        <v>1</v>
      </c>
      <c r="P155" s="717" t="s">
        <v>3463</v>
      </c>
      <c r="Q155" s="24">
        <f t="shared" si="40"/>
        <v>1.04</v>
      </c>
      <c r="R155" s="713">
        <f t="shared" si="41"/>
        <v>36638</v>
      </c>
      <c r="S155" s="361">
        <f t="shared" si="32"/>
        <v>339</v>
      </c>
    </row>
    <row r="156" spans="1:19">
      <c r="A156" s="715" t="str">
        <f>'数据-基础表'!C145</f>
        <v>13-1-01</v>
      </c>
      <c r="B156" s="715">
        <f>'数据-基础表'!I145</f>
        <v>88.22</v>
      </c>
      <c r="C156" s="24">
        <f t="shared" si="33"/>
        <v>1</v>
      </c>
      <c r="D156" s="717" t="s">
        <v>3384</v>
      </c>
      <c r="E156" s="24">
        <f t="shared" si="34"/>
        <v>1</v>
      </c>
      <c r="F156" s="717"/>
      <c r="G156" s="24">
        <f t="shared" si="35"/>
        <v>1</v>
      </c>
      <c r="H156" s="717"/>
      <c r="I156" s="24">
        <f t="shared" si="36"/>
        <v>1</v>
      </c>
      <c r="J156" s="717"/>
      <c r="K156" s="24">
        <f t="shared" si="37"/>
        <v>1</v>
      </c>
      <c r="L156" s="717"/>
      <c r="M156" s="24">
        <f t="shared" si="38"/>
        <v>1</v>
      </c>
      <c r="N156" s="717"/>
      <c r="O156" s="24">
        <f t="shared" si="39"/>
        <v>1</v>
      </c>
      <c r="P156" s="717" t="s">
        <v>3465</v>
      </c>
      <c r="Q156" s="24">
        <f t="shared" si="40"/>
        <v>1</v>
      </c>
      <c r="R156" s="713">
        <f t="shared" si="41"/>
        <v>35229</v>
      </c>
      <c r="S156" s="361">
        <f t="shared" si="32"/>
        <v>311</v>
      </c>
    </row>
    <row r="157" spans="1:19">
      <c r="A157" s="715" t="str">
        <f>'数据-基础表'!C146</f>
        <v>13-1-02</v>
      </c>
      <c r="B157" s="715">
        <f>'数据-基础表'!I146</f>
        <v>60.26</v>
      </c>
      <c r="C157" s="24">
        <f t="shared" si="33"/>
        <v>1</v>
      </c>
      <c r="D157" s="717" t="s">
        <v>3384</v>
      </c>
      <c r="E157" s="24">
        <f t="shared" si="34"/>
        <v>1</v>
      </c>
      <c r="F157" s="717"/>
      <c r="G157" s="24">
        <f t="shared" si="35"/>
        <v>1</v>
      </c>
      <c r="H157" s="717"/>
      <c r="I157" s="24">
        <f t="shared" si="36"/>
        <v>1</v>
      </c>
      <c r="J157" s="717"/>
      <c r="K157" s="24">
        <f t="shared" si="37"/>
        <v>1</v>
      </c>
      <c r="L157" s="717"/>
      <c r="M157" s="24">
        <f t="shared" si="38"/>
        <v>1</v>
      </c>
      <c r="N157" s="717"/>
      <c r="O157" s="24">
        <f t="shared" si="39"/>
        <v>1</v>
      </c>
      <c r="P157" s="717" t="s">
        <v>3465</v>
      </c>
      <c r="Q157" s="24">
        <f t="shared" si="40"/>
        <v>1</v>
      </c>
      <c r="R157" s="713">
        <f t="shared" si="41"/>
        <v>35229</v>
      </c>
      <c r="S157" s="361">
        <f t="shared" si="32"/>
        <v>212</v>
      </c>
    </row>
    <row r="158" spans="1:19">
      <c r="A158" s="715" t="str">
        <f>'数据-基础表'!C147</f>
        <v>13-1-03</v>
      </c>
      <c r="B158" s="715">
        <f>'数据-基础表'!I147</f>
        <v>85.73</v>
      </c>
      <c r="C158" s="24">
        <f t="shared" si="33"/>
        <v>1</v>
      </c>
      <c r="D158" s="717" t="s">
        <v>3384</v>
      </c>
      <c r="E158" s="24">
        <f t="shared" si="34"/>
        <v>1</v>
      </c>
      <c r="F158" s="717"/>
      <c r="G158" s="24">
        <f t="shared" si="35"/>
        <v>1</v>
      </c>
      <c r="H158" s="717"/>
      <c r="I158" s="24">
        <f t="shared" si="36"/>
        <v>1</v>
      </c>
      <c r="J158" s="717"/>
      <c r="K158" s="24">
        <f t="shared" si="37"/>
        <v>1</v>
      </c>
      <c r="L158" s="717"/>
      <c r="M158" s="24">
        <f t="shared" si="38"/>
        <v>1</v>
      </c>
      <c r="N158" s="717"/>
      <c r="O158" s="24">
        <f t="shared" si="39"/>
        <v>1</v>
      </c>
      <c r="P158" s="717" t="s">
        <v>3465</v>
      </c>
      <c r="Q158" s="24">
        <f t="shared" si="40"/>
        <v>1</v>
      </c>
      <c r="R158" s="713">
        <f t="shared" si="41"/>
        <v>35229</v>
      </c>
      <c r="S158" s="361">
        <f t="shared" si="32"/>
        <v>302</v>
      </c>
    </row>
    <row r="159" spans="1:19">
      <c r="A159" s="715" t="str">
        <f>'数据-基础表'!C148</f>
        <v>13-1-04</v>
      </c>
      <c r="B159" s="715">
        <f>'数据-基础表'!I148</f>
        <v>89.39</v>
      </c>
      <c r="C159" s="24">
        <f t="shared" si="33"/>
        <v>1</v>
      </c>
      <c r="D159" s="717" t="s">
        <v>3384</v>
      </c>
      <c r="E159" s="24">
        <f t="shared" si="34"/>
        <v>1</v>
      </c>
      <c r="F159" s="717"/>
      <c r="G159" s="24">
        <f t="shared" si="35"/>
        <v>1</v>
      </c>
      <c r="H159" s="717"/>
      <c r="I159" s="24">
        <f t="shared" si="36"/>
        <v>1</v>
      </c>
      <c r="J159" s="717"/>
      <c r="K159" s="24">
        <f t="shared" si="37"/>
        <v>1</v>
      </c>
      <c r="L159" s="717"/>
      <c r="M159" s="24">
        <f t="shared" si="38"/>
        <v>1</v>
      </c>
      <c r="N159" s="717"/>
      <c r="O159" s="24">
        <f t="shared" si="39"/>
        <v>1</v>
      </c>
      <c r="P159" s="717" t="s">
        <v>3465</v>
      </c>
      <c r="Q159" s="24">
        <f t="shared" si="40"/>
        <v>1</v>
      </c>
      <c r="R159" s="713">
        <f t="shared" si="41"/>
        <v>35229</v>
      </c>
      <c r="S159" s="361">
        <f t="shared" si="32"/>
        <v>315</v>
      </c>
    </row>
    <row r="160" spans="1:19">
      <c r="A160" s="715" t="str">
        <f>'数据-基础表'!C149</f>
        <v>13-1-05</v>
      </c>
      <c r="B160" s="715">
        <f>'数据-基础表'!I149</f>
        <v>89.39</v>
      </c>
      <c r="C160" s="24">
        <f t="shared" si="33"/>
        <v>1</v>
      </c>
      <c r="D160" s="717" t="s">
        <v>3384</v>
      </c>
      <c r="E160" s="24">
        <f t="shared" si="34"/>
        <v>1</v>
      </c>
      <c r="F160" s="717"/>
      <c r="G160" s="24">
        <f t="shared" si="35"/>
        <v>1</v>
      </c>
      <c r="H160" s="717"/>
      <c r="I160" s="24">
        <f t="shared" si="36"/>
        <v>1</v>
      </c>
      <c r="J160" s="717"/>
      <c r="K160" s="24">
        <f t="shared" si="37"/>
        <v>1</v>
      </c>
      <c r="L160" s="717"/>
      <c r="M160" s="24">
        <f t="shared" si="38"/>
        <v>1</v>
      </c>
      <c r="N160" s="717"/>
      <c r="O160" s="24">
        <f t="shared" si="39"/>
        <v>1</v>
      </c>
      <c r="P160" s="717" t="s">
        <v>3465</v>
      </c>
      <c r="Q160" s="24">
        <f t="shared" si="40"/>
        <v>1</v>
      </c>
      <c r="R160" s="713">
        <f t="shared" si="41"/>
        <v>35229</v>
      </c>
      <c r="S160" s="361">
        <f t="shared" si="32"/>
        <v>315</v>
      </c>
    </row>
    <row r="161" spans="1:19">
      <c r="A161" s="715" t="str">
        <f>'数据-基础表'!C150</f>
        <v>13-1-06</v>
      </c>
      <c r="B161" s="715">
        <f>'数据-基础表'!I150</f>
        <v>88.22</v>
      </c>
      <c r="C161" s="24">
        <f t="shared" si="33"/>
        <v>1</v>
      </c>
      <c r="D161" s="717" t="s">
        <v>3384</v>
      </c>
      <c r="E161" s="24">
        <f t="shared" si="34"/>
        <v>1</v>
      </c>
      <c r="F161" s="717"/>
      <c r="G161" s="24">
        <f t="shared" si="35"/>
        <v>1</v>
      </c>
      <c r="H161" s="717"/>
      <c r="I161" s="24">
        <f t="shared" si="36"/>
        <v>1</v>
      </c>
      <c r="J161" s="717"/>
      <c r="K161" s="24">
        <f t="shared" si="37"/>
        <v>1</v>
      </c>
      <c r="L161" s="717"/>
      <c r="M161" s="24">
        <f t="shared" si="38"/>
        <v>1</v>
      </c>
      <c r="N161" s="717"/>
      <c r="O161" s="24">
        <f t="shared" si="39"/>
        <v>1</v>
      </c>
      <c r="P161" s="717" t="s">
        <v>3465</v>
      </c>
      <c r="Q161" s="24">
        <f t="shared" si="40"/>
        <v>1</v>
      </c>
      <c r="R161" s="713">
        <f t="shared" si="41"/>
        <v>35229</v>
      </c>
      <c r="S161" s="361">
        <f t="shared" si="32"/>
        <v>311</v>
      </c>
    </row>
    <row r="162" spans="1:19">
      <c r="A162" s="715" t="str">
        <f>'数据-基础表'!C151</f>
        <v>13-1-07</v>
      </c>
      <c r="B162" s="715">
        <f>'数据-基础表'!I151</f>
        <v>88.22</v>
      </c>
      <c r="C162" s="24">
        <f t="shared" si="33"/>
        <v>1</v>
      </c>
      <c r="D162" s="717" t="s">
        <v>3384</v>
      </c>
      <c r="E162" s="24">
        <f t="shared" si="34"/>
        <v>1</v>
      </c>
      <c r="F162" s="717"/>
      <c r="G162" s="24">
        <f t="shared" si="35"/>
        <v>1</v>
      </c>
      <c r="H162" s="717"/>
      <c r="I162" s="24">
        <f t="shared" si="36"/>
        <v>1</v>
      </c>
      <c r="J162" s="717"/>
      <c r="K162" s="24">
        <f t="shared" si="37"/>
        <v>1</v>
      </c>
      <c r="L162" s="717"/>
      <c r="M162" s="24">
        <f t="shared" si="38"/>
        <v>1</v>
      </c>
      <c r="N162" s="717"/>
      <c r="O162" s="24">
        <f t="shared" si="39"/>
        <v>1</v>
      </c>
      <c r="P162" s="717" t="s">
        <v>3465</v>
      </c>
      <c r="Q162" s="24">
        <f t="shared" si="40"/>
        <v>1</v>
      </c>
      <c r="R162" s="713">
        <f t="shared" si="41"/>
        <v>35229</v>
      </c>
      <c r="S162" s="361">
        <f t="shared" si="32"/>
        <v>311</v>
      </c>
    </row>
    <row r="163" spans="1:19">
      <c r="A163" s="715" t="str">
        <f>'数据-基础表'!C152</f>
        <v>13-1-08</v>
      </c>
      <c r="B163" s="715">
        <f>'数据-基础表'!I152</f>
        <v>88.22</v>
      </c>
      <c r="C163" s="24">
        <f t="shared" si="33"/>
        <v>1</v>
      </c>
      <c r="D163" s="717" t="s">
        <v>3384</v>
      </c>
      <c r="E163" s="24">
        <f t="shared" si="34"/>
        <v>1</v>
      </c>
      <c r="F163" s="717"/>
      <c r="G163" s="24">
        <f t="shared" si="35"/>
        <v>1</v>
      </c>
      <c r="H163" s="717"/>
      <c r="I163" s="24">
        <f t="shared" si="36"/>
        <v>1</v>
      </c>
      <c r="J163" s="717"/>
      <c r="K163" s="24">
        <f t="shared" si="37"/>
        <v>1</v>
      </c>
      <c r="L163" s="717"/>
      <c r="M163" s="24">
        <f t="shared" si="38"/>
        <v>1</v>
      </c>
      <c r="N163" s="717"/>
      <c r="O163" s="24">
        <f t="shared" si="39"/>
        <v>1</v>
      </c>
      <c r="P163" s="717" t="s">
        <v>3465</v>
      </c>
      <c r="Q163" s="24">
        <f t="shared" si="40"/>
        <v>1</v>
      </c>
      <c r="R163" s="713">
        <f t="shared" si="41"/>
        <v>35229</v>
      </c>
      <c r="S163" s="361">
        <f t="shared" si="32"/>
        <v>311</v>
      </c>
    </row>
    <row r="164" spans="1:19">
      <c r="A164" s="715" t="str">
        <f>'数据-基础表'!C153</f>
        <v>13-1-09</v>
      </c>
      <c r="B164" s="715">
        <f>'数据-基础表'!I153</f>
        <v>88.22</v>
      </c>
      <c r="C164" s="24">
        <f t="shared" si="33"/>
        <v>1</v>
      </c>
      <c r="D164" s="717" t="s">
        <v>3384</v>
      </c>
      <c r="E164" s="24">
        <f t="shared" si="34"/>
        <v>1</v>
      </c>
      <c r="F164" s="717"/>
      <c r="G164" s="24">
        <f t="shared" si="35"/>
        <v>1</v>
      </c>
      <c r="H164" s="717"/>
      <c r="I164" s="24">
        <f t="shared" si="36"/>
        <v>1</v>
      </c>
      <c r="J164" s="717"/>
      <c r="K164" s="24">
        <f t="shared" si="37"/>
        <v>1</v>
      </c>
      <c r="L164" s="717"/>
      <c r="M164" s="24">
        <f t="shared" si="38"/>
        <v>1</v>
      </c>
      <c r="N164" s="717"/>
      <c r="O164" s="24">
        <f t="shared" si="39"/>
        <v>1</v>
      </c>
      <c r="P164" s="717" t="s">
        <v>3465</v>
      </c>
      <c r="Q164" s="24">
        <f t="shared" si="40"/>
        <v>1</v>
      </c>
      <c r="R164" s="713">
        <f t="shared" si="41"/>
        <v>35229</v>
      </c>
      <c r="S164" s="361">
        <f t="shared" si="32"/>
        <v>311</v>
      </c>
    </row>
    <row r="165" spans="1:19">
      <c r="A165" s="715" t="str">
        <f>'数据-基础表'!C154</f>
        <v>13-1-10</v>
      </c>
      <c r="B165" s="715">
        <f>'数据-基础表'!I154</f>
        <v>88.22</v>
      </c>
      <c r="C165" s="24">
        <f t="shared" si="33"/>
        <v>1</v>
      </c>
      <c r="D165" s="717" t="s">
        <v>3384</v>
      </c>
      <c r="E165" s="24">
        <f t="shared" si="34"/>
        <v>1</v>
      </c>
      <c r="F165" s="717"/>
      <c r="G165" s="24">
        <f t="shared" si="35"/>
        <v>1</v>
      </c>
      <c r="H165" s="717"/>
      <c r="I165" s="24">
        <f t="shared" si="36"/>
        <v>1</v>
      </c>
      <c r="J165" s="717"/>
      <c r="K165" s="24">
        <f t="shared" si="37"/>
        <v>1</v>
      </c>
      <c r="L165" s="717"/>
      <c r="M165" s="24">
        <f t="shared" si="38"/>
        <v>1</v>
      </c>
      <c r="N165" s="717"/>
      <c r="O165" s="24">
        <f t="shared" si="39"/>
        <v>1</v>
      </c>
      <c r="P165" s="717" t="s">
        <v>3465</v>
      </c>
      <c r="Q165" s="24">
        <f t="shared" si="40"/>
        <v>1</v>
      </c>
      <c r="R165" s="713">
        <f t="shared" si="41"/>
        <v>35229</v>
      </c>
      <c r="S165" s="361">
        <f t="shared" si="32"/>
        <v>311</v>
      </c>
    </row>
    <row r="166" spans="1:19">
      <c r="A166" s="715" t="str">
        <f>'数据-基础表'!C155</f>
        <v>13-1-11</v>
      </c>
      <c r="B166" s="715">
        <f>'数据-基础表'!I155</f>
        <v>88.22</v>
      </c>
      <c r="C166" s="24">
        <f t="shared" si="33"/>
        <v>1</v>
      </c>
      <c r="D166" s="717" t="s">
        <v>3384</v>
      </c>
      <c r="E166" s="24">
        <f t="shared" si="34"/>
        <v>1</v>
      </c>
      <c r="F166" s="717"/>
      <c r="G166" s="24">
        <f t="shared" si="35"/>
        <v>1</v>
      </c>
      <c r="H166" s="717"/>
      <c r="I166" s="24">
        <f t="shared" si="36"/>
        <v>1</v>
      </c>
      <c r="J166" s="717"/>
      <c r="K166" s="24">
        <f t="shared" si="37"/>
        <v>1</v>
      </c>
      <c r="L166" s="717"/>
      <c r="M166" s="24">
        <f t="shared" si="38"/>
        <v>1</v>
      </c>
      <c r="N166" s="717"/>
      <c r="O166" s="24">
        <f t="shared" si="39"/>
        <v>1</v>
      </c>
      <c r="P166" s="717" t="s">
        <v>3465</v>
      </c>
      <c r="Q166" s="24">
        <f t="shared" si="40"/>
        <v>1</v>
      </c>
      <c r="R166" s="713">
        <f t="shared" si="41"/>
        <v>35229</v>
      </c>
      <c r="S166" s="361">
        <f t="shared" si="32"/>
        <v>311</v>
      </c>
    </row>
    <row r="167" spans="1:19">
      <c r="A167" s="715" t="str">
        <f>'数据-基础表'!C156</f>
        <v>13-1-12</v>
      </c>
      <c r="B167" s="715">
        <f>'数据-基础表'!I156</f>
        <v>89.53</v>
      </c>
      <c r="C167" s="24">
        <f t="shared" si="33"/>
        <v>1</v>
      </c>
      <c r="D167" s="717" t="s">
        <v>3384</v>
      </c>
      <c r="E167" s="24">
        <f t="shared" si="34"/>
        <v>1</v>
      </c>
      <c r="F167" s="717"/>
      <c r="G167" s="24">
        <f t="shared" si="35"/>
        <v>1</v>
      </c>
      <c r="H167" s="717"/>
      <c r="I167" s="24">
        <f t="shared" si="36"/>
        <v>1</v>
      </c>
      <c r="J167" s="717"/>
      <c r="K167" s="24">
        <f t="shared" si="37"/>
        <v>1</v>
      </c>
      <c r="L167" s="717"/>
      <c r="M167" s="24">
        <f t="shared" si="38"/>
        <v>1</v>
      </c>
      <c r="N167" s="717"/>
      <c r="O167" s="24">
        <f t="shared" si="39"/>
        <v>1</v>
      </c>
      <c r="P167" s="717" t="s">
        <v>3465</v>
      </c>
      <c r="Q167" s="24">
        <f t="shared" si="40"/>
        <v>1</v>
      </c>
      <c r="R167" s="713">
        <f t="shared" si="41"/>
        <v>35229</v>
      </c>
      <c r="S167" s="361">
        <f t="shared" si="32"/>
        <v>315</v>
      </c>
    </row>
    <row r="168" spans="1:19">
      <c r="A168" s="715" t="str">
        <f>'数据-基础表'!C157</f>
        <v>13-1-101</v>
      </c>
      <c r="B168" s="715">
        <f>'数据-基础表'!I157</f>
        <v>90.65</v>
      </c>
      <c r="C168" s="24">
        <f t="shared" si="33"/>
        <v>1</v>
      </c>
      <c r="D168" s="717" t="s">
        <v>3384</v>
      </c>
      <c r="E168" s="24">
        <f t="shared" si="34"/>
        <v>1</v>
      </c>
      <c r="F168" s="717"/>
      <c r="G168" s="24">
        <f t="shared" si="35"/>
        <v>1</v>
      </c>
      <c r="H168" s="717"/>
      <c r="I168" s="24">
        <f t="shared" si="36"/>
        <v>1</v>
      </c>
      <c r="J168" s="717"/>
      <c r="K168" s="24">
        <f t="shared" si="37"/>
        <v>1</v>
      </c>
      <c r="L168" s="717"/>
      <c r="M168" s="24">
        <f t="shared" si="38"/>
        <v>1</v>
      </c>
      <c r="N168" s="717"/>
      <c r="O168" s="24">
        <f t="shared" si="39"/>
        <v>1</v>
      </c>
      <c r="P168" s="717" t="s">
        <v>3465</v>
      </c>
      <c r="Q168" s="24">
        <f t="shared" si="40"/>
        <v>1</v>
      </c>
      <c r="R168" s="713">
        <f t="shared" si="41"/>
        <v>35229</v>
      </c>
      <c r="S168" s="361">
        <f t="shared" si="32"/>
        <v>319</v>
      </c>
    </row>
    <row r="169" spans="1:19">
      <c r="A169" s="715" t="str">
        <f>'数据-基础表'!C158</f>
        <v>13-1-102</v>
      </c>
      <c r="B169" s="715">
        <f>'数据-基础表'!I158</f>
        <v>64.510000000000005</v>
      </c>
      <c r="C169" s="24">
        <f t="shared" si="33"/>
        <v>1</v>
      </c>
      <c r="D169" s="717" t="s">
        <v>3384</v>
      </c>
      <c r="E169" s="24">
        <f t="shared" si="34"/>
        <v>1</v>
      </c>
      <c r="F169" s="717"/>
      <c r="G169" s="24">
        <f t="shared" si="35"/>
        <v>1</v>
      </c>
      <c r="H169" s="717"/>
      <c r="I169" s="24">
        <f t="shared" si="36"/>
        <v>1</v>
      </c>
      <c r="J169" s="717"/>
      <c r="K169" s="24">
        <f t="shared" si="37"/>
        <v>1</v>
      </c>
      <c r="L169" s="717"/>
      <c r="M169" s="24">
        <f t="shared" si="38"/>
        <v>1</v>
      </c>
      <c r="N169" s="717"/>
      <c r="O169" s="24">
        <f t="shared" si="39"/>
        <v>1</v>
      </c>
      <c r="P169" s="717" t="s">
        <v>3465</v>
      </c>
      <c r="Q169" s="24">
        <f t="shared" si="40"/>
        <v>1</v>
      </c>
      <c r="R169" s="713">
        <f t="shared" si="41"/>
        <v>35229</v>
      </c>
      <c r="S169" s="361">
        <f t="shared" si="32"/>
        <v>227</v>
      </c>
    </row>
    <row r="170" spans="1:19">
      <c r="A170" s="715" t="str">
        <f>'数据-基础表'!C159</f>
        <v>13-1-103</v>
      </c>
      <c r="B170" s="715">
        <f>'数据-基础表'!I159</f>
        <v>64.25</v>
      </c>
      <c r="C170" s="24">
        <f t="shared" si="33"/>
        <v>1</v>
      </c>
      <c r="D170" s="717" t="s">
        <v>3384</v>
      </c>
      <c r="E170" s="24">
        <f t="shared" si="34"/>
        <v>1</v>
      </c>
      <c r="F170" s="717"/>
      <c r="G170" s="24">
        <f t="shared" si="35"/>
        <v>1</v>
      </c>
      <c r="H170" s="717"/>
      <c r="I170" s="24">
        <f t="shared" si="36"/>
        <v>1</v>
      </c>
      <c r="J170" s="717"/>
      <c r="K170" s="24">
        <f t="shared" si="37"/>
        <v>1</v>
      </c>
      <c r="L170" s="717"/>
      <c r="M170" s="24">
        <f t="shared" si="38"/>
        <v>1</v>
      </c>
      <c r="N170" s="717"/>
      <c r="O170" s="24">
        <f t="shared" si="39"/>
        <v>1</v>
      </c>
      <c r="P170" s="717" t="s">
        <v>3465</v>
      </c>
      <c r="Q170" s="24">
        <f t="shared" si="40"/>
        <v>1</v>
      </c>
      <c r="R170" s="713">
        <f t="shared" si="41"/>
        <v>35229</v>
      </c>
      <c r="S170" s="361">
        <f t="shared" si="32"/>
        <v>226</v>
      </c>
    </row>
    <row r="171" spans="1:19">
      <c r="A171" s="715" t="str">
        <f>'数据-基础表'!C160</f>
        <v>13-1-104</v>
      </c>
      <c r="B171" s="715">
        <f>'数据-基础表'!I160</f>
        <v>64.510000000000005</v>
      </c>
      <c r="C171" s="24">
        <f t="shared" si="33"/>
        <v>1</v>
      </c>
      <c r="D171" s="717" t="s">
        <v>3384</v>
      </c>
      <c r="E171" s="24">
        <f t="shared" si="34"/>
        <v>1</v>
      </c>
      <c r="F171" s="717"/>
      <c r="G171" s="24">
        <f t="shared" si="35"/>
        <v>1</v>
      </c>
      <c r="H171" s="717"/>
      <c r="I171" s="24">
        <f t="shared" si="36"/>
        <v>1</v>
      </c>
      <c r="J171" s="717"/>
      <c r="K171" s="24">
        <f t="shared" si="37"/>
        <v>1</v>
      </c>
      <c r="L171" s="717"/>
      <c r="M171" s="24">
        <f t="shared" si="38"/>
        <v>1</v>
      </c>
      <c r="N171" s="717"/>
      <c r="O171" s="24">
        <f t="shared" si="39"/>
        <v>1</v>
      </c>
      <c r="P171" s="717" t="s">
        <v>3465</v>
      </c>
      <c r="Q171" s="24">
        <f t="shared" si="40"/>
        <v>1</v>
      </c>
      <c r="R171" s="713">
        <f t="shared" si="41"/>
        <v>35229</v>
      </c>
      <c r="S171" s="361">
        <f t="shared" si="32"/>
        <v>227</v>
      </c>
    </row>
    <row r="172" spans="1:19">
      <c r="A172" s="715" t="str">
        <f>'数据-基础表'!C161</f>
        <v>13-1-105</v>
      </c>
      <c r="B172" s="715">
        <f>'数据-基础表'!I161</f>
        <v>90.65</v>
      </c>
      <c r="C172" s="24">
        <f t="shared" si="33"/>
        <v>1</v>
      </c>
      <c r="D172" s="717" t="s">
        <v>3384</v>
      </c>
      <c r="E172" s="24">
        <f t="shared" si="34"/>
        <v>1</v>
      </c>
      <c r="F172" s="717"/>
      <c r="G172" s="24">
        <f t="shared" si="35"/>
        <v>1</v>
      </c>
      <c r="H172" s="717"/>
      <c r="I172" s="24">
        <f t="shared" si="36"/>
        <v>1</v>
      </c>
      <c r="J172" s="717"/>
      <c r="K172" s="24">
        <f t="shared" si="37"/>
        <v>1</v>
      </c>
      <c r="L172" s="717"/>
      <c r="M172" s="24">
        <f t="shared" si="38"/>
        <v>1</v>
      </c>
      <c r="N172" s="717"/>
      <c r="O172" s="24">
        <f t="shared" si="39"/>
        <v>1</v>
      </c>
      <c r="P172" s="717" t="s">
        <v>3465</v>
      </c>
      <c r="Q172" s="24">
        <f t="shared" si="40"/>
        <v>1</v>
      </c>
      <c r="R172" s="713">
        <f t="shared" si="41"/>
        <v>35229</v>
      </c>
      <c r="S172" s="361">
        <f t="shared" si="32"/>
        <v>319</v>
      </c>
    </row>
    <row r="173" spans="1:19">
      <c r="A173" s="715" t="str">
        <f>'数据-基础表'!C162</f>
        <v>13-1-106</v>
      </c>
      <c r="B173" s="715">
        <f>'数据-基础表'!I162</f>
        <v>89.68</v>
      </c>
      <c r="C173" s="24">
        <f t="shared" si="33"/>
        <v>1</v>
      </c>
      <c r="D173" s="717" t="s">
        <v>3384</v>
      </c>
      <c r="E173" s="24">
        <f t="shared" si="34"/>
        <v>1</v>
      </c>
      <c r="F173" s="717"/>
      <c r="G173" s="24">
        <f t="shared" si="35"/>
        <v>1</v>
      </c>
      <c r="H173" s="717"/>
      <c r="I173" s="24">
        <f t="shared" si="36"/>
        <v>1</v>
      </c>
      <c r="J173" s="717"/>
      <c r="K173" s="24">
        <f t="shared" si="37"/>
        <v>1</v>
      </c>
      <c r="L173" s="717"/>
      <c r="M173" s="24">
        <f t="shared" si="38"/>
        <v>1</v>
      </c>
      <c r="N173" s="717"/>
      <c r="O173" s="24">
        <f t="shared" si="39"/>
        <v>1</v>
      </c>
      <c r="P173" s="717" t="s">
        <v>3465</v>
      </c>
      <c r="Q173" s="24">
        <f t="shared" si="40"/>
        <v>1</v>
      </c>
      <c r="R173" s="713">
        <f t="shared" si="41"/>
        <v>35229</v>
      </c>
      <c r="S173" s="361">
        <f t="shared" si="32"/>
        <v>316</v>
      </c>
    </row>
    <row r="174" spans="1:19">
      <c r="A174" s="715" t="str">
        <f>'数据-基础表'!C163</f>
        <v>13-1-107</v>
      </c>
      <c r="B174" s="715">
        <f>'数据-基础表'!I163</f>
        <v>91.85</v>
      </c>
      <c r="C174" s="24">
        <f t="shared" si="33"/>
        <v>1</v>
      </c>
      <c r="D174" s="717" t="s">
        <v>3384</v>
      </c>
      <c r="E174" s="24">
        <f t="shared" si="34"/>
        <v>1</v>
      </c>
      <c r="F174" s="717"/>
      <c r="G174" s="24">
        <f t="shared" si="35"/>
        <v>1</v>
      </c>
      <c r="H174" s="717"/>
      <c r="I174" s="24">
        <f t="shared" si="36"/>
        <v>1</v>
      </c>
      <c r="J174" s="717"/>
      <c r="K174" s="24">
        <f t="shared" si="37"/>
        <v>1</v>
      </c>
      <c r="L174" s="717"/>
      <c r="M174" s="24">
        <f t="shared" si="38"/>
        <v>1</v>
      </c>
      <c r="N174" s="717"/>
      <c r="O174" s="24">
        <f t="shared" si="39"/>
        <v>1</v>
      </c>
      <c r="P174" s="717" t="s">
        <v>3465</v>
      </c>
      <c r="Q174" s="24">
        <f t="shared" si="40"/>
        <v>1</v>
      </c>
      <c r="R174" s="713">
        <f t="shared" si="41"/>
        <v>35229</v>
      </c>
      <c r="S174" s="361">
        <f t="shared" si="32"/>
        <v>324</v>
      </c>
    </row>
    <row r="175" spans="1:19">
      <c r="A175" s="715" t="str">
        <f>'数据-基础表'!C164</f>
        <v>13-1-108</v>
      </c>
      <c r="B175" s="715">
        <f>'数据-基础表'!I164</f>
        <v>90.65</v>
      </c>
      <c r="C175" s="24">
        <f t="shared" si="33"/>
        <v>1</v>
      </c>
      <c r="D175" s="717" t="s">
        <v>3384</v>
      </c>
      <c r="E175" s="24">
        <f t="shared" si="34"/>
        <v>1</v>
      </c>
      <c r="F175" s="717"/>
      <c r="G175" s="24">
        <f t="shared" si="35"/>
        <v>1</v>
      </c>
      <c r="H175" s="717"/>
      <c r="I175" s="24">
        <f t="shared" si="36"/>
        <v>1</v>
      </c>
      <c r="J175" s="717"/>
      <c r="K175" s="24">
        <f t="shared" si="37"/>
        <v>1</v>
      </c>
      <c r="L175" s="717"/>
      <c r="M175" s="24">
        <f t="shared" si="38"/>
        <v>1</v>
      </c>
      <c r="N175" s="717"/>
      <c r="O175" s="24">
        <f t="shared" si="39"/>
        <v>1</v>
      </c>
      <c r="P175" s="717" t="s">
        <v>3465</v>
      </c>
      <c r="Q175" s="24">
        <f t="shared" si="40"/>
        <v>1</v>
      </c>
      <c r="R175" s="713">
        <f t="shared" si="41"/>
        <v>35229</v>
      </c>
      <c r="S175" s="361">
        <f t="shared" si="32"/>
        <v>319</v>
      </c>
    </row>
    <row r="176" spans="1:19">
      <c r="A176" s="715" t="str">
        <f>'数据-基础表'!C165</f>
        <v>13-1-109</v>
      </c>
      <c r="B176" s="715">
        <f>'数据-基础表'!I165</f>
        <v>90.65</v>
      </c>
      <c r="C176" s="24">
        <f t="shared" si="33"/>
        <v>1</v>
      </c>
      <c r="D176" s="717" t="s">
        <v>3384</v>
      </c>
      <c r="E176" s="24">
        <f t="shared" si="34"/>
        <v>1</v>
      </c>
      <c r="F176" s="717"/>
      <c r="G176" s="24">
        <f t="shared" si="35"/>
        <v>1</v>
      </c>
      <c r="H176" s="717"/>
      <c r="I176" s="24">
        <f t="shared" si="36"/>
        <v>1</v>
      </c>
      <c r="J176" s="717"/>
      <c r="K176" s="24">
        <f t="shared" si="37"/>
        <v>1</v>
      </c>
      <c r="L176" s="717"/>
      <c r="M176" s="24">
        <f t="shared" si="38"/>
        <v>1</v>
      </c>
      <c r="N176" s="717"/>
      <c r="O176" s="24">
        <f t="shared" si="39"/>
        <v>1</v>
      </c>
      <c r="P176" s="717" t="s">
        <v>3465</v>
      </c>
      <c r="Q176" s="24">
        <f t="shared" si="40"/>
        <v>1</v>
      </c>
      <c r="R176" s="713">
        <f t="shared" si="41"/>
        <v>35229</v>
      </c>
      <c r="S176" s="361">
        <f t="shared" si="32"/>
        <v>319</v>
      </c>
    </row>
    <row r="177" spans="1:19">
      <c r="A177" s="715" t="str">
        <f>'数据-基础表'!C166</f>
        <v>13-1-110</v>
      </c>
      <c r="B177" s="715">
        <f>'数据-基础表'!I166</f>
        <v>90.65</v>
      </c>
      <c r="C177" s="24">
        <f t="shared" si="33"/>
        <v>1</v>
      </c>
      <c r="D177" s="717" t="s">
        <v>3384</v>
      </c>
      <c r="E177" s="24">
        <f t="shared" si="34"/>
        <v>1</v>
      </c>
      <c r="F177" s="717"/>
      <c r="G177" s="24">
        <f t="shared" si="35"/>
        <v>1</v>
      </c>
      <c r="H177" s="717"/>
      <c r="I177" s="24">
        <f t="shared" si="36"/>
        <v>1</v>
      </c>
      <c r="J177" s="717"/>
      <c r="K177" s="24">
        <f t="shared" si="37"/>
        <v>1</v>
      </c>
      <c r="L177" s="717"/>
      <c r="M177" s="24">
        <f t="shared" si="38"/>
        <v>1</v>
      </c>
      <c r="N177" s="717"/>
      <c r="O177" s="24">
        <f t="shared" si="39"/>
        <v>1</v>
      </c>
      <c r="P177" s="717" t="s">
        <v>3465</v>
      </c>
      <c r="Q177" s="24">
        <f t="shared" si="40"/>
        <v>1</v>
      </c>
      <c r="R177" s="713">
        <f t="shared" si="41"/>
        <v>35229</v>
      </c>
      <c r="S177" s="361">
        <f t="shared" si="32"/>
        <v>319</v>
      </c>
    </row>
    <row r="178" spans="1:19">
      <c r="A178" s="715" t="str">
        <f>'数据-基础表'!C167</f>
        <v>13-1-111</v>
      </c>
      <c r="B178" s="715">
        <f>'数据-基础表'!I167</f>
        <v>90.65</v>
      </c>
      <c r="C178" s="24">
        <f t="shared" si="33"/>
        <v>1</v>
      </c>
      <c r="D178" s="717" t="s">
        <v>3384</v>
      </c>
      <c r="E178" s="24">
        <f t="shared" si="34"/>
        <v>1</v>
      </c>
      <c r="F178" s="717"/>
      <c r="G178" s="24">
        <f t="shared" si="35"/>
        <v>1</v>
      </c>
      <c r="H178" s="717"/>
      <c r="I178" s="24">
        <f t="shared" si="36"/>
        <v>1</v>
      </c>
      <c r="J178" s="717"/>
      <c r="K178" s="24">
        <f t="shared" si="37"/>
        <v>1</v>
      </c>
      <c r="L178" s="717"/>
      <c r="M178" s="24">
        <f t="shared" si="38"/>
        <v>1</v>
      </c>
      <c r="N178" s="717"/>
      <c r="O178" s="24">
        <f t="shared" si="39"/>
        <v>1</v>
      </c>
      <c r="P178" s="717" t="s">
        <v>3465</v>
      </c>
      <c r="Q178" s="24">
        <f t="shared" si="40"/>
        <v>1</v>
      </c>
      <c r="R178" s="713">
        <f t="shared" si="41"/>
        <v>35229</v>
      </c>
      <c r="S178" s="361">
        <f t="shared" si="32"/>
        <v>319</v>
      </c>
    </row>
    <row r="179" spans="1:19">
      <c r="A179" s="715" t="str">
        <f>'数据-基础表'!C168</f>
        <v>13-1-112</v>
      </c>
      <c r="B179" s="715">
        <f>'数据-基础表'!I168</f>
        <v>90.65</v>
      </c>
      <c r="C179" s="24">
        <f t="shared" si="33"/>
        <v>1</v>
      </c>
      <c r="D179" s="717" t="s">
        <v>3384</v>
      </c>
      <c r="E179" s="24">
        <f t="shared" si="34"/>
        <v>1</v>
      </c>
      <c r="F179" s="717"/>
      <c r="G179" s="24">
        <f t="shared" si="35"/>
        <v>1</v>
      </c>
      <c r="H179" s="717"/>
      <c r="I179" s="24">
        <f t="shared" si="36"/>
        <v>1</v>
      </c>
      <c r="J179" s="717"/>
      <c r="K179" s="24">
        <f t="shared" si="37"/>
        <v>1</v>
      </c>
      <c r="L179" s="717"/>
      <c r="M179" s="24">
        <f t="shared" si="38"/>
        <v>1</v>
      </c>
      <c r="N179" s="717"/>
      <c r="O179" s="24">
        <f t="shared" si="39"/>
        <v>1</v>
      </c>
      <c r="P179" s="717" t="s">
        <v>3465</v>
      </c>
      <c r="Q179" s="24">
        <f t="shared" si="40"/>
        <v>1</v>
      </c>
      <c r="R179" s="713">
        <f t="shared" si="41"/>
        <v>35229</v>
      </c>
      <c r="S179" s="361">
        <f t="shared" si="32"/>
        <v>319</v>
      </c>
    </row>
    <row r="180" spans="1:19">
      <c r="A180" s="715" t="str">
        <f>'数据-基础表'!C169</f>
        <v>13-1-113</v>
      </c>
      <c r="B180" s="715">
        <f>'数据-基础表'!I169</f>
        <v>90.65</v>
      </c>
      <c r="C180" s="24">
        <f t="shared" si="33"/>
        <v>1</v>
      </c>
      <c r="D180" s="717" t="s">
        <v>3384</v>
      </c>
      <c r="E180" s="24">
        <f t="shared" si="34"/>
        <v>1</v>
      </c>
      <c r="F180" s="717"/>
      <c r="G180" s="24">
        <f t="shared" si="35"/>
        <v>1</v>
      </c>
      <c r="H180" s="717"/>
      <c r="I180" s="24">
        <f t="shared" si="36"/>
        <v>1</v>
      </c>
      <c r="J180" s="717"/>
      <c r="K180" s="24">
        <f t="shared" si="37"/>
        <v>1</v>
      </c>
      <c r="L180" s="717"/>
      <c r="M180" s="24">
        <f t="shared" si="38"/>
        <v>1</v>
      </c>
      <c r="N180" s="717"/>
      <c r="O180" s="24">
        <f t="shared" si="39"/>
        <v>1</v>
      </c>
      <c r="P180" s="717" t="s">
        <v>3465</v>
      </c>
      <c r="Q180" s="24">
        <f t="shared" si="40"/>
        <v>1</v>
      </c>
      <c r="R180" s="713">
        <f t="shared" si="41"/>
        <v>35229</v>
      </c>
      <c r="S180" s="361">
        <f t="shared" si="32"/>
        <v>319</v>
      </c>
    </row>
    <row r="181" spans="1:19">
      <c r="A181" s="715" t="str">
        <f>'数据-基础表'!C170</f>
        <v>13-1-114</v>
      </c>
      <c r="B181" s="715">
        <f>'数据-基础表'!I170</f>
        <v>92.26</v>
      </c>
      <c r="C181" s="24">
        <f t="shared" si="33"/>
        <v>1</v>
      </c>
      <c r="D181" s="717" t="s">
        <v>3384</v>
      </c>
      <c r="E181" s="24">
        <f t="shared" si="34"/>
        <v>1</v>
      </c>
      <c r="F181" s="717"/>
      <c r="G181" s="24">
        <f t="shared" si="35"/>
        <v>1</v>
      </c>
      <c r="H181" s="717"/>
      <c r="I181" s="24">
        <f t="shared" si="36"/>
        <v>1</v>
      </c>
      <c r="J181" s="717"/>
      <c r="K181" s="24">
        <f t="shared" si="37"/>
        <v>1</v>
      </c>
      <c r="L181" s="717"/>
      <c r="M181" s="24">
        <f t="shared" si="38"/>
        <v>1</v>
      </c>
      <c r="N181" s="717"/>
      <c r="O181" s="24">
        <f t="shared" si="39"/>
        <v>1</v>
      </c>
      <c r="P181" s="717" t="s">
        <v>3465</v>
      </c>
      <c r="Q181" s="24">
        <f t="shared" si="40"/>
        <v>1</v>
      </c>
      <c r="R181" s="713">
        <f t="shared" si="41"/>
        <v>35229</v>
      </c>
      <c r="S181" s="361">
        <f t="shared" si="32"/>
        <v>325</v>
      </c>
    </row>
    <row r="182" spans="1:19">
      <c r="A182" s="715" t="str">
        <f>'数据-基础表'!C171</f>
        <v>13-2-01</v>
      </c>
      <c r="B182" s="715">
        <f>'数据-基础表'!I171</f>
        <v>89.39</v>
      </c>
      <c r="C182" s="24">
        <f t="shared" si="33"/>
        <v>1</v>
      </c>
      <c r="D182" s="717" t="s">
        <v>3384</v>
      </c>
      <c r="E182" s="24">
        <f t="shared" si="34"/>
        <v>1</v>
      </c>
      <c r="F182" s="717"/>
      <c r="G182" s="24">
        <f t="shared" si="35"/>
        <v>1</v>
      </c>
      <c r="H182" s="717"/>
      <c r="I182" s="24">
        <f t="shared" si="36"/>
        <v>1</v>
      </c>
      <c r="J182" s="717"/>
      <c r="K182" s="24">
        <f t="shared" si="37"/>
        <v>1</v>
      </c>
      <c r="L182" s="717"/>
      <c r="M182" s="24">
        <f t="shared" si="38"/>
        <v>1</v>
      </c>
      <c r="N182" s="717"/>
      <c r="O182" s="24">
        <f t="shared" si="39"/>
        <v>1</v>
      </c>
      <c r="P182" s="717" t="s">
        <v>3465</v>
      </c>
      <c r="Q182" s="24">
        <f t="shared" si="40"/>
        <v>1</v>
      </c>
      <c r="R182" s="713">
        <f t="shared" si="41"/>
        <v>35229</v>
      </c>
      <c r="S182" s="361">
        <f t="shared" si="32"/>
        <v>315</v>
      </c>
    </row>
    <row r="183" spans="1:19">
      <c r="A183" s="715" t="str">
        <f>'数据-基础表'!C172</f>
        <v>13-2-02</v>
      </c>
      <c r="B183" s="715">
        <f>'数据-基础表'!I172</f>
        <v>88.22</v>
      </c>
      <c r="C183" s="24">
        <f t="shared" si="33"/>
        <v>1</v>
      </c>
      <c r="D183" s="717" t="s">
        <v>3384</v>
      </c>
      <c r="E183" s="24">
        <f t="shared" si="34"/>
        <v>1</v>
      </c>
      <c r="F183" s="717"/>
      <c r="G183" s="24">
        <f t="shared" si="35"/>
        <v>1</v>
      </c>
      <c r="H183" s="717"/>
      <c r="I183" s="24">
        <f t="shared" si="36"/>
        <v>1</v>
      </c>
      <c r="J183" s="717"/>
      <c r="K183" s="24">
        <f t="shared" si="37"/>
        <v>1</v>
      </c>
      <c r="L183" s="717"/>
      <c r="M183" s="24">
        <f t="shared" si="38"/>
        <v>1</v>
      </c>
      <c r="N183" s="717"/>
      <c r="O183" s="24">
        <f t="shared" si="39"/>
        <v>1</v>
      </c>
      <c r="P183" s="717" t="s">
        <v>3465</v>
      </c>
      <c r="Q183" s="24">
        <f t="shared" si="40"/>
        <v>1</v>
      </c>
      <c r="R183" s="713">
        <f t="shared" si="41"/>
        <v>35229</v>
      </c>
      <c r="S183" s="361">
        <f t="shared" si="32"/>
        <v>311</v>
      </c>
    </row>
    <row r="184" spans="1:19">
      <c r="A184" s="715" t="str">
        <f>'数据-基础表'!C173</f>
        <v>13-2-03</v>
      </c>
      <c r="B184" s="715">
        <f>'数据-基础表'!I173</f>
        <v>60.26</v>
      </c>
      <c r="C184" s="24">
        <f t="shared" si="33"/>
        <v>1</v>
      </c>
      <c r="D184" s="717" t="s">
        <v>3384</v>
      </c>
      <c r="E184" s="24">
        <f t="shared" si="34"/>
        <v>1</v>
      </c>
      <c r="F184" s="717"/>
      <c r="G184" s="24">
        <f t="shared" si="35"/>
        <v>1</v>
      </c>
      <c r="H184" s="717"/>
      <c r="I184" s="24">
        <f t="shared" si="36"/>
        <v>1</v>
      </c>
      <c r="J184" s="717"/>
      <c r="K184" s="24">
        <f t="shared" si="37"/>
        <v>1</v>
      </c>
      <c r="L184" s="717"/>
      <c r="M184" s="24">
        <f t="shared" si="38"/>
        <v>1</v>
      </c>
      <c r="N184" s="717"/>
      <c r="O184" s="24">
        <f t="shared" si="39"/>
        <v>1</v>
      </c>
      <c r="P184" s="717" t="s">
        <v>3465</v>
      </c>
      <c r="Q184" s="24">
        <f t="shared" si="40"/>
        <v>1</v>
      </c>
      <c r="R184" s="713">
        <f t="shared" si="41"/>
        <v>35229</v>
      </c>
      <c r="S184" s="361">
        <f t="shared" si="32"/>
        <v>212</v>
      </c>
    </row>
    <row r="185" spans="1:19">
      <c r="A185" s="715" t="str">
        <f>'数据-基础表'!C174</f>
        <v>13-2-04</v>
      </c>
      <c r="B185" s="715">
        <f>'数据-基础表'!I174</f>
        <v>85.73</v>
      </c>
      <c r="C185" s="24">
        <f t="shared" si="33"/>
        <v>1</v>
      </c>
      <c r="D185" s="717" t="s">
        <v>3384</v>
      </c>
      <c r="E185" s="24">
        <f t="shared" si="34"/>
        <v>1</v>
      </c>
      <c r="F185" s="717"/>
      <c r="G185" s="24">
        <f t="shared" si="35"/>
        <v>1</v>
      </c>
      <c r="H185" s="717"/>
      <c r="I185" s="24">
        <f t="shared" si="36"/>
        <v>1</v>
      </c>
      <c r="J185" s="717"/>
      <c r="K185" s="24">
        <f t="shared" si="37"/>
        <v>1</v>
      </c>
      <c r="L185" s="717"/>
      <c r="M185" s="24">
        <f t="shared" si="38"/>
        <v>1</v>
      </c>
      <c r="N185" s="717"/>
      <c r="O185" s="24">
        <f t="shared" si="39"/>
        <v>1</v>
      </c>
      <c r="P185" s="717" t="s">
        <v>3465</v>
      </c>
      <c r="Q185" s="24">
        <f t="shared" si="40"/>
        <v>1</v>
      </c>
      <c r="R185" s="713">
        <f t="shared" si="41"/>
        <v>35229</v>
      </c>
      <c r="S185" s="361">
        <f t="shared" si="32"/>
        <v>302</v>
      </c>
    </row>
    <row r="186" spans="1:19">
      <c r="A186" s="715" t="str">
        <f>'数据-基础表'!C175</f>
        <v>13-2-05</v>
      </c>
      <c r="B186" s="715">
        <f>'数据-基础表'!I175</f>
        <v>89.53</v>
      </c>
      <c r="C186" s="24">
        <f t="shared" si="33"/>
        <v>1</v>
      </c>
      <c r="D186" s="717" t="s">
        <v>3384</v>
      </c>
      <c r="E186" s="24">
        <f t="shared" si="34"/>
        <v>1</v>
      </c>
      <c r="F186" s="717"/>
      <c r="G186" s="24">
        <f t="shared" si="35"/>
        <v>1</v>
      </c>
      <c r="H186" s="717"/>
      <c r="I186" s="24">
        <f t="shared" si="36"/>
        <v>1</v>
      </c>
      <c r="J186" s="717"/>
      <c r="K186" s="24">
        <f t="shared" si="37"/>
        <v>1</v>
      </c>
      <c r="L186" s="717"/>
      <c r="M186" s="24">
        <f t="shared" si="38"/>
        <v>1</v>
      </c>
      <c r="N186" s="717"/>
      <c r="O186" s="24">
        <f t="shared" si="39"/>
        <v>1</v>
      </c>
      <c r="P186" s="717" t="s">
        <v>3465</v>
      </c>
      <c r="Q186" s="24">
        <f t="shared" si="40"/>
        <v>1</v>
      </c>
      <c r="R186" s="713">
        <f t="shared" si="41"/>
        <v>35229</v>
      </c>
      <c r="S186" s="361">
        <f t="shared" si="32"/>
        <v>315</v>
      </c>
    </row>
    <row r="187" spans="1:19">
      <c r="A187" s="715" t="str">
        <f>'数据-基础表'!C176</f>
        <v>13-2-06</v>
      </c>
      <c r="B187" s="715">
        <f>'数据-基础表'!I176</f>
        <v>88.22</v>
      </c>
      <c r="C187" s="24">
        <f t="shared" si="33"/>
        <v>1</v>
      </c>
      <c r="D187" s="717" t="s">
        <v>3384</v>
      </c>
      <c r="E187" s="24">
        <f t="shared" si="34"/>
        <v>1</v>
      </c>
      <c r="F187" s="717"/>
      <c r="G187" s="24">
        <f t="shared" si="35"/>
        <v>1</v>
      </c>
      <c r="H187" s="717"/>
      <c r="I187" s="24">
        <f t="shared" si="36"/>
        <v>1</v>
      </c>
      <c r="J187" s="717"/>
      <c r="K187" s="24">
        <f t="shared" si="37"/>
        <v>1</v>
      </c>
      <c r="L187" s="717"/>
      <c r="M187" s="24">
        <f t="shared" si="38"/>
        <v>1</v>
      </c>
      <c r="N187" s="717"/>
      <c r="O187" s="24">
        <f t="shared" si="39"/>
        <v>1</v>
      </c>
      <c r="P187" s="717" t="s">
        <v>3465</v>
      </c>
      <c r="Q187" s="24">
        <f t="shared" si="40"/>
        <v>1</v>
      </c>
      <c r="R187" s="713">
        <f t="shared" si="41"/>
        <v>35229</v>
      </c>
      <c r="S187" s="361">
        <f t="shared" ref="S187:S222" si="42">ROUND(R187*B187/10000,0)</f>
        <v>311</v>
      </c>
    </row>
    <row r="188" spans="1:19">
      <c r="A188" s="715" t="str">
        <f>'数据-基础表'!C177</f>
        <v>13-2-07</v>
      </c>
      <c r="B188" s="715">
        <f>'数据-基础表'!I177</f>
        <v>88.22</v>
      </c>
      <c r="C188" s="24">
        <f t="shared" si="33"/>
        <v>1</v>
      </c>
      <c r="D188" s="717" t="s">
        <v>3384</v>
      </c>
      <c r="E188" s="24">
        <f t="shared" si="34"/>
        <v>1</v>
      </c>
      <c r="F188" s="717"/>
      <c r="G188" s="24">
        <f t="shared" si="35"/>
        <v>1</v>
      </c>
      <c r="H188" s="717"/>
      <c r="I188" s="24">
        <f t="shared" si="36"/>
        <v>1</v>
      </c>
      <c r="J188" s="717"/>
      <c r="K188" s="24">
        <f t="shared" si="37"/>
        <v>1</v>
      </c>
      <c r="L188" s="717"/>
      <c r="M188" s="24">
        <f t="shared" si="38"/>
        <v>1</v>
      </c>
      <c r="N188" s="717"/>
      <c r="O188" s="24">
        <f t="shared" si="39"/>
        <v>1</v>
      </c>
      <c r="P188" s="717" t="s">
        <v>3465</v>
      </c>
      <c r="Q188" s="24">
        <f t="shared" si="40"/>
        <v>1</v>
      </c>
      <c r="R188" s="713">
        <f t="shared" si="41"/>
        <v>35229</v>
      </c>
      <c r="S188" s="361">
        <f t="shared" si="42"/>
        <v>311</v>
      </c>
    </row>
    <row r="189" spans="1:19">
      <c r="A189" s="715" t="str">
        <f>'数据-基础表'!C178</f>
        <v>13-2-08</v>
      </c>
      <c r="B189" s="715">
        <f>'数据-基础表'!I178</f>
        <v>88.22</v>
      </c>
      <c r="C189" s="24">
        <f t="shared" si="33"/>
        <v>1</v>
      </c>
      <c r="D189" s="717" t="s">
        <v>3384</v>
      </c>
      <c r="E189" s="24">
        <f t="shared" si="34"/>
        <v>1</v>
      </c>
      <c r="F189" s="717"/>
      <c r="G189" s="24">
        <f t="shared" si="35"/>
        <v>1</v>
      </c>
      <c r="H189" s="717"/>
      <c r="I189" s="24">
        <f t="shared" si="36"/>
        <v>1</v>
      </c>
      <c r="J189" s="717"/>
      <c r="K189" s="24">
        <f t="shared" si="37"/>
        <v>1</v>
      </c>
      <c r="L189" s="717"/>
      <c r="M189" s="24">
        <f t="shared" si="38"/>
        <v>1</v>
      </c>
      <c r="N189" s="717"/>
      <c r="O189" s="24">
        <f t="shared" si="39"/>
        <v>1</v>
      </c>
      <c r="P189" s="717" t="s">
        <v>3465</v>
      </c>
      <c r="Q189" s="24">
        <f t="shared" si="40"/>
        <v>1</v>
      </c>
      <c r="R189" s="713">
        <f t="shared" si="41"/>
        <v>35229</v>
      </c>
      <c r="S189" s="361">
        <f t="shared" si="42"/>
        <v>311</v>
      </c>
    </row>
    <row r="190" spans="1:19">
      <c r="A190" s="715" t="str">
        <f>'数据-基础表'!C179</f>
        <v>13-2-09</v>
      </c>
      <c r="B190" s="715">
        <f>'数据-基础表'!I179</f>
        <v>88.22</v>
      </c>
      <c r="C190" s="24">
        <f t="shared" si="33"/>
        <v>1</v>
      </c>
      <c r="D190" s="717" t="s">
        <v>3384</v>
      </c>
      <c r="E190" s="24">
        <f t="shared" si="34"/>
        <v>1</v>
      </c>
      <c r="F190" s="717"/>
      <c r="G190" s="24">
        <f t="shared" si="35"/>
        <v>1</v>
      </c>
      <c r="H190" s="717"/>
      <c r="I190" s="24">
        <f t="shared" si="36"/>
        <v>1</v>
      </c>
      <c r="J190" s="717"/>
      <c r="K190" s="24">
        <f t="shared" si="37"/>
        <v>1</v>
      </c>
      <c r="L190" s="717"/>
      <c r="M190" s="24">
        <f t="shared" si="38"/>
        <v>1</v>
      </c>
      <c r="N190" s="717"/>
      <c r="O190" s="24">
        <f t="shared" si="39"/>
        <v>1</v>
      </c>
      <c r="P190" s="717" t="s">
        <v>3465</v>
      </c>
      <c r="Q190" s="24">
        <f t="shared" si="40"/>
        <v>1</v>
      </c>
      <c r="R190" s="713">
        <f t="shared" si="41"/>
        <v>35229</v>
      </c>
      <c r="S190" s="361">
        <f t="shared" si="42"/>
        <v>311</v>
      </c>
    </row>
    <row r="191" spans="1:19">
      <c r="A191" s="715" t="str">
        <f>'数据-基础表'!C180</f>
        <v>13-2-10</v>
      </c>
      <c r="B191" s="715">
        <f>'数据-基础表'!I180</f>
        <v>88.22</v>
      </c>
      <c r="C191" s="24">
        <f t="shared" si="33"/>
        <v>1</v>
      </c>
      <c r="D191" s="717" t="s">
        <v>3384</v>
      </c>
      <c r="E191" s="24">
        <f t="shared" si="34"/>
        <v>1</v>
      </c>
      <c r="F191" s="717"/>
      <c r="G191" s="24">
        <f t="shared" si="35"/>
        <v>1</v>
      </c>
      <c r="H191" s="717"/>
      <c r="I191" s="24">
        <f t="shared" si="36"/>
        <v>1</v>
      </c>
      <c r="J191" s="717"/>
      <c r="K191" s="24">
        <f t="shared" si="37"/>
        <v>1</v>
      </c>
      <c r="L191" s="717"/>
      <c r="M191" s="24">
        <f t="shared" si="38"/>
        <v>1</v>
      </c>
      <c r="N191" s="717"/>
      <c r="O191" s="24">
        <f t="shared" si="39"/>
        <v>1</v>
      </c>
      <c r="P191" s="717" t="s">
        <v>3465</v>
      </c>
      <c r="Q191" s="24">
        <f t="shared" si="40"/>
        <v>1</v>
      </c>
      <c r="R191" s="713">
        <f t="shared" si="41"/>
        <v>35229</v>
      </c>
      <c r="S191" s="361">
        <f t="shared" si="42"/>
        <v>311</v>
      </c>
    </row>
    <row r="192" spans="1:19">
      <c r="A192" s="715" t="str">
        <f>'数据-基础表'!C181</f>
        <v>13-2-11</v>
      </c>
      <c r="B192" s="715">
        <f>'数据-基础表'!I181</f>
        <v>88.22</v>
      </c>
      <c r="C192" s="24">
        <f t="shared" si="33"/>
        <v>1</v>
      </c>
      <c r="D192" s="717" t="s">
        <v>3384</v>
      </c>
      <c r="E192" s="24">
        <f t="shared" si="34"/>
        <v>1</v>
      </c>
      <c r="F192" s="717"/>
      <c r="G192" s="24">
        <f t="shared" si="35"/>
        <v>1</v>
      </c>
      <c r="H192" s="717"/>
      <c r="I192" s="24">
        <f t="shared" si="36"/>
        <v>1</v>
      </c>
      <c r="J192" s="717"/>
      <c r="K192" s="24">
        <f t="shared" si="37"/>
        <v>1</v>
      </c>
      <c r="L192" s="717"/>
      <c r="M192" s="24">
        <f t="shared" si="38"/>
        <v>1</v>
      </c>
      <c r="N192" s="717"/>
      <c r="O192" s="24">
        <f t="shared" si="39"/>
        <v>1</v>
      </c>
      <c r="P192" s="717" t="s">
        <v>3465</v>
      </c>
      <c r="Q192" s="24">
        <f t="shared" si="40"/>
        <v>1</v>
      </c>
      <c r="R192" s="713">
        <f t="shared" si="41"/>
        <v>35229</v>
      </c>
      <c r="S192" s="361">
        <f t="shared" si="42"/>
        <v>311</v>
      </c>
    </row>
    <row r="193" spans="1:19">
      <c r="A193" s="715" t="str">
        <f>'数据-基础表'!C182</f>
        <v>13-2-12</v>
      </c>
      <c r="B193" s="715">
        <f>'数据-基础表'!I182</f>
        <v>89.39</v>
      </c>
      <c r="C193" s="24">
        <f t="shared" si="33"/>
        <v>1</v>
      </c>
      <c r="D193" s="717" t="s">
        <v>3384</v>
      </c>
      <c r="E193" s="24">
        <f t="shared" si="34"/>
        <v>1</v>
      </c>
      <c r="F193" s="717"/>
      <c r="G193" s="24">
        <f t="shared" si="35"/>
        <v>1</v>
      </c>
      <c r="H193" s="717"/>
      <c r="I193" s="24">
        <f t="shared" si="36"/>
        <v>1</v>
      </c>
      <c r="J193" s="717"/>
      <c r="K193" s="24">
        <f t="shared" si="37"/>
        <v>1</v>
      </c>
      <c r="L193" s="717"/>
      <c r="M193" s="24">
        <f t="shared" si="38"/>
        <v>1</v>
      </c>
      <c r="N193" s="717"/>
      <c r="O193" s="24">
        <f t="shared" si="39"/>
        <v>1</v>
      </c>
      <c r="P193" s="717" t="s">
        <v>3465</v>
      </c>
      <c r="Q193" s="24">
        <f t="shared" si="40"/>
        <v>1</v>
      </c>
      <c r="R193" s="713">
        <f t="shared" si="41"/>
        <v>35229</v>
      </c>
      <c r="S193" s="361">
        <f t="shared" si="42"/>
        <v>315</v>
      </c>
    </row>
    <row r="194" spans="1:19">
      <c r="A194" s="715" t="str">
        <f>'数据-基础表'!C183</f>
        <v>13-2-101</v>
      </c>
      <c r="B194" s="715">
        <f>'数据-基础表'!I183</f>
        <v>89.68</v>
      </c>
      <c r="C194" s="24">
        <f t="shared" si="33"/>
        <v>1</v>
      </c>
      <c r="D194" s="717" t="s">
        <v>3384</v>
      </c>
      <c r="E194" s="24">
        <f t="shared" si="34"/>
        <v>1</v>
      </c>
      <c r="F194" s="717"/>
      <c r="G194" s="24">
        <f t="shared" si="35"/>
        <v>1</v>
      </c>
      <c r="H194" s="717"/>
      <c r="I194" s="24">
        <f t="shared" si="36"/>
        <v>1</v>
      </c>
      <c r="J194" s="717"/>
      <c r="K194" s="24">
        <f t="shared" si="37"/>
        <v>1</v>
      </c>
      <c r="L194" s="717"/>
      <c r="M194" s="24">
        <f t="shared" si="38"/>
        <v>1</v>
      </c>
      <c r="N194" s="717"/>
      <c r="O194" s="24">
        <f t="shared" si="39"/>
        <v>1</v>
      </c>
      <c r="P194" s="717" t="s">
        <v>3465</v>
      </c>
      <c r="Q194" s="24">
        <f t="shared" si="40"/>
        <v>1</v>
      </c>
      <c r="R194" s="713">
        <f t="shared" si="41"/>
        <v>35229</v>
      </c>
      <c r="S194" s="361">
        <f t="shared" si="42"/>
        <v>316</v>
      </c>
    </row>
    <row r="195" spans="1:19">
      <c r="A195" s="715" t="str">
        <f>'数据-基础表'!C184</f>
        <v>13-2-102</v>
      </c>
      <c r="B195" s="715">
        <f>'数据-基础表'!I184</f>
        <v>90.65</v>
      </c>
      <c r="C195" s="24">
        <f t="shared" si="33"/>
        <v>1</v>
      </c>
      <c r="D195" s="717" t="s">
        <v>3384</v>
      </c>
      <c r="E195" s="24">
        <f t="shared" si="34"/>
        <v>1</v>
      </c>
      <c r="F195" s="717"/>
      <c r="G195" s="24">
        <f t="shared" si="35"/>
        <v>1</v>
      </c>
      <c r="H195" s="717"/>
      <c r="I195" s="24">
        <f t="shared" si="36"/>
        <v>1</v>
      </c>
      <c r="J195" s="717"/>
      <c r="K195" s="24">
        <f t="shared" si="37"/>
        <v>1</v>
      </c>
      <c r="L195" s="717"/>
      <c r="M195" s="24">
        <f t="shared" si="38"/>
        <v>1</v>
      </c>
      <c r="N195" s="717"/>
      <c r="O195" s="24">
        <f t="shared" si="39"/>
        <v>1</v>
      </c>
      <c r="P195" s="717" t="s">
        <v>3465</v>
      </c>
      <c r="Q195" s="24">
        <f t="shared" si="40"/>
        <v>1</v>
      </c>
      <c r="R195" s="713">
        <f t="shared" si="41"/>
        <v>35229</v>
      </c>
      <c r="S195" s="361">
        <f t="shared" si="42"/>
        <v>319</v>
      </c>
    </row>
    <row r="196" spans="1:19">
      <c r="A196" s="715" t="str">
        <f>'数据-基础表'!C185</f>
        <v>13-2-103</v>
      </c>
      <c r="B196" s="715">
        <f>'数据-基础表'!I185</f>
        <v>64.510000000000005</v>
      </c>
      <c r="C196" s="24">
        <f t="shared" si="33"/>
        <v>1</v>
      </c>
      <c r="D196" s="717" t="s">
        <v>3384</v>
      </c>
      <c r="E196" s="24">
        <f t="shared" si="34"/>
        <v>1</v>
      </c>
      <c r="F196" s="717"/>
      <c r="G196" s="24">
        <f t="shared" si="35"/>
        <v>1</v>
      </c>
      <c r="H196" s="717"/>
      <c r="I196" s="24">
        <f t="shared" si="36"/>
        <v>1</v>
      </c>
      <c r="J196" s="717"/>
      <c r="K196" s="24">
        <f t="shared" si="37"/>
        <v>1</v>
      </c>
      <c r="L196" s="717"/>
      <c r="M196" s="24">
        <f t="shared" si="38"/>
        <v>1</v>
      </c>
      <c r="N196" s="717"/>
      <c r="O196" s="24">
        <f t="shared" si="39"/>
        <v>1</v>
      </c>
      <c r="P196" s="717" t="s">
        <v>3465</v>
      </c>
      <c r="Q196" s="24">
        <f t="shared" si="40"/>
        <v>1</v>
      </c>
      <c r="R196" s="713">
        <f t="shared" si="41"/>
        <v>35229</v>
      </c>
      <c r="S196" s="361">
        <f t="shared" si="42"/>
        <v>227</v>
      </c>
    </row>
    <row r="197" spans="1:19">
      <c r="A197" s="715" t="str">
        <f>'数据-基础表'!C186</f>
        <v>13-2-104</v>
      </c>
      <c r="B197" s="715">
        <f>'数据-基础表'!I186</f>
        <v>63.65</v>
      </c>
      <c r="C197" s="24">
        <f t="shared" si="33"/>
        <v>1</v>
      </c>
      <c r="D197" s="717" t="s">
        <v>3384</v>
      </c>
      <c r="E197" s="24">
        <f t="shared" si="34"/>
        <v>1</v>
      </c>
      <c r="F197" s="717"/>
      <c r="G197" s="24">
        <f t="shared" si="35"/>
        <v>1</v>
      </c>
      <c r="H197" s="717"/>
      <c r="I197" s="24">
        <f t="shared" si="36"/>
        <v>1</v>
      </c>
      <c r="J197" s="717"/>
      <c r="K197" s="24">
        <f t="shared" si="37"/>
        <v>1</v>
      </c>
      <c r="L197" s="717"/>
      <c r="M197" s="24">
        <f t="shared" si="38"/>
        <v>1</v>
      </c>
      <c r="N197" s="717"/>
      <c r="O197" s="24">
        <f t="shared" si="39"/>
        <v>1</v>
      </c>
      <c r="P197" s="717" t="s">
        <v>3465</v>
      </c>
      <c r="Q197" s="24">
        <f t="shared" si="40"/>
        <v>1</v>
      </c>
      <c r="R197" s="713">
        <f t="shared" si="41"/>
        <v>35229</v>
      </c>
      <c r="S197" s="361">
        <f t="shared" si="42"/>
        <v>224</v>
      </c>
    </row>
    <row r="198" spans="1:19">
      <c r="A198" s="715" t="str">
        <f>'数据-基础表'!C187</f>
        <v>13-2-105</v>
      </c>
      <c r="B198" s="715">
        <f>'数据-基础表'!I187</f>
        <v>64.510000000000005</v>
      </c>
      <c r="C198" s="24">
        <f t="shared" si="33"/>
        <v>1</v>
      </c>
      <c r="D198" s="717" t="s">
        <v>3384</v>
      </c>
      <c r="E198" s="24">
        <f t="shared" si="34"/>
        <v>1</v>
      </c>
      <c r="F198" s="717"/>
      <c r="G198" s="24">
        <f t="shared" si="35"/>
        <v>1</v>
      </c>
      <c r="H198" s="717"/>
      <c r="I198" s="24">
        <f t="shared" si="36"/>
        <v>1</v>
      </c>
      <c r="J198" s="717"/>
      <c r="K198" s="24">
        <f t="shared" si="37"/>
        <v>1</v>
      </c>
      <c r="L198" s="717"/>
      <c r="M198" s="24">
        <f t="shared" si="38"/>
        <v>1</v>
      </c>
      <c r="N198" s="717"/>
      <c r="O198" s="24">
        <f t="shared" si="39"/>
        <v>1</v>
      </c>
      <c r="P198" s="717" t="s">
        <v>3465</v>
      </c>
      <c r="Q198" s="24">
        <f t="shared" si="40"/>
        <v>1</v>
      </c>
      <c r="R198" s="713">
        <f t="shared" si="41"/>
        <v>35229</v>
      </c>
      <c r="S198" s="361">
        <f t="shared" si="42"/>
        <v>227</v>
      </c>
    </row>
    <row r="199" spans="1:19">
      <c r="A199" s="715" t="str">
        <f>'数据-基础表'!C188</f>
        <v>13-2-106</v>
      </c>
      <c r="B199" s="715">
        <f>'数据-基础表'!I188</f>
        <v>90.65</v>
      </c>
      <c r="C199" s="24">
        <f t="shared" si="33"/>
        <v>1</v>
      </c>
      <c r="D199" s="717" t="s">
        <v>3384</v>
      </c>
      <c r="E199" s="24">
        <f t="shared" si="34"/>
        <v>1</v>
      </c>
      <c r="F199" s="717"/>
      <c r="G199" s="24">
        <f t="shared" si="35"/>
        <v>1</v>
      </c>
      <c r="H199" s="717"/>
      <c r="I199" s="24">
        <f t="shared" si="36"/>
        <v>1</v>
      </c>
      <c r="J199" s="717"/>
      <c r="K199" s="24">
        <f t="shared" si="37"/>
        <v>1</v>
      </c>
      <c r="L199" s="717"/>
      <c r="M199" s="24">
        <f t="shared" si="38"/>
        <v>1</v>
      </c>
      <c r="N199" s="717"/>
      <c r="O199" s="24">
        <f t="shared" si="39"/>
        <v>1</v>
      </c>
      <c r="P199" s="717" t="s">
        <v>3465</v>
      </c>
      <c r="Q199" s="24">
        <f t="shared" si="40"/>
        <v>1</v>
      </c>
      <c r="R199" s="713">
        <f t="shared" si="41"/>
        <v>35229</v>
      </c>
      <c r="S199" s="361">
        <f t="shared" si="42"/>
        <v>319</v>
      </c>
    </row>
    <row r="200" spans="1:19">
      <c r="A200" s="715" t="str">
        <f>'数据-基础表'!C189</f>
        <v>13-2-107</v>
      </c>
      <c r="B200" s="715">
        <f>'数据-基础表'!I189</f>
        <v>92.26</v>
      </c>
      <c r="C200" s="24">
        <f t="shared" si="33"/>
        <v>1</v>
      </c>
      <c r="D200" s="717" t="s">
        <v>3384</v>
      </c>
      <c r="E200" s="24">
        <f t="shared" si="34"/>
        <v>1</v>
      </c>
      <c r="F200" s="717"/>
      <c r="G200" s="24">
        <f t="shared" si="35"/>
        <v>1</v>
      </c>
      <c r="H200" s="717"/>
      <c r="I200" s="24">
        <f t="shared" si="36"/>
        <v>1</v>
      </c>
      <c r="J200" s="717"/>
      <c r="K200" s="24">
        <f t="shared" si="37"/>
        <v>1</v>
      </c>
      <c r="L200" s="717"/>
      <c r="M200" s="24">
        <f t="shared" si="38"/>
        <v>1</v>
      </c>
      <c r="N200" s="717"/>
      <c r="O200" s="24">
        <f t="shared" si="39"/>
        <v>1</v>
      </c>
      <c r="P200" s="717" t="s">
        <v>3465</v>
      </c>
      <c r="Q200" s="24">
        <f t="shared" si="40"/>
        <v>1</v>
      </c>
      <c r="R200" s="713">
        <f t="shared" si="41"/>
        <v>35229</v>
      </c>
      <c r="S200" s="361">
        <f t="shared" si="42"/>
        <v>325</v>
      </c>
    </row>
    <row r="201" spans="1:19">
      <c r="A201" s="715" t="str">
        <f>'数据-基础表'!C190</f>
        <v>13-2-108</v>
      </c>
      <c r="B201" s="715">
        <f>'数据-基础表'!I190</f>
        <v>90.65</v>
      </c>
      <c r="C201" s="24">
        <f t="shared" si="33"/>
        <v>1</v>
      </c>
      <c r="D201" s="717" t="s">
        <v>3384</v>
      </c>
      <c r="E201" s="24">
        <f t="shared" si="34"/>
        <v>1</v>
      </c>
      <c r="F201" s="717"/>
      <c r="G201" s="24">
        <f t="shared" si="35"/>
        <v>1</v>
      </c>
      <c r="H201" s="717"/>
      <c r="I201" s="24">
        <f t="shared" si="36"/>
        <v>1</v>
      </c>
      <c r="J201" s="717"/>
      <c r="K201" s="24">
        <f t="shared" si="37"/>
        <v>1</v>
      </c>
      <c r="L201" s="717"/>
      <c r="M201" s="24">
        <f t="shared" si="38"/>
        <v>1</v>
      </c>
      <c r="N201" s="717"/>
      <c r="O201" s="24">
        <f t="shared" si="39"/>
        <v>1</v>
      </c>
      <c r="P201" s="717" t="s">
        <v>3465</v>
      </c>
      <c r="Q201" s="24">
        <f t="shared" si="40"/>
        <v>1</v>
      </c>
      <c r="R201" s="713">
        <f t="shared" si="41"/>
        <v>35229</v>
      </c>
      <c r="S201" s="361">
        <f t="shared" si="42"/>
        <v>319</v>
      </c>
    </row>
    <row r="202" spans="1:19">
      <c r="A202" s="715" t="str">
        <f>'数据-基础表'!C191</f>
        <v>13-2-109</v>
      </c>
      <c r="B202" s="715">
        <f>'数据-基础表'!I191</f>
        <v>90.65</v>
      </c>
      <c r="C202" s="24">
        <f t="shared" si="33"/>
        <v>1</v>
      </c>
      <c r="D202" s="717" t="s">
        <v>3384</v>
      </c>
      <c r="E202" s="24">
        <f t="shared" si="34"/>
        <v>1</v>
      </c>
      <c r="F202" s="717"/>
      <c r="G202" s="24">
        <f t="shared" si="35"/>
        <v>1</v>
      </c>
      <c r="H202" s="717"/>
      <c r="I202" s="24">
        <f t="shared" si="36"/>
        <v>1</v>
      </c>
      <c r="J202" s="717"/>
      <c r="K202" s="24">
        <f t="shared" si="37"/>
        <v>1</v>
      </c>
      <c r="L202" s="717"/>
      <c r="M202" s="24">
        <f t="shared" si="38"/>
        <v>1</v>
      </c>
      <c r="N202" s="717"/>
      <c r="O202" s="24">
        <f t="shared" si="39"/>
        <v>1</v>
      </c>
      <c r="P202" s="717" t="s">
        <v>3465</v>
      </c>
      <c r="Q202" s="24">
        <f t="shared" si="40"/>
        <v>1</v>
      </c>
      <c r="R202" s="713">
        <f t="shared" si="41"/>
        <v>35229</v>
      </c>
      <c r="S202" s="361">
        <f t="shared" si="42"/>
        <v>319</v>
      </c>
    </row>
    <row r="203" spans="1:19">
      <c r="A203" s="715" t="str">
        <f>'数据-基础表'!C192</f>
        <v>13-2-110</v>
      </c>
      <c r="B203" s="715">
        <f>'数据-基础表'!I192</f>
        <v>90.65</v>
      </c>
      <c r="C203" s="24">
        <f t="shared" si="33"/>
        <v>1</v>
      </c>
      <c r="D203" s="717" t="s">
        <v>3384</v>
      </c>
      <c r="E203" s="24">
        <f t="shared" si="34"/>
        <v>1</v>
      </c>
      <c r="F203" s="717"/>
      <c r="G203" s="24">
        <f t="shared" si="35"/>
        <v>1</v>
      </c>
      <c r="H203" s="717"/>
      <c r="I203" s="24">
        <f t="shared" si="36"/>
        <v>1</v>
      </c>
      <c r="J203" s="717"/>
      <c r="K203" s="24">
        <f t="shared" si="37"/>
        <v>1</v>
      </c>
      <c r="L203" s="717"/>
      <c r="M203" s="24">
        <f t="shared" si="38"/>
        <v>1</v>
      </c>
      <c r="N203" s="717"/>
      <c r="O203" s="24">
        <f t="shared" si="39"/>
        <v>1</v>
      </c>
      <c r="P203" s="717" t="s">
        <v>3465</v>
      </c>
      <c r="Q203" s="24">
        <f t="shared" si="40"/>
        <v>1</v>
      </c>
      <c r="R203" s="713">
        <f t="shared" si="41"/>
        <v>35229</v>
      </c>
      <c r="S203" s="361">
        <f t="shared" si="42"/>
        <v>319</v>
      </c>
    </row>
    <row r="204" spans="1:19">
      <c r="A204" s="715" t="str">
        <f>'数据-基础表'!C193</f>
        <v>13-2-113</v>
      </c>
      <c r="B204" s="715">
        <f>'数据-基础表'!I193</f>
        <v>90.65</v>
      </c>
      <c r="C204" s="24">
        <f t="shared" si="33"/>
        <v>1</v>
      </c>
      <c r="D204" s="717" t="s">
        <v>3384</v>
      </c>
      <c r="E204" s="24">
        <f t="shared" si="34"/>
        <v>1</v>
      </c>
      <c r="F204" s="717"/>
      <c r="G204" s="24">
        <f t="shared" si="35"/>
        <v>1</v>
      </c>
      <c r="H204" s="717"/>
      <c r="I204" s="24">
        <f t="shared" si="36"/>
        <v>1</v>
      </c>
      <c r="J204" s="717"/>
      <c r="K204" s="24">
        <f t="shared" si="37"/>
        <v>1</v>
      </c>
      <c r="L204" s="717"/>
      <c r="M204" s="24">
        <f t="shared" si="38"/>
        <v>1</v>
      </c>
      <c r="N204" s="717"/>
      <c r="O204" s="24">
        <f t="shared" si="39"/>
        <v>1</v>
      </c>
      <c r="P204" s="717" t="s">
        <v>3465</v>
      </c>
      <c r="Q204" s="24">
        <f t="shared" si="40"/>
        <v>1</v>
      </c>
      <c r="R204" s="713">
        <f t="shared" si="41"/>
        <v>35229</v>
      </c>
      <c r="S204" s="361">
        <f t="shared" si="42"/>
        <v>319</v>
      </c>
    </row>
    <row r="205" spans="1:19">
      <c r="A205" s="715" t="str">
        <f>'数据-基础表'!C194</f>
        <v>13-2-215</v>
      </c>
      <c r="B205" s="715">
        <f>'数据-基础表'!I194</f>
        <v>91.85</v>
      </c>
      <c r="C205" s="24">
        <f t="shared" si="33"/>
        <v>1</v>
      </c>
      <c r="D205" s="717" t="s">
        <v>3384</v>
      </c>
      <c r="E205" s="24">
        <f t="shared" si="34"/>
        <v>1</v>
      </c>
      <c r="F205" s="717"/>
      <c r="G205" s="24">
        <f t="shared" si="35"/>
        <v>1</v>
      </c>
      <c r="H205" s="717"/>
      <c r="I205" s="24">
        <f t="shared" si="36"/>
        <v>1</v>
      </c>
      <c r="J205" s="717"/>
      <c r="K205" s="24">
        <f t="shared" si="37"/>
        <v>1</v>
      </c>
      <c r="L205" s="717"/>
      <c r="M205" s="24">
        <f t="shared" si="38"/>
        <v>1</v>
      </c>
      <c r="N205" s="717"/>
      <c r="O205" s="24">
        <f t="shared" si="39"/>
        <v>1</v>
      </c>
      <c r="P205" s="717" t="s">
        <v>3465</v>
      </c>
      <c r="Q205" s="24">
        <f t="shared" si="40"/>
        <v>1</v>
      </c>
      <c r="R205" s="713">
        <f t="shared" si="41"/>
        <v>35229</v>
      </c>
      <c r="S205" s="361">
        <f t="shared" si="42"/>
        <v>324</v>
      </c>
    </row>
    <row r="206" spans="1:19">
      <c r="A206" s="715" t="str">
        <f>'数据-基础表'!C195</f>
        <v>7-1-312</v>
      </c>
      <c r="B206" s="715">
        <f>'数据-基础表'!I195</f>
        <v>91.63</v>
      </c>
      <c r="C206" s="24">
        <f t="shared" si="33"/>
        <v>1</v>
      </c>
      <c r="D206" s="717" t="s">
        <v>3384</v>
      </c>
      <c r="E206" s="24">
        <f t="shared" si="34"/>
        <v>1</v>
      </c>
      <c r="F206" s="717"/>
      <c r="G206" s="24">
        <f t="shared" si="35"/>
        <v>1</v>
      </c>
      <c r="H206" s="717"/>
      <c r="I206" s="24">
        <f t="shared" si="36"/>
        <v>1</v>
      </c>
      <c r="J206" s="717"/>
      <c r="K206" s="24">
        <f t="shared" si="37"/>
        <v>1</v>
      </c>
      <c r="L206" s="717"/>
      <c r="M206" s="24">
        <f t="shared" si="38"/>
        <v>1</v>
      </c>
      <c r="N206" s="717"/>
      <c r="O206" s="24">
        <f t="shared" si="39"/>
        <v>1</v>
      </c>
      <c r="P206" s="717" t="s">
        <v>3465</v>
      </c>
      <c r="Q206" s="24">
        <f t="shared" si="40"/>
        <v>1</v>
      </c>
      <c r="R206" s="713">
        <f t="shared" si="41"/>
        <v>35229</v>
      </c>
      <c r="S206" s="361">
        <f t="shared" si="42"/>
        <v>323</v>
      </c>
    </row>
    <row r="207" spans="1:19">
      <c r="A207" s="715" t="str">
        <f>'数据-基础表'!C196</f>
        <v>7-1-401</v>
      </c>
      <c r="B207" s="715">
        <f>'数据-基础表'!I196</f>
        <v>91.08</v>
      </c>
      <c r="C207" s="24">
        <f t="shared" si="33"/>
        <v>1</v>
      </c>
      <c r="D207" s="717" t="s">
        <v>3384</v>
      </c>
      <c r="E207" s="24">
        <f t="shared" si="34"/>
        <v>1</v>
      </c>
      <c r="F207" s="717"/>
      <c r="G207" s="24">
        <f t="shared" si="35"/>
        <v>1</v>
      </c>
      <c r="H207" s="717"/>
      <c r="I207" s="24">
        <f t="shared" si="36"/>
        <v>1</v>
      </c>
      <c r="J207" s="717"/>
      <c r="K207" s="24">
        <f t="shared" si="37"/>
        <v>1</v>
      </c>
      <c r="L207" s="717"/>
      <c r="M207" s="24">
        <f t="shared" si="38"/>
        <v>1</v>
      </c>
      <c r="N207" s="717"/>
      <c r="O207" s="24">
        <f t="shared" si="39"/>
        <v>1</v>
      </c>
      <c r="P207" s="717" t="s">
        <v>3465</v>
      </c>
      <c r="Q207" s="24">
        <f t="shared" si="40"/>
        <v>1</v>
      </c>
      <c r="R207" s="713">
        <f t="shared" si="41"/>
        <v>35229</v>
      </c>
      <c r="S207" s="361">
        <f t="shared" si="42"/>
        <v>321</v>
      </c>
    </row>
    <row r="208" spans="1:19">
      <c r="A208" s="715" t="str">
        <f>'数据-基础表'!C197</f>
        <v>7-1-707</v>
      </c>
      <c r="B208" s="715">
        <f>'数据-基础表'!I197</f>
        <v>91.08</v>
      </c>
      <c r="C208" s="24">
        <f t="shared" si="33"/>
        <v>1</v>
      </c>
      <c r="D208" s="717" t="s">
        <v>3384</v>
      </c>
      <c r="E208" s="24">
        <f t="shared" si="34"/>
        <v>1</v>
      </c>
      <c r="F208" s="717"/>
      <c r="G208" s="24">
        <f t="shared" si="35"/>
        <v>1</v>
      </c>
      <c r="H208" s="717"/>
      <c r="I208" s="24">
        <f t="shared" si="36"/>
        <v>1</v>
      </c>
      <c r="J208" s="717"/>
      <c r="K208" s="24">
        <f t="shared" si="37"/>
        <v>1</v>
      </c>
      <c r="L208" s="717"/>
      <c r="M208" s="24">
        <f t="shared" si="38"/>
        <v>1</v>
      </c>
      <c r="N208" s="717"/>
      <c r="O208" s="24">
        <f t="shared" si="39"/>
        <v>1</v>
      </c>
      <c r="P208" s="717" t="s">
        <v>3464</v>
      </c>
      <c r="Q208" s="24">
        <f t="shared" si="40"/>
        <v>1.02</v>
      </c>
      <c r="R208" s="713">
        <f t="shared" si="41"/>
        <v>35934</v>
      </c>
      <c r="S208" s="361">
        <f t="shared" si="42"/>
        <v>327</v>
      </c>
    </row>
    <row r="209" spans="1:19">
      <c r="A209" s="715" t="str">
        <f>'数据-基础表'!C198</f>
        <v>7-1-902</v>
      </c>
      <c r="B209" s="715">
        <f>'数据-基础表'!I198</f>
        <v>91.63</v>
      </c>
      <c r="C209" s="24">
        <f t="shared" si="33"/>
        <v>1</v>
      </c>
      <c r="D209" s="717" t="s">
        <v>3384</v>
      </c>
      <c r="E209" s="24">
        <f t="shared" si="34"/>
        <v>1</v>
      </c>
      <c r="F209" s="717"/>
      <c r="G209" s="24">
        <f t="shared" si="35"/>
        <v>1</v>
      </c>
      <c r="H209" s="717"/>
      <c r="I209" s="24">
        <f t="shared" si="36"/>
        <v>1</v>
      </c>
      <c r="J209" s="717"/>
      <c r="K209" s="24">
        <f t="shared" si="37"/>
        <v>1</v>
      </c>
      <c r="L209" s="717"/>
      <c r="M209" s="24">
        <f t="shared" si="38"/>
        <v>1</v>
      </c>
      <c r="N209" s="717"/>
      <c r="O209" s="24">
        <f t="shared" si="39"/>
        <v>1</v>
      </c>
      <c r="P209" s="717" t="s">
        <v>3463</v>
      </c>
      <c r="Q209" s="24">
        <f t="shared" si="40"/>
        <v>1.04</v>
      </c>
      <c r="R209" s="713">
        <f t="shared" si="41"/>
        <v>36638</v>
      </c>
      <c r="S209" s="361">
        <f t="shared" si="42"/>
        <v>336</v>
      </c>
    </row>
    <row r="210" spans="1:19">
      <c r="A210" s="715" t="str">
        <f>'数据-基础表'!C199</f>
        <v>7-1-906</v>
      </c>
      <c r="B210" s="715">
        <f>'数据-基础表'!I199</f>
        <v>91.63</v>
      </c>
      <c r="C210" s="24">
        <f t="shared" si="33"/>
        <v>1</v>
      </c>
      <c r="D210" s="717" t="s">
        <v>3384</v>
      </c>
      <c r="E210" s="24">
        <f t="shared" si="34"/>
        <v>1</v>
      </c>
      <c r="F210" s="717"/>
      <c r="G210" s="24">
        <f t="shared" si="35"/>
        <v>1</v>
      </c>
      <c r="H210" s="717"/>
      <c r="I210" s="24">
        <f t="shared" si="36"/>
        <v>1</v>
      </c>
      <c r="J210" s="717"/>
      <c r="K210" s="24">
        <f t="shared" si="37"/>
        <v>1</v>
      </c>
      <c r="L210" s="717"/>
      <c r="M210" s="24">
        <f t="shared" si="38"/>
        <v>1</v>
      </c>
      <c r="N210" s="717"/>
      <c r="O210" s="24">
        <f t="shared" si="39"/>
        <v>1</v>
      </c>
      <c r="P210" s="717" t="s">
        <v>3463</v>
      </c>
      <c r="Q210" s="24">
        <f t="shared" si="40"/>
        <v>1.04</v>
      </c>
      <c r="R210" s="713">
        <f t="shared" si="41"/>
        <v>36638</v>
      </c>
      <c r="S210" s="361">
        <f t="shared" si="42"/>
        <v>336</v>
      </c>
    </row>
    <row r="211" spans="1:19">
      <c r="A211" s="715" t="str">
        <f>'数据-基础表'!C200</f>
        <v>7-1-1109</v>
      </c>
      <c r="B211" s="715">
        <f>'数据-基础表'!I200</f>
        <v>91.63</v>
      </c>
      <c r="C211" s="24">
        <f t="shared" si="33"/>
        <v>1</v>
      </c>
      <c r="D211" s="717" t="s">
        <v>3384</v>
      </c>
      <c r="E211" s="24">
        <f t="shared" si="34"/>
        <v>1</v>
      </c>
      <c r="F211" s="717"/>
      <c r="G211" s="24">
        <f t="shared" si="35"/>
        <v>1</v>
      </c>
      <c r="H211" s="717"/>
      <c r="I211" s="24">
        <f t="shared" si="36"/>
        <v>1</v>
      </c>
      <c r="J211" s="717"/>
      <c r="K211" s="24">
        <f t="shared" si="37"/>
        <v>1</v>
      </c>
      <c r="L211" s="717"/>
      <c r="M211" s="24">
        <f t="shared" si="38"/>
        <v>1</v>
      </c>
      <c r="N211" s="717"/>
      <c r="O211" s="24">
        <f t="shared" si="39"/>
        <v>1</v>
      </c>
      <c r="P211" s="717" t="s">
        <v>3463</v>
      </c>
      <c r="Q211" s="24">
        <f t="shared" si="40"/>
        <v>1.04</v>
      </c>
      <c r="R211" s="713">
        <f t="shared" si="41"/>
        <v>36638</v>
      </c>
      <c r="S211" s="361">
        <f t="shared" si="42"/>
        <v>336</v>
      </c>
    </row>
    <row r="212" spans="1:19">
      <c r="A212" s="715" t="str">
        <f>'数据-基础表'!C201</f>
        <v>7-1-1210</v>
      </c>
      <c r="B212" s="715">
        <f>'数据-基础表'!I201</f>
        <v>91.63</v>
      </c>
      <c r="C212" s="24">
        <f t="shared" si="33"/>
        <v>1</v>
      </c>
      <c r="D212" s="717" t="s">
        <v>3384</v>
      </c>
      <c r="E212" s="24">
        <f t="shared" si="34"/>
        <v>1</v>
      </c>
      <c r="F212" s="717"/>
      <c r="G212" s="24">
        <f t="shared" si="35"/>
        <v>1</v>
      </c>
      <c r="H212" s="717"/>
      <c r="I212" s="24">
        <f t="shared" si="36"/>
        <v>1</v>
      </c>
      <c r="J212" s="717"/>
      <c r="K212" s="24">
        <f t="shared" si="37"/>
        <v>1</v>
      </c>
      <c r="L212" s="717"/>
      <c r="M212" s="24">
        <f t="shared" si="38"/>
        <v>1</v>
      </c>
      <c r="N212" s="717"/>
      <c r="O212" s="24">
        <f t="shared" si="39"/>
        <v>1</v>
      </c>
      <c r="P212" s="717" t="s">
        <v>3463</v>
      </c>
      <c r="Q212" s="24">
        <f t="shared" si="40"/>
        <v>1.04</v>
      </c>
      <c r="R212" s="713">
        <f t="shared" si="41"/>
        <v>36638</v>
      </c>
      <c r="S212" s="361">
        <f t="shared" si="42"/>
        <v>336</v>
      </c>
    </row>
    <row r="213" spans="1:19">
      <c r="A213" s="715" t="str">
        <f>'数据-基础表'!C202</f>
        <v>11-1-206</v>
      </c>
      <c r="B213" s="715">
        <f>'数据-基础表'!I202</f>
        <v>91.79</v>
      </c>
      <c r="C213" s="24">
        <f t="shared" si="33"/>
        <v>1</v>
      </c>
      <c r="D213" s="717" t="s">
        <v>3384</v>
      </c>
      <c r="E213" s="24">
        <f t="shared" si="34"/>
        <v>1</v>
      </c>
      <c r="F213" s="717"/>
      <c r="G213" s="24">
        <f t="shared" si="35"/>
        <v>1</v>
      </c>
      <c r="H213" s="717"/>
      <c r="I213" s="24">
        <f t="shared" si="36"/>
        <v>1</v>
      </c>
      <c r="J213" s="717"/>
      <c r="K213" s="24">
        <f t="shared" si="37"/>
        <v>1</v>
      </c>
      <c r="L213" s="717"/>
      <c r="M213" s="24">
        <f t="shared" si="38"/>
        <v>1</v>
      </c>
      <c r="N213" s="717"/>
      <c r="O213" s="24">
        <f t="shared" si="39"/>
        <v>1</v>
      </c>
      <c r="P213" s="717" t="s">
        <v>3465</v>
      </c>
      <c r="Q213" s="24">
        <f t="shared" si="40"/>
        <v>1</v>
      </c>
      <c r="R213" s="713">
        <f t="shared" si="41"/>
        <v>35229</v>
      </c>
      <c r="S213" s="361">
        <f t="shared" si="42"/>
        <v>323</v>
      </c>
    </row>
    <row r="214" spans="1:19">
      <c r="A214" s="715" t="str">
        <f>'数据-基础表'!C203</f>
        <v>11-1-209</v>
      </c>
      <c r="B214" s="715">
        <f>'数据-基础表'!I203</f>
        <v>91.11</v>
      </c>
      <c r="C214" s="24">
        <f t="shared" si="33"/>
        <v>1</v>
      </c>
      <c r="D214" s="717" t="s">
        <v>3384</v>
      </c>
      <c r="E214" s="24">
        <f t="shared" si="34"/>
        <v>1</v>
      </c>
      <c r="F214" s="717"/>
      <c r="G214" s="24">
        <f t="shared" si="35"/>
        <v>1</v>
      </c>
      <c r="H214" s="717"/>
      <c r="I214" s="24">
        <f t="shared" si="36"/>
        <v>1</v>
      </c>
      <c r="J214" s="717"/>
      <c r="K214" s="24">
        <f t="shared" si="37"/>
        <v>1</v>
      </c>
      <c r="L214" s="717"/>
      <c r="M214" s="24">
        <f t="shared" si="38"/>
        <v>1</v>
      </c>
      <c r="N214" s="717"/>
      <c r="O214" s="24">
        <f t="shared" si="39"/>
        <v>1</v>
      </c>
      <c r="P214" s="717" t="s">
        <v>3465</v>
      </c>
      <c r="Q214" s="24">
        <f t="shared" si="40"/>
        <v>1</v>
      </c>
      <c r="R214" s="713">
        <f t="shared" si="41"/>
        <v>35229</v>
      </c>
      <c r="S214" s="361">
        <f t="shared" si="42"/>
        <v>321</v>
      </c>
    </row>
    <row r="215" spans="1:19">
      <c r="A215" s="715" t="str">
        <f>'数据-基础表'!C204</f>
        <v>11-1-210</v>
      </c>
      <c r="B215" s="715">
        <f>'数据-基础表'!I204</f>
        <v>91.79</v>
      </c>
      <c r="C215" s="24">
        <f t="shared" si="33"/>
        <v>1</v>
      </c>
      <c r="D215" s="717" t="s">
        <v>3384</v>
      </c>
      <c r="E215" s="24">
        <f t="shared" si="34"/>
        <v>1</v>
      </c>
      <c r="F215" s="717"/>
      <c r="G215" s="24">
        <f t="shared" si="35"/>
        <v>1</v>
      </c>
      <c r="H215" s="717"/>
      <c r="I215" s="24">
        <f t="shared" si="36"/>
        <v>1</v>
      </c>
      <c r="J215" s="717"/>
      <c r="K215" s="24">
        <f t="shared" si="37"/>
        <v>1</v>
      </c>
      <c r="L215" s="717"/>
      <c r="M215" s="24">
        <f t="shared" si="38"/>
        <v>1</v>
      </c>
      <c r="N215" s="717"/>
      <c r="O215" s="24">
        <f t="shared" si="39"/>
        <v>1</v>
      </c>
      <c r="P215" s="717" t="s">
        <v>3465</v>
      </c>
      <c r="Q215" s="24">
        <f t="shared" si="40"/>
        <v>1</v>
      </c>
      <c r="R215" s="713">
        <f t="shared" si="41"/>
        <v>35229</v>
      </c>
      <c r="S215" s="361">
        <f t="shared" si="42"/>
        <v>323</v>
      </c>
    </row>
    <row r="216" spans="1:19">
      <c r="A216" s="715" t="str">
        <f>'数据-基础表'!C205</f>
        <v>11-1-211</v>
      </c>
      <c r="B216" s="715">
        <f>'数据-基础表'!I205</f>
        <v>65.22</v>
      </c>
      <c r="C216" s="24">
        <f t="shared" si="33"/>
        <v>1</v>
      </c>
      <c r="D216" s="717" t="s">
        <v>3384</v>
      </c>
      <c r="E216" s="24">
        <f t="shared" si="34"/>
        <v>1</v>
      </c>
      <c r="F216" s="717"/>
      <c r="G216" s="24">
        <f t="shared" si="35"/>
        <v>1</v>
      </c>
      <c r="H216" s="717"/>
      <c r="I216" s="24">
        <f t="shared" si="36"/>
        <v>1</v>
      </c>
      <c r="J216" s="717"/>
      <c r="K216" s="24">
        <f t="shared" si="37"/>
        <v>1</v>
      </c>
      <c r="L216" s="717"/>
      <c r="M216" s="24">
        <f t="shared" si="38"/>
        <v>1</v>
      </c>
      <c r="N216" s="717"/>
      <c r="O216" s="24">
        <f t="shared" si="39"/>
        <v>1</v>
      </c>
      <c r="P216" s="717" t="s">
        <v>3465</v>
      </c>
      <c r="Q216" s="24">
        <f t="shared" si="40"/>
        <v>1</v>
      </c>
      <c r="R216" s="713">
        <f t="shared" si="41"/>
        <v>35229</v>
      </c>
      <c r="S216" s="361">
        <f t="shared" si="42"/>
        <v>230</v>
      </c>
    </row>
    <row r="217" spans="1:19">
      <c r="A217" s="715" t="str">
        <f>'数据-基础表'!C206</f>
        <v>11-1-502</v>
      </c>
      <c r="B217" s="715">
        <f>'数据-基础表'!I206</f>
        <v>91.79</v>
      </c>
      <c r="C217" s="24">
        <f t="shared" si="33"/>
        <v>1</v>
      </c>
      <c r="D217" s="717" t="s">
        <v>3384</v>
      </c>
      <c r="E217" s="24">
        <f t="shared" si="34"/>
        <v>1</v>
      </c>
      <c r="F217" s="717"/>
      <c r="G217" s="24">
        <f t="shared" si="35"/>
        <v>1</v>
      </c>
      <c r="H217" s="717"/>
      <c r="I217" s="24">
        <f t="shared" si="36"/>
        <v>1</v>
      </c>
      <c r="J217" s="717"/>
      <c r="K217" s="24">
        <f t="shared" si="37"/>
        <v>1</v>
      </c>
      <c r="L217" s="717"/>
      <c r="M217" s="24">
        <f t="shared" si="38"/>
        <v>1</v>
      </c>
      <c r="N217" s="717"/>
      <c r="O217" s="24">
        <f t="shared" si="39"/>
        <v>1</v>
      </c>
      <c r="P217" s="717" t="s">
        <v>3464</v>
      </c>
      <c r="Q217" s="24">
        <f t="shared" si="40"/>
        <v>1.02</v>
      </c>
      <c r="R217" s="713">
        <f t="shared" si="41"/>
        <v>35934</v>
      </c>
      <c r="S217" s="361">
        <f t="shared" si="42"/>
        <v>330</v>
      </c>
    </row>
    <row r="218" spans="1:19">
      <c r="A218" s="715" t="str">
        <f>'数据-基础表'!C207</f>
        <v>11-1-506</v>
      </c>
      <c r="B218" s="715">
        <f>'数据-基础表'!I207</f>
        <v>91.79</v>
      </c>
      <c r="C218" s="24">
        <f t="shared" ref="C218:C281" si="43">IF(B218="",1,(LOOKUP(B218,$3:$3,$4:$4)-LOOKUP($B$24,$3:$3,$4:$4)+100)/100)</f>
        <v>1</v>
      </c>
      <c r="D218" s="717" t="s">
        <v>3384</v>
      </c>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t="s">
        <v>3464</v>
      </c>
      <c r="Q218" s="24">
        <f t="shared" ref="Q218:Q281" si="50">(SUMIF($17:$17,P218,$18:$18)-SUMIF($17:$17,$P$24,$18:$18)+100)/100</f>
        <v>1.02</v>
      </c>
      <c r="R218" s="713">
        <f t="shared" ref="R218:R281" si="51">IF(B218="",0,ROUND($R$24*C218*E218*G218*I218*K218*M218*O218*Q218,0))</f>
        <v>35934</v>
      </c>
      <c r="S218" s="361">
        <f t="shared" si="42"/>
        <v>330</v>
      </c>
    </row>
    <row r="219" spans="1:19">
      <c r="A219" s="715" t="str">
        <f>'数据-基础表'!C208</f>
        <v>11-1-509</v>
      </c>
      <c r="B219" s="715">
        <f>'数据-基础表'!I208</f>
        <v>91.11</v>
      </c>
      <c r="C219" s="24">
        <f t="shared" si="43"/>
        <v>1</v>
      </c>
      <c r="D219" s="717" t="s">
        <v>3384</v>
      </c>
      <c r="E219" s="24">
        <f t="shared" si="44"/>
        <v>1</v>
      </c>
      <c r="F219" s="717"/>
      <c r="G219" s="24">
        <f t="shared" si="45"/>
        <v>1</v>
      </c>
      <c r="H219" s="717"/>
      <c r="I219" s="24">
        <f t="shared" si="46"/>
        <v>1</v>
      </c>
      <c r="J219" s="717"/>
      <c r="K219" s="24">
        <f t="shared" si="47"/>
        <v>1</v>
      </c>
      <c r="L219" s="717"/>
      <c r="M219" s="24">
        <f t="shared" si="48"/>
        <v>1</v>
      </c>
      <c r="N219" s="717"/>
      <c r="O219" s="24">
        <f t="shared" si="49"/>
        <v>1</v>
      </c>
      <c r="P219" s="717" t="s">
        <v>3464</v>
      </c>
      <c r="Q219" s="24">
        <f t="shared" si="50"/>
        <v>1.02</v>
      </c>
      <c r="R219" s="713">
        <f t="shared" si="51"/>
        <v>35934</v>
      </c>
      <c r="S219" s="361">
        <f t="shared" si="42"/>
        <v>327</v>
      </c>
    </row>
    <row r="220" spans="1:19">
      <c r="A220" s="715" t="str">
        <f>'数据-基础表'!C209</f>
        <v>11-1-607</v>
      </c>
      <c r="B220" s="715">
        <f>'数据-基础表'!I209</f>
        <v>91.79</v>
      </c>
      <c r="C220" s="24">
        <f t="shared" si="43"/>
        <v>1</v>
      </c>
      <c r="D220" s="717" t="s">
        <v>3384</v>
      </c>
      <c r="E220" s="24">
        <f t="shared" si="44"/>
        <v>1</v>
      </c>
      <c r="F220" s="717"/>
      <c r="G220" s="24">
        <f t="shared" si="45"/>
        <v>1</v>
      </c>
      <c r="H220" s="717"/>
      <c r="I220" s="24">
        <f t="shared" si="46"/>
        <v>1</v>
      </c>
      <c r="J220" s="717"/>
      <c r="K220" s="24">
        <f t="shared" si="47"/>
        <v>1</v>
      </c>
      <c r="L220" s="717"/>
      <c r="M220" s="24">
        <f t="shared" si="48"/>
        <v>1</v>
      </c>
      <c r="N220" s="717"/>
      <c r="O220" s="24">
        <f t="shared" si="49"/>
        <v>1</v>
      </c>
      <c r="P220" s="717" t="s">
        <v>3464</v>
      </c>
      <c r="Q220" s="24">
        <f t="shared" si="50"/>
        <v>1.02</v>
      </c>
      <c r="R220" s="713">
        <f t="shared" si="51"/>
        <v>35934</v>
      </c>
      <c r="S220" s="361">
        <f t="shared" si="42"/>
        <v>330</v>
      </c>
    </row>
    <row r="221" spans="1:19">
      <c r="A221" s="715" t="str">
        <f>'数据-基础表'!C210</f>
        <v>11-1-608</v>
      </c>
      <c r="B221" s="715">
        <f>'数据-基础表'!I210</f>
        <v>93.17</v>
      </c>
      <c r="C221" s="24">
        <f t="shared" si="43"/>
        <v>1</v>
      </c>
      <c r="D221" s="717" t="s">
        <v>3384</v>
      </c>
      <c r="E221" s="24">
        <f t="shared" si="44"/>
        <v>1</v>
      </c>
      <c r="F221" s="717"/>
      <c r="G221" s="24">
        <f t="shared" si="45"/>
        <v>1</v>
      </c>
      <c r="H221" s="717"/>
      <c r="I221" s="24">
        <f t="shared" si="46"/>
        <v>1</v>
      </c>
      <c r="J221" s="717"/>
      <c r="K221" s="24">
        <f t="shared" si="47"/>
        <v>1</v>
      </c>
      <c r="L221" s="717"/>
      <c r="M221" s="24">
        <f t="shared" si="48"/>
        <v>1</v>
      </c>
      <c r="N221" s="717"/>
      <c r="O221" s="24">
        <f t="shared" si="49"/>
        <v>1</v>
      </c>
      <c r="P221" s="717" t="s">
        <v>3464</v>
      </c>
      <c r="Q221" s="24">
        <f t="shared" si="50"/>
        <v>1.02</v>
      </c>
      <c r="R221" s="713">
        <f t="shared" si="51"/>
        <v>35934</v>
      </c>
      <c r="S221" s="361">
        <f t="shared" si="42"/>
        <v>335</v>
      </c>
    </row>
    <row r="222" spans="1:19">
      <c r="A222" s="715" t="str">
        <f>'数据-基础表'!C211</f>
        <v>11-1-614</v>
      </c>
      <c r="B222" s="715">
        <f>'数据-基础表'!I211</f>
        <v>91.79</v>
      </c>
      <c r="C222" s="24">
        <f t="shared" si="43"/>
        <v>1</v>
      </c>
      <c r="D222" s="717" t="s">
        <v>3384</v>
      </c>
      <c r="E222" s="24">
        <f t="shared" si="44"/>
        <v>1</v>
      </c>
      <c r="F222" s="717"/>
      <c r="G222" s="24">
        <f t="shared" si="45"/>
        <v>1</v>
      </c>
      <c r="H222" s="717"/>
      <c r="I222" s="24">
        <f t="shared" si="46"/>
        <v>1</v>
      </c>
      <c r="J222" s="717"/>
      <c r="K222" s="24">
        <f t="shared" si="47"/>
        <v>1</v>
      </c>
      <c r="L222" s="717"/>
      <c r="M222" s="24">
        <f t="shared" si="48"/>
        <v>1</v>
      </c>
      <c r="N222" s="717"/>
      <c r="O222" s="24">
        <f t="shared" si="49"/>
        <v>1</v>
      </c>
      <c r="P222" s="717" t="s">
        <v>3464</v>
      </c>
      <c r="Q222" s="24">
        <f t="shared" si="50"/>
        <v>1.02</v>
      </c>
      <c r="R222" s="713">
        <f t="shared" si="51"/>
        <v>35934</v>
      </c>
      <c r="S222" s="361">
        <f t="shared" si="42"/>
        <v>330</v>
      </c>
    </row>
    <row r="223" spans="1:19">
      <c r="A223" s="715" t="str">
        <f>'数据-基础表'!C212</f>
        <v>11-1-705</v>
      </c>
      <c r="B223" s="715">
        <f>'数据-基础表'!I212</f>
        <v>91.79</v>
      </c>
      <c r="C223" s="24">
        <f t="shared" si="43"/>
        <v>1</v>
      </c>
      <c r="D223" s="717" t="s">
        <v>3384</v>
      </c>
      <c r="E223" s="24">
        <f t="shared" si="44"/>
        <v>1</v>
      </c>
      <c r="F223" s="717"/>
      <c r="G223" s="24">
        <f t="shared" si="45"/>
        <v>1</v>
      </c>
      <c r="H223" s="717"/>
      <c r="I223" s="24">
        <f t="shared" si="46"/>
        <v>1</v>
      </c>
      <c r="J223" s="717"/>
      <c r="K223" s="24">
        <f t="shared" si="47"/>
        <v>1</v>
      </c>
      <c r="L223" s="717"/>
      <c r="M223" s="24">
        <f t="shared" si="48"/>
        <v>1</v>
      </c>
      <c r="N223" s="717"/>
      <c r="O223" s="24">
        <f t="shared" si="49"/>
        <v>1</v>
      </c>
      <c r="P223" s="717" t="s">
        <v>3464</v>
      </c>
      <c r="Q223" s="24">
        <f t="shared" si="50"/>
        <v>1.02</v>
      </c>
      <c r="R223" s="713">
        <f t="shared" si="51"/>
        <v>35934</v>
      </c>
      <c r="S223" s="361">
        <f t="shared" ref="S223:S286" si="52">ROUND(R223*B223/10000,0)</f>
        <v>330</v>
      </c>
    </row>
    <row r="224" spans="1:19">
      <c r="A224" s="715" t="str">
        <f>'数据-基础表'!C213</f>
        <v>11-1-714</v>
      </c>
      <c r="B224" s="715">
        <f>'数据-基础表'!I213</f>
        <v>91.79</v>
      </c>
      <c r="C224" s="24">
        <f t="shared" si="43"/>
        <v>1</v>
      </c>
      <c r="D224" s="717" t="s">
        <v>3384</v>
      </c>
      <c r="E224" s="24">
        <f t="shared" si="44"/>
        <v>1</v>
      </c>
      <c r="F224" s="717"/>
      <c r="G224" s="24">
        <f t="shared" si="45"/>
        <v>1</v>
      </c>
      <c r="H224" s="717"/>
      <c r="I224" s="24">
        <f t="shared" si="46"/>
        <v>1</v>
      </c>
      <c r="J224" s="717"/>
      <c r="K224" s="24">
        <f t="shared" si="47"/>
        <v>1</v>
      </c>
      <c r="L224" s="717"/>
      <c r="M224" s="24">
        <f t="shared" si="48"/>
        <v>1</v>
      </c>
      <c r="N224" s="717"/>
      <c r="O224" s="24">
        <f t="shared" si="49"/>
        <v>1</v>
      </c>
      <c r="P224" s="717" t="s">
        <v>3464</v>
      </c>
      <c r="Q224" s="24">
        <f t="shared" si="50"/>
        <v>1.02</v>
      </c>
      <c r="R224" s="713">
        <f t="shared" si="51"/>
        <v>35934</v>
      </c>
      <c r="S224" s="361">
        <f t="shared" si="52"/>
        <v>330</v>
      </c>
    </row>
    <row r="225" spans="1:19">
      <c r="A225" s="715" t="str">
        <f>'数据-基础表'!C214</f>
        <v>11-1-814</v>
      </c>
      <c r="B225" s="715">
        <f>'数据-基础表'!I214</f>
        <v>91.79</v>
      </c>
      <c r="C225" s="24">
        <f t="shared" si="43"/>
        <v>1</v>
      </c>
      <c r="D225" s="717" t="s">
        <v>3384</v>
      </c>
      <c r="E225" s="24">
        <f t="shared" si="44"/>
        <v>1</v>
      </c>
      <c r="F225" s="717"/>
      <c r="G225" s="24">
        <f t="shared" si="45"/>
        <v>1</v>
      </c>
      <c r="H225" s="717"/>
      <c r="I225" s="24">
        <f t="shared" si="46"/>
        <v>1</v>
      </c>
      <c r="J225" s="717"/>
      <c r="K225" s="24">
        <f t="shared" si="47"/>
        <v>1</v>
      </c>
      <c r="L225" s="717"/>
      <c r="M225" s="24">
        <f t="shared" si="48"/>
        <v>1</v>
      </c>
      <c r="N225" s="717"/>
      <c r="O225" s="24">
        <f t="shared" si="49"/>
        <v>1</v>
      </c>
      <c r="P225" s="717" t="s">
        <v>3464</v>
      </c>
      <c r="Q225" s="24">
        <f t="shared" si="50"/>
        <v>1.02</v>
      </c>
      <c r="R225" s="713">
        <f t="shared" si="51"/>
        <v>35934</v>
      </c>
      <c r="S225" s="361">
        <f t="shared" si="52"/>
        <v>330</v>
      </c>
    </row>
    <row r="226" spans="1:19">
      <c r="A226" s="715" t="str">
        <f>'数据-基础表'!C215</f>
        <v>11-1-902</v>
      </c>
      <c r="B226" s="715">
        <f>'数据-基础表'!I215</f>
        <v>91.79</v>
      </c>
      <c r="C226" s="24">
        <f t="shared" si="43"/>
        <v>1</v>
      </c>
      <c r="D226" s="717" t="s">
        <v>3384</v>
      </c>
      <c r="E226" s="24">
        <f t="shared" si="44"/>
        <v>1</v>
      </c>
      <c r="F226" s="717"/>
      <c r="G226" s="24">
        <f t="shared" si="45"/>
        <v>1</v>
      </c>
      <c r="H226" s="717"/>
      <c r="I226" s="24">
        <f t="shared" si="46"/>
        <v>1</v>
      </c>
      <c r="J226" s="717"/>
      <c r="K226" s="24">
        <f t="shared" si="47"/>
        <v>1</v>
      </c>
      <c r="L226" s="717"/>
      <c r="M226" s="24">
        <f t="shared" si="48"/>
        <v>1</v>
      </c>
      <c r="N226" s="717"/>
      <c r="O226" s="24">
        <f t="shared" si="49"/>
        <v>1</v>
      </c>
      <c r="P226" s="717" t="s">
        <v>3463</v>
      </c>
      <c r="Q226" s="24">
        <f t="shared" si="50"/>
        <v>1.04</v>
      </c>
      <c r="R226" s="713">
        <f t="shared" si="51"/>
        <v>36638</v>
      </c>
      <c r="S226" s="361">
        <f t="shared" si="52"/>
        <v>336</v>
      </c>
    </row>
    <row r="227" spans="1:19">
      <c r="A227" s="715" t="str">
        <f>'数据-基础表'!C216</f>
        <v>11-1-909</v>
      </c>
      <c r="B227" s="715">
        <f>'数据-基础表'!I216</f>
        <v>91.11</v>
      </c>
      <c r="C227" s="24">
        <f t="shared" si="43"/>
        <v>1</v>
      </c>
      <c r="D227" s="717" t="s">
        <v>3384</v>
      </c>
      <c r="E227" s="24">
        <f t="shared" si="44"/>
        <v>1</v>
      </c>
      <c r="F227" s="717"/>
      <c r="G227" s="24">
        <f t="shared" si="45"/>
        <v>1</v>
      </c>
      <c r="H227" s="717"/>
      <c r="I227" s="24">
        <f t="shared" si="46"/>
        <v>1</v>
      </c>
      <c r="J227" s="717"/>
      <c r="K227" s="24">
        <f t="shared" si="47"/>
        <v>1</v>
      </c>
      <c r="L227" s="717"/>
      <c r="M227" s="24">
        <f t="shared" si="48"/>
        <v>1</v>
      </c>
      <c r="N227" s="717"/>
      <c r="O227" s="24">
        <f t="shared" si="49"/>
        <v>1</v>
      </c>
      <c r="P227" s="717" t="s">
        <v>3463</v>
      </c>
      <c r="Q227" s="24">
        <f t="shared" si="50"/>
        <v>1.04</v>
      </c>
      <c r="R227" s="713">
        <f t="shared" si="51"/>
        <v>36638</v>
      </c>
      <c r="S227" s="361">
        <f t="shared" si="52"/>
        <v>334</v>
      </c>
    </row>
    <row r="228" spans="1:19">
      <c r="A228" s="715" t="str">
        <f>'数据-基础表'!C217</f>
        <v>11-1-910</v>
      </c>
      <c r="B228" s="715">
        <f>'数据-基础表'!I217</f>
        <v>91.79</v>
      </c>
      <c r="C228" s="24">
        <f t="shared" si="43"/>
        <v>1</v>
      </c>
      <c r="D228" s="717" t="s">
        <v>3384</v>
      </c>
      <c r="E228" s="24">
        <f t="shared" si="44"/>
        <v>1</v>
      </c>
      <c r="F228" s="717"/>
      <c r="G228" s="24">
        <f t="shared" si="45"/>
        <v>1</v>
      </c>
      <c r="H228" s="717"/>
      <c r="I228" s="24">
        <f t="shared" si="46"/>
        <v>1</v>
      </c>
      <c r="J228" s="717"/>
      <c r="K228" s="24">
        <f t="shared" si="47"/>
        <v>1</v>
      </c>
      <c r="L228" s="717"/>
      <c r="M228" s="24">
        <f t="shared" si="48"/>
        <v>1</v>
      </c>
      <c r="N228" s="717"/>
      <c r="O228" s="24">
        <f t="shared" si="49"/>
        <v>1</v>
      </c>
      <c r="P228" s="717" t="s">
        <v>3463</v>
      </c>
      <c r="Q228" s="24">
        <f t="shared" si="50"/>
        <v>1.04</v>
      </c>
      <c r="R228" s="713">
        <f t="shared" si="51"/>
        <v>36638</v>
      </c>
      <c r="S228" s="361">
        <f t="shared" si="52"/>
        <v>336</v>
      </c>
    </row>
    <row r="229" spans="1:19">
      <c r="A229" s="715" t="str">
        <f>'数据-基础表'!C218</f>
        <v>11-1-911</v>
      </c>
      <c r="B229" s="715">
        <f>'数据-基础表'!I218</f>
        <v>65.22</v>
      </c>
      <c r="C229" s="24">
        <f t="shared" si="43"/>
        <v>1</v>
      </c>
      <c r="D229" s="717" t="s">
        <v>3384</v>
      </c>
      <c r="E229" s="24">
        <f t="shared" si="44"/>
        <v>1</v>
      </c>
      <c r="F229" s="717"/>
      <c r="G229" s="24">
        <f t="shared" si="45"/>
        <v>1</v>
      </c>
      <c r="H229" s="717"/>
      <c r="I229" s="24">
        <f t="shared" si="46"/>
        <v>1</v>
      </c>
      <c r="J229" s="717"/>
      <c r="K229" s="24">
        <f t="shared" si="47"/>
        <v>1</v>
      </c>
      <c r="L229" s="717"/>
      <c r="M229" s="24">
        <f t="shared" si="48"/>
        <v>1</v>
      </c>
      <c r="N229" s="717"/>
      <c r="O229" s="24">
        <f t="shared" si="49"/>
        <v>1</v>
      </c>
      <c r="P229" s="717" t="s">
        <v>3463</v>
      </c>
      <c r="Q229" s="24">
        <f t="shared" si="50"/>
        <v>1.04</v>
      </c>
      <c r="R229" s="713">
        <f t="shared" si="51"/>
        <v>36638</v>
      </c>
      <c r="S229" s="361">
        <f t="shared" si="52"/>
        <v>239</v>
      </c>
    </row>
    <row r="230" spans="1:19">
      <c r="A230" s="715" t="str">
        <f>'数据-基础表'!C219</f>
        <v>11-1-914</v>
      </c>
      <c r="B230" s="715">
        <f>'数据-基础表'!I219</f>
        <v>91.79</v>
      </c>
      <c r="C230" s="24">
        <f t="shared" si="43"/>
        <v>1</v>
      </c>
      <c r="D230" s="717" t="s">
        <v>3384</v>
      </c>
      <c r="E230" s="24">
        <f t="shared" si="44"/>
        <v>1</v>
      </c>
      <c r="F230" s="717"/>
      <c r="G230" s="24">
        <f t="shared" si="45"/>
        <v>1</v>
      </c>
      <c r="H230" s="717"/>
      <c r="I230" s="24">
        <f t="shared" si="46"/>
        <v>1</v>
      </c>
      <c r="J230" s="717"/>
      <c r="K230" s="24">
        <f t="shared" si="47"/>
        <v>1</v>
      </c>
      <c r="L230" s="717"/>
      <c r="M230" s="24">
        <f t="shared" si="48"/>
        <v>1</v>
      </c>
      <c r="N230" s="717"/>
      <c r="O230" s="24">
        <f t="shared" si="49"/>
        <v>1</v>
      </c>
      <c r="P230" s="717" t="s">
        <v>3463</v>
      </c>
      <c r="Q230" s="24">
        <f t="shared" si="50"/>
        <v>1.04</v>
      </c>
      <c r="R230" s="713">
        <f t="shared" si="51"/>
        <v>36638</v>
      </c>
      <c r="S230" s="361">
        <f t="shared" si="52"/>
        <v>336</v>
      </c>
    </row>
    <row r="231" spans="1:19">
      <c r="A231" s="715" t="str">
        <f>'数据-基础表'!C220</f>
        <v>11-1-1103</v>
      </c>
      <c r="B231" s="715">
        <f>'数据-基础表'!I220</f>
        <v>91.79</v>
      </c>
      <c r="C231" s="24">
        <f t="shared" si="43"/>
        <v>1</v>
      </c>
      <c r="D231" s="717" t="s">
        <v>3384</v>
      </c>
      <c r="E231" s="24">
        <f t="shared" si="44"/>
        <v>1</v>
      </c>
      <c r="F231" s="717"/>
      <c r="G231" s="24">
        <f t="shared" si="45"/>
        <v>1</v>
      </c>
      <c r="H231" s="717"/>
      <c r="I231" s="24">
        <f t="shared" si="46"/>
        <v>1</v>
      </c>
      <c r="J231" s="717"/>
      <c r="K231" s="24">
        <f t="shared" si="47"/>
        <v>1</v>
      </c>
      <c r="L231" s="717"/>
      <c r="M231" s="24">
        <f t="shared" si="48"/>
        <v>1</v>
      </c>
      <c r="N231" s="717"/>
      <c r="O231" s="24">
        <f t="shared" si="49"/>
        <v>1</v>
      </c>
      <c r="P231" s="717" t="s">
        <v>3463</v>
      </c>
      <c r="Q231" s="24">
        <f t="shared" si="50"/>
        <v>1.04</v>
      </c>
      <c r="R231" s="713">
        <f t="shared" si="51"/>
        <v>36638</v>
      </c>
      <c r="S231" s="361">
        <f t="shared" si="52"/>
        <v>336</v>
      </c>
    </row>
    <row r="232" spans="1:19">
      <c r="A232" s="715" t="str">
        <f>'数据-基础表'!C221</f>
        <v>11-1-1108</v>
      </c>
      <c r="B232" s="715">
        <f>'数据-基础表'!I221</f>
        <v>93.17</v>
      </c>
      <c r="C232" s="24">
        <f t="shared" si="43"/>
        <v>1</v>
      </c>
      <c r="D232" s="717" t="s">
        <v>3384</v>
      </c>
      <c r="E232" s="24">
        <f t="shared" si="44"/>
        <v>1</v>
      </c>
      <c r="F232" s="717"/>
      <c r="G232" s="24">
        <f t="shared" si="45"/>
        <v>1</v>
      </c>
      <c r="H232" s="717"/>
      <c r="I232" s="24">
        <f t="shared" si="46"/>
        <v>1</v>
      </c>
      <c r="J232" s="717"/>
      <c r="K232" s="24">
        <f t="shared" si="47"/>
        <v>1</v>
      </c>
      <c r="L232" s="717"/>
      <c r="M232" s="24">
        <f t="shared" si="48"/>
        <v>1</v>
      </c>
      <c r="N232" s="717"/>
      <c r="O232" s="24">
        <f t="shared" si="49"/>
        <v>1</v>
      </c>
      <c r="P232" s="717" t="s">
        <v>3463</v>
      </c>
      <c r="Q232" s="24">
        <f t="shared" si="50"/>
        <v>1.04</v>
      </c>
      <c r="R232" s="713">
        <f t="shared" si="51"/>
        <v>36638</v>
      </c>
      <c r="S232" s="361">
        <f t="shared" si="52"/>
        <v>341</v>
      </c>
    </row>
    <row r="233" spans="1:19">
      <c r="A233" s="715" t="str">
        <f>'数据-基础表'!C222</f>
        <v>9-1-208</v>
      </c>
      <c r="B233" s="715">
        <f>'数据-基础表'!I222</f>
        <v>90.6</v>
      </c>
      <c r="C233" s="24">
        <f t="shared" si="43"/>
        <v>1</v>
      </c>
      <c r="D233" s="717" t="s">
        <v>3384</v>
      </c>
      <c r="E233" s="24">
        <f t="shared" si="44"/>
        <v>1</v>
      </c>
      <c r="F233" s="717"/>
      <c r="G233" s="24">
        <f t="shared" si="45"/>
        <v>1</v>
      </c>
      <c r="H233" s="717"/>
      <c r="I233" s="24">
        <f t="shared" si="46"/>
        <v>1</v>
      </c>
      <c r="J233" s="717"/>
      <c r="K233" s="24">
        <f t="shared" si="47"/>
        <v>1</v>
      </c>
      <c r="L233" s="717"/>
      <c r="M233" s="24">
        <f t="shared" si="48"/>
        <v>1</v>
      </c>
      <c r="N233" s="717"/>
      <c r="O233" s="24">
        <f t="shared" si="49"/>
        <v>1</v>
      </c>
      <c r="P233" s="717" t="s">
        <v>3465</v>
      </c>
      <c r="Q233" s="24">
        <f t="shared" si="50"/>
        <v>1</v>
      </c>
      <c r="R233" s="713">
        <f t="shared" si="51"/>
        <v>35229</v>
      </c>
      <c r="S233" s="361">
        <f t="shared" si="52"/>
        <v>319</v>
      </c>
    </row>
    <row r="234" spans="1:19">
      <c r="A234" s="715" t="str">
        <f>'数据-基础表'!C223</f>
        <v>9-1-209</v>
      </c>
      <c r="B234" s="715">
        <f>'数据-基础表'!I223</f>
        <v>89.68</v>
      </c>
      <c r="C234" s="24">
        <f t="shared" si="43"/>
        <v>1</v>
      </c>
      <c r="D234" s="717" t="s">
        <v>3384</v>
      </c>
      <c r="E234" s="24">
        <f t="shared" si="44"/>
        <v>1</v>
      </c>
      <c r="F234" s="717"/>
      <c r="G234" s="24">
        <f t="shared" si="45"/>
        <v>1</v>
      </c>
      <c r="H234" s="717"/>
      <c r="I234" s="24">
        <f t="shared" si="46"/>
        <v>1</v>
      </c>
      <c r="J234" s="717"/>
      <c r="K234" s="24">
        <f t="shared" si="47"/>
        <v>1</v>
      </c>
      <c r="L234" s="717"/>
      <c r="M234" s="24">
        <f t="shared" si="48"/>
        <v>1</v>
      </c>
      <c r="N234" s="717"/>
      <c r="O234" s="24">
        <f t="shared" si="49"/>
        <v>1</v>
      </c>
      <c r="P234" s="717" t="s">
        <v>3465</v>
      </c>
      <c r="Q234" s="24">
        <f t="shared" si="50"/>
        <v>1</v>
      </c>
      <c r="R234" s="713">
        <f t="shared" si="51"/>
        <v>35229</v>
      </c>
      <c r="S234" s="361">
        <f t="shared" si="52"/>
        <v>316</v>
      </c>
    </row>
    <row r="235" spans="1:19">
      <c r="A235" s="715" t="str">
        <f>'数据-基础表'!C224</f>
        <v>9-1-212</v>
      </c>
      <c r="B235" s="715">
        <f>'数据-基础表'!I224</f>
        <v>89.68</v>
      </c>
      <c r="C235" s="24">
        <f t="shared" si="43"/>
        <v>1</v>
      </c>
      <c r="D235" s="717" t="s">
        <v>3384</v>
      </c>
      <c r="E235" s="24">
        <f t="shared" si="44"/>
        <v>1</v>
      </c>
      <c r="F235" s="717"/>
      <c r="G235" s="24">
        <f t="shared" si="45"/>
        <v>1</v>
      </c>
      <c r="H235" s="717"/>
      <c r="I235" s="24">
        <f t="shared" si="46"/>
        <v>1</v>
      </c>
      <c r="J235" s="717"/>
      <c r="K235" s="24">
        <f t="shared" si="47"/>
        <v>1</v>
      </c>
      <c r="L235" s="717"/>
      <c r="M235" s="24">
        <f t="shared" si="48"/>
        <v>1</v>
      </c>
      <c r="N235" s="717"/>
      <c r="O235" s="24">
        <f t="shared" si="49"/>
        <v>1</v>
      </c>
      <c r="P235" s="717" t="s">
        <v>3465</v>
      </c>
      <c r="Q235" s="24">
        <f t="shared" si="50"/>
        <v>1</v>
      </c>
      <c r="R235" s="713">
        <f t="shared" si="51"/>
        <v>35229</v>
      </c>
      <c r="S235" s="361">
        <f t="shared" si="52"/>
        <v>316</v>
      </c>
    </row>
    <row r="236" spans="1:19">
      <c r="A236" s="715" t="str">
        <f>'数据-基础表'!C225</f>
        <v>9-1-214</v>
      </c>
      <c r="B236" s="715">
        <f>'数据-基础表'!I225</f>
        <v>89.68</v>
      </c>
      <c r="C236" s="24">
        <f t="shared" si="43"/>
        <v>1</v>
      </c>
      <c r="D236" s="717" t="s">
        <v>3384</v>
      </c>
      <c r="E236" s="24">
        <f t="shared" si="44"/>
        <v>1</v>
      </c>
      <c r="F236" s="717"/>
      <c r="G236" s="24">
        <f t="shared" si="45"/>
        <v>1</v>
      </c>
      <c r="H236" s="717"/>
      <c r="I236" s="24">
        <f t="shared" si="46"/>
        <v>1</v>
      </c>
      <c r="J236" s="717"/>
      <c r="K236" s="24">
        <f t="shared" si="47"/>
        <v>1</v>
      </c>
      <c r="L236" s="717"/>
      <c r="M236" s="24">
        <f t="shared" si="48"/>
        <v>1</v>
      </c>
      <c r="N236" s="717"/>
      <c r="O236" s="24">
        <f t="shared" si="49"/>
        <v>1</v>
      </c>
      <c r="P236" s="717" t="s">
        <v>3465</v>
      </c>
      <c r="Q236" s="24">
        <f t="shared" si="50"/>
        <v>1</v>
      </c>
      <c r="R236" s="713">
        <f t="shared" si="51"/>
        <v>35229</v>
      </c>
      <c r="S236" s="361">
        <f t="shared" si="52"/>
        <v>316</v>
      </c>
    </row>
    <row r="237" spans="1:19">
      <c r="A237" s="715" t="str">
        <f>'数据-基础表'!C226</f>
        <v>9-1-215</v>
      </c>
      <c r="B237" s="715">
        <f>'数据-基础表'!I226</f>
        <v>91.28</v>
      </c>
      <c r="C237" s="24">
        <f t="shared" si="43"/>
        <v>1</v>
      </c>
      <c r="D237" s="717" t="s">
        <v>3384</v>
      </c>
      <c r="E237" s="24">
        <f t="shared" si="44"/>
        <v>1</v>
      </c>
      <c r="F237" s="717"/>
      <c r="G237" s="24">
        <f t="shared" si="45"/>
        <v>1</v>
      </c>
      <c r="H237" s="717"/>
      <c r="I237" s="24">
        <f t="shared" si="46"/>
        <v>1</v>
      </c>
      <c r="J237" s="717"/>
      <c r="K237" s="24">
        <f t="shared" si="47"/>
        <v>1</v>
      </c>
      <c r="L237" s="717"/>
      <c r="M237" s="24">
        <f t="shared" si="48"/>
        <v>1</v>
      </c>
      <c r="N237" s="717"/>
      <c r="O237" s="24">
        <f t="shared" si="49"/>
        <v>1</v>
      </c>
      <c r="P237" s="717" t="s">
        <v>3465</v>
      </c>
      <c r="Q237" s="24">
        <f t="shared" si="50"/>
        <v>1</v>
      </c>
      <c r="R237" s="713">
        <f t="shared" si="51"/>
        <v>35229</v>
      </c>
      <c r="S237" s="361">
        <f t="shared" si="52"/>
        <v>322</v>
      </c>
    </row>
    <row r="238" spans="1:19">
      <c r="A238" s="715" t="str">
        <f>'数据-基础表'!C227</f>
        <v>9-1-1014</v>
      </c>
      <c r="B238" s="715">
        <f>'数据-基础表'!I227</f>
        <v>89.68</v>
      </c>
      <c r="C238" s="24">
        <f t="shared" si="43"/>
        <v>1</v>
      </c>
      <c r="D238" s="717" t="s">
        <v>3384</v>
      </c>
      <c r="E238" s="24">
        <f t="shared" si="44"/>
        <v>1</v>
      </c>
      <c r="F238" s="717"/>
      <c r="G238" s="24">
        <f t="shared" si="45"/>
        <v>1</v>
      </c>
      <c r="H238" s="717"/>
      <c r="I238" s="24">
        <f t="shared" si="46"/>
        <v>1</v>
      </c>
      <c r="J238" s="717"/>
      <c r="K238" s="24">
        <f t="shared" si="47"/>
        <v>1</v>
      </c>
      <c r="L238" s="717"/>
      <c r="M238" s="24">
        <f t="shared" si="48"/>
        <v>1</v>
      </c>
      <c r="N238" s="717"/>
      <c r="O238" s="24">
        <f t="shared" si="49"/>
        <v>1</v>
      </c>
      <c r="P238" s="717" t="s">
        <v>3463</v>
      </c>
      <c r="Q238" s="24">
        <f t="shared" si="50"/>
        <v>1.04</v>
      </c>
      <c r="R238" s="713">
        <f t="shared" si="51"/>
        <v>36638</v>
      </c>
      <c r="S238" s="361">
        <f t="shared" si="52"/>
        <v>329</v>
      </c>
    </row>
    <row r="239" spans="1:19">
      <c r="A239" s="715" t="str">
        <f>'数据-基础表'!C228</f>
        <v>9-1-1113</v>
      </c>
      <c r="B239" s="715">
        <f>'数据-基础表'!I228</f>
        <v>89.68</v>
      </c>
      <c r="C239" s="24">
        <f t="shared" si="43"/>
        <v>1</v>
      </c>
      <c r="D239" s="717" t="s">
        <v>3384</v>
      </c>
      <c r="E239" s="24">
        <f t="shared" si="44"/>
        <v>1</v>
      </c>
      <c r="F239" s="717"/>
      <c r="G239" s="24">
        <f t="shared" si="45"/>
        <v>1</v>
      </c>
      <c r="H239" s="717"/>
      <c r="I239" s="24">
        <f t="shared" si="46"/>
        <v>1</v>
      </c>
      <c r="J239" s="717"/>
      <c r="K239" s="24">
        <f t="shared" si="47"/>
        <v>1</v>
      </c>
      <c r="L239" s="717"/>
      <c r="M239" s="24">
        <f t="shared" si="48"/>
        <v>1</v>
      </c>
      <c r="N239" s="717"/>
      <c r="O239" s="24">
        <f t="shared" si="49"/>
        <v>1</v>
      </c>
      <c r="P239" s="717" t="s">
        <v>3463</v>
      </c>
      <c r="Q239" s="24">
        <f t="shared" si="50"/>
        <v>1.04</v>
      </c>
      <c r="R239" s="713">
        <f t="shared" si="51"/>
        <v>36638</v>
      </c>
      <c r="S239" s="361">
        <f t="shared" si="52"/>
        <v>329</v>
      </c>
    </row>
    <row r="240" spans="1:19">
      <c r="A240" s="715" t="str">
        <f>'数据-基础表'!C229</f>
        <v>9-1-1210</v>
      </c>
      <c r="B240" s="715">
        <f>'数据-基础表'!I229</f>
        <v>89.68</v>
      </c>
      <c r="C240" s="24">
        <f t="shared" si="43"/>
        <v>1</v>
      </c>
      <c r="D240" s="717" t="s">
        <v>3384</v>
      </c>
      <c r="E240" s="24">
        <f t="shared" si="44"/>
        <v>1</v>
      </c>
      <c r="F240" s="717"/>
      <c r="G240" s="24">
        <f t="shared" si="45"/>
        <v>1</v>
      </c>
      <c r="H240" s="717"/>
      <c r="I240" s="24">
        <f t="shared" si="46"/>
        <v>1</v>
      </c>
      <c r="J240" s="717"/>
      <c r="K240" s="24">
        <f t="shared" si="47"/>
        <v>1</v>
      </c>
      <c r="L240" s="717"/>
      <c r="M240" s="24">
        <f t="shared" si="48"/>
        <v>1</v>
      </c>
      <c r="N240" s="717"/>
      <c r="O240" s="24">
        <f t="shared" si="49"/>
        <v>1</v>
      </c>
      <c r="P240" s="717" t="s">
        <v>3463</v>
      </c>
      <c r="Q240" s="24">
        <f t="shared" si="50"/>
        <v>1.04</v>
      </c>
      <c r="R240" s="713">
        <f t="shared" si="51"/>
        <v>36638</v>
      </c>
      <c r="S240" s="361">
        <f t="shared" si="52"/>
        <v>329</v>
      </c>
    </row>
    <row r="241" spans="1:19">
      <c r="A241" s="715" t="str">
        <f>'数据-基础表'!C230</f>
        <v>9-1-1211</v>
      </c>
      <c r="B241" s="715">
        <f>'数据-基础表'!I230</f>
        <v>89.68</v>
      </c>
      <c r="C241" s="24">
        <f t="shared" si="43"/>
        <v>1</v>
      </c>
      <c r="D241" s="717" t="s">
        <v>3384</v>
      </c>
      <c r="E241" s="24">
        <f t="shared" si="44"/>
        <v>1</v>
      </c>
      <c r="F241" s="717"/>
      <c r="G241" s="24">
        <f t="shared" si="45"/>
        <v>1</v>
      </c>
      <c r="H241" s="717"/>
      <c r="I241" s="24">
        <f t="shared" si="46"/>
        <v>1</v>
      </c>
      <c r="J241" s="717"/>
      <c r="K241" s="24">
        <f t="shared" si="47"/>
        <v>1</v>
      </c>
      <c r="L241" s="717"/>
      <c r="M241" s="24">
        <f t="shared" si="48"/>
        <v>1</v>
      </c>
      <c r="N241" s="717"/>
      <c r="O241" s="24">
        <f t="shared" si="49"/>
        <v>1</v>
      </c>
      <c r="P241" s="717" t="s">
        <v>3463</v>
      </c>
      <c r="Q241" s="24">
        <f t="shared" si="50"/>
        <v>1.04</v>
      </c>
      <c r="R241" s="713">
        <f t="shared" si="51"/>
        <v>36638</v>
      </c>
      <c r="S241" s="361">
        <f t="shared" si="52"/>
        <v>329</v>
      </c>
    </row>
    <row r="242" spans="1:19">
      <c r="A242" s="715" t="str">
        <f>'数据-基础表'!C231</f>
        <v>9-2-208</v>
      </c>
      <c r="B242" s="715">
        <f>'数据-基础表'!I231</f>
        <v>91.28</v>
      </c>
      <c r="C242" s="24">
        <f t="shared" si="43"/>
        <v>1</v>
      </c>
      <c r="D242" s="717" t="s">
        <v>3384</v>
      </c>
      <c r="E242" s="24">
        <f t="shared" si="44"/>
        <v>1</v>
      </c>
      <c r="F242" s="717"/>
      <c r="G242" s="24">
        <f t="shared" si="45"/>
        <v>1</v>
      </c>
      <c r="H242" s="717"/>
      <c r="I242" s="24">
        <f t="shared" si="46"/>
        <v>1</v>
      </c>
      <c r="J242" s="717"/>
      <c r="K242" s="24">
        <f t="shared" si="47"/>
        <v>1</v>
      </c>
      <c r="L242" s="717"/>
      <c r="M242" s="24">
        <f t="shared" si="48"/>
        <v>1</v>
      </c>
      <c r="N242" s="717"/>
      <c r="O242" s="24">
        <f t="shared" si="49"/>
        <v>1</v>
      </c>
      <c r="P242" s="717" t="s">
        <v>3465</v>
      </c>
      <c r="Q242" s="24">
        <f t="shared" si="50"/>
        <v>1</v>
      </c>
      <c r="R242" s="713">
        <f t="shared" si="51"/>
        <v>35229</v>
      </c>
      <c r="S242" s="361">
        <f t="shared" si="52"/>
        <v>322</v>
      </c>
    </row>
    <row r="243" spans="1:19">
      <c r="A243" s="715" t="str">
        <f>'数据-基础表'!C232</f>
        <v>9-2-209</v>
      </c>
      <c r="B243" s="715">
        <f>'数据-基础表'!I232</f>
        <v>89.68</v>
      </c>
      <c r="C243" s="24">
        <f t="shared" si="43"/>
        <v>1</v>
      </c>
      <c r="D243" s="717" t="s">
        <v>3384</v>
      </c>
      <c r="E243" s="24">
        <f t="shared" si="44"/>
        <v>1</v>
      </c>
      <c r="F243" s="717"/>
      <c r="G243" s="24">
        <f t="shared" si="45"/>
        <v>1</v>
      </c>
      <c r="H243" s="717"/>
      <c r="I243" s="24">
        <f t="shared" si="46"/>
        <v>1</v>
      </c>
      <c r="J243" s="717"/>
      <c r="K243" s="24">
        <f t="shared" si="47"/>
        <v>1</v>
      </c>
      <c r="L243" s="717"/>
      <c r="M243" s="24">
        <f t="shared" si="48"/>
        <v>1</v>
      </c>
      <c r="N243" s="717"/>
      <c r="O243" s="24">
        <f t="shared" si="49"/>
        <v>1</v>
      </c>
      <c r="P243" s="717" t="s">
        <v>3465</v>
      </c>
      <c r="Q243" s="24">
        <f t="shared" si="50"/>
        <v>1</v>
      </c>
      <c r="R243" s="713">
        <f t="shared" si="51"/>
        <v>35229</v>
      </c>
      <c r="S243" s="361">
        <f t="shared" si="52"/>
        <v>316</v>
      </c>
    </row>
    <row r="244" spans="1:19">
      <c r="A244" s="715" t="str">
        <f>'数据-基础表'!C233</f>
        <v>9-2-210</v>
      </c>
      <c r="B244" s="715">
        <f>'数据-基础表'!I233</f>
        <v>89.68</v>
      </c>
      <c r="C244" s="24">
        <f t="shared" si="43"/>
        <v>1</v>
      </c>
      <c r="D244" s="717" t="s">
        <v>3384</v>
      </c>
      <c r="E244" s="24">
        <f t="shared" si="44"/>
        <v>1</v>
      </c>
      <c r="F244" s="717"/>
      <c r="G244" s="24">
        <f t="shared" si="45"/>
        <v>1</v>
      </c>
      <c r="H244" s="717"/>
      <c r="I244" s="24">
        <f t="shared" si="46"/>
        <v>1</v>
      </c>
      <c r="J244" s="717"/>
      <c r="K244" s="24">
        <f t="shared" si="47"/>
        <v>1</v>
      </c>
      <c r="L244" s="717"/>
      <c r="M244" s="24">
        <f t="shared" si="48"/>
        <v>1</v>
      </c>
      <c r="N244" s="717"/>
      <c r="O244" s="24">
        <f t="shared" si="49"/>
        <v>1</v>
      </c>
      <c r="P244" s="717" t="s">
        <v>3465</v>
      </c>
      <c r="Q244" s="24">
        <f t="shared" si="50"/>
        <v>1</v>
      </c>
      <c r="R244" s="713">
        <f t="shared" si="51"/>
        <v>35229</v>
      </c>
      <c r="S244" s="361">
        <f t="shared" si="52"/>
        <v>316</v>
      </c>
    </row>
    <row r="245" spans="1:19">
      <c r="A245" s="715" t="str">
        <f>'数据-基础表'!C234</f>
        <v>9-2-212</v>
      </c>
      <c r="B245" s="715">
        <f>'数据-基础表'!I234</f>
        <v>89.68</v>
      </c>
      <c r="C245" s="24">
        <f t="shared" si="43"/>
        <v>1</v>
      </c>
      <c r="D245" s="717" t="s">
        <v>3384</v>
      </c>
      <c r="E245" s="24">
        <f t="shared" si="44"/>
        <v>1</v>
      </c>
      <c r="F245" s="717"/>
      <c r="G245" s="24">
        <f t="shared" si="45"/>
        <v>1</v>
      </c>
      <c r="H245" s="717"/>
      <c r="I245" s="24">
        <f t="shared" si="46"/>
        <v>1</v>
      </c>
      <c r="J245" s="717"/>
      <c r="K245" s="24">
        <f t="shared" si="47"/>
        <v>1</v>
      </c>
      <c r="L245" s="717"/>
      <c r="M245" s="24">
        <f t="shared" si="48"/>
        <v>1</v>
      </c>
      <c r="N245" s="717"/>
      <c r="O245" s="24">
        <f t="shared" si="49"/>
        <v>1</v>
      </c>
      <c r="P245" s="717" t="s">
        <v>3465</v>
      </c>
      <c r="Q245" s="24">
        <f t="shared" si="50"/>
        <v>1</v>
      </c>
      <c r="R245" s="713">
        <f t="shared" si="51"/>
        <v>35229</v>
      </c>
      <c r="S245" s="361">
        <f t="shared" si="52"/>
        <v>316</v>
      </c>
    </row>
    <row r="246" spans="1:19">
      <c r="A246" s="715" t="str">
        <f>'数据-基础表'!C235</f>
        <v>9-2-213</v>
      </c>
      <c r="B246" s="715">
        <f>'数据-基础表'!I235</f>
        <v>89.68</v>
      </c>
      <c r="C246" s="24">
        <f t="shared" si="43"/>
        <v>1</v>
      </c>
      <c r="D246" s="717" t="s">
        <v>3384</v>
      </c>
      <c r="E246" s="24">
        <f t="shared" si="44"/>
        <v>1</v>
      </c>
      <c r="F246" s="717"/>
      <c r="G246" s="24">
        <f t="shared" si="45"/>
        <v>1</v>
      </c>
      <c r="H246" s="717"/>
      <c r="I246" s="24">
        <f t="shared" si="46"/>
        <v>1</v>
      </c>
      <c r="J246" s="717"/>
      <c r="K246" s="24">
        <f t="shared" si="47"/>
        <v>1</v>
      </c>
      <c r="L246" s="717"/>
      <c r="M246" s="24">
        <f t="shared" si="48"/>
        <v>1</v>
      </c>
      <c r="N246" s="717"/>
      <c r="O246" s="24">
        <f t="shared" si="49"/>
        <v>1</v>
      </c>
      <c r="P246" s="717" t="s">
        <v>3465</v>
      </c>
      <c r="Q246" s="24">
        <f t="shared" si="50"/>
        <v>1</v>
      </c>
      <c r="R246" s="713">
        <f t="shared" si="51"/>
        <v>35229</v>
      </c>
      <c r="S246" s="361">
        <f t="shared" si="52"/>
        <v>316</v>
      </c>
    </row>
    <row r="247" spans="1:19">
      <c r="A247" s="715" t="str">
        <f>'数据-基础表'!C236</f>
        <v>9-2-214</v>
      </c>
      <c r="B247" s="715">
        <f>'数据-基础表'!I236</f>
        <v>89.68</v>
      </c>
      <c r="C247" s="24">
        <f t="shared" si="43"/>
        <v>1</v>
      </c>
      <c r="D247" s="717" t="s">
        <v>3384</v>
      </c>
      <c r="E247" s="24">
        <f t="shared" si="44"/>
        <v>1</v>
      </c>
      <c r="F247" s="717"/>
      <c r="G247" s="24">
        <f t="shared" si="45"/>
        <v>1</v>
      </c>
      <c r="H247" s="717"/>
      <c r="I247" s="24">
        <f t="shared" si="46"/>
        <v>1</v>
      </c>
      <c r="J247" s="717"/>
      <c r="K247" s="24">
        <f t="shared" si="47"/>
        <v>1</v>
      </c>
      <c r="L247" s="717"/>
      <c r="M247" s="24">
        <f t="shared" si="48"/>
        <v>1</v>
      </c>
      <c r="N247" s="717"/>
      <c r="O247" s="24">
        <f t="shared" si="49"/>
        <v>1</v>
      </c>
      <c r="P247" s="717" t="s">
        <v>3465</v>
      </c>
      <c r="Q247" s="24">
        <f t="shared" si="50"/>
        <v>1</v>
      </c>
      <c r="R247" s="713">
        <f t="shared" si="51"/>
        <v>35229</v>
      </c>
      <c r="S247" s="361">
        <f t="shared" si="52"/>
        <v>316</v>
      </c>
    </row>
    <row r="248" spans="1:19">
      <c r="A248" s="715" t="str">
        <f>'数据-基础表'!C237</f>
        <v>9-2-215</v>
      </c>
      <c r="B248" s="715">
        <f>'数据-基础表'!I237</f>
        <v>90.6</v>
      </c>
      <c r="C248" s="24">
        <f t="shared" si="43"/>
        <v>1</v>
      </c>
      <c r="D248" s="717" t="s">
        <v>3384</v>
      </c>
      <c r="E248" s="24">
        <f t="shared" si="44"/>
        <v>1</v>
      </c>
      <c r="F248" s="717"/>
      <c r="G248" s="24">
        <f t="shared" si="45"/>
        <v>1</v>
      </c>
      <c r="H248" s="717"/>
      <c r="I248" s="24">
        <f t="shared" si="46"/>
        <v>1</v>
      </c>
      <c r="J248" s="717"/>
      <c r="K248" s="24">
        <f t="shared" si="47"/>
        <v>1</v>
      </c>
      <c r="L248" s="717"/>
      <c r="M248" s="24">
        <f t="shared" si="48"/>
        <v>1</v>
      </c>
      <c r="N248" s="717"/>
      <c r="O248" s="24">
        <f t="shared" si="49"/>
        <v>1</v>
      </c>
      <c r="P248" s="717" t="s">
        <v>3465</v>
      </c>
      <c r="Q248" s="24">
        <f t="shared" si="50"/>
        <v>1</v>
      </c>
      <c r="R248" s="713">
        <f t="shared" si="51"/>
        <v>35229</v>
      </c>
      <c r="S248" s="361">
        <f t="shared" si="52"/>
        <v>319</v>
      </c>
    </row>
    <row r="249" spans="1:19">
      <c r="A249" s="715" t="str">
        <f>'数据-基础表'!C238</f>
        <v>9-2-610</v>
      </c>
      <c r="B249" s="715">
        <f>'数据-基础表'!I238</f>
        <v>89.68</v>
      </c>
      <c r="C249" s="24">
        <f t="shared" si="43"/>
        <v>1</v>
      </c>
      <c r="D249" s="717" t="s">
        <v>3384</v>
      </c>
      <c r="E249" s="24">
        <f t="shared" si="44"/>
        <v>1</v>
      </c>
      <c r="F249" s="717"/>
      <c r="G249" s="24">
        <f t="shared" si="45"/>
        <v>1</v>
      </c>
      <c r="H249" s="717"/>
      <c r="I249" s="24">
        <f t="shared" si="46"/>
        <v>1</v>
      </c>
      <c r="J249" s="717"/>
      <c r="K249" s="24">
        <f t="shared" si="47"/>
        <v>1</v>
      </c>
      <c r="L249" s="717"/>
      <c r="M249" s="24">
        <f t="shared" si="48"/>
        <v>1</v>
      </c>
      <c r="N249" s="717"/>
      <c r="O249" s="24">
        <f t="shared" si="49"/>
        <v>1</v>
      </c>
      <c r="P249" s="717" t="s">
        <v>3464</v>
      </c>
      <c r="Q249" s="24">
        <f t="shared" si="50"/>
        <v>1.02</v>
      </c>
      <c r="R249" s="713">
        <f t="shared" si="51"/>
        <v>35934</v>
      </c>
      <c r="S249" s="361">
        <f t="shared" si="52"/>
        <v>322</v>
      </c>
    </row>
    <row r="250" spans="1:19">
      <c r="A250" s="715" t="str">
        <f>'数据-基础表'!C239</f>
        <v>9-2-714</v>
      </c>
      <c r="B250" s="715">
        <f>'数据-基础表'!I239</f>
        <v>89.68</v>
      </c>
      <c r="C250" s="24">
        <f t="shared" si="43"/>
        <v>1</v>
      </c>
      <c r="D250" s="717" t="s">
        <v>3384</v>
      </c>
      <c r="E250" s="24">
        <f t="shared" si="44"/>
        <v>1</v>
      </c>
      <c r="F250" s="717"/>
      <c r="G250" s="24">
        <f t="shared" si="45"/>
        <v>1</v>
      </c>
      <c r="H250" s="717"/>
      <c r="I250" s="24">
        <f t="shared" si="46"/>
        <v>1</v>
      </c>
      <c r="J250" s="717"/>
      <c r="K250" s="24">
        <f t="shared" si="47"/>
        <v>1</v>
      </c>
      <c r="L250" s="717"/>
      <c r="M250" s="24">
        <f t="shared" si="48"/>
        <v>1</v>
      </c>
      <c r="N250" s="717"/>
      <c r="O250" s="24">
        <f t="shared" si="49"/>
        <v>1</v>
      </c>
      <c r="P250" s="717" t="s">
        <v>3464</v>
      </c>
      <c r="Q250" s="24">
        <f t="shared" si="50"/>
        <v>1.02</v>
      </c>
      <c r="R250" s="713">
        <f t="shared" si="51"/>
        <v>35934</v>
      </c>
      <c r="S250" s="361">
        <f t="shared" si="52"/>
        <v>322</v>
      </c>
    </row>
    <row r="251" spans="1:19">
      <c r="A251" s="715" t="str">
        <f>'数据-基础表'!C240</f>
        <v>5-1-207</v>
      </c>
      <c r="B251" s="715">
        <f>'数据-基础表'!I240</f>
        <v>91.1</v>
      </c>
      <c r="C251" s="24">
        <f t="shared" si="43"/>
        <v>1</v>
      </c>
      <c r="D251" s="717" t="s">
        <v>3384</v>
      </c>
      <c r="E251" s="24">
        <f t="shared" si="44"/>
        <v>1</v>
      </c>
      <c r="F251" s="717"/>
      <c r="G251" s="24">
        <f t="shared" si="45"/>
        <v>1</v>
      </c>
      <c r="H251" s="717"/>
      <c r="I251" s="24">
        <f t="shared" si="46"/>
        <v>1</v>
      </c>
      <c r="J251" s="717"/>
      <c r="K251" s="24">
        <f t="shared" si="47"/>
        <v>1</v>
      </c>
      <c r="L251" s="717"/>
      <c r="M251" s="24">
        <f t="shared" si="48"/>
        <v>1</v>
      </c>
      <c r="N251" s="717"/>
      <c r="O251" s="24">
        <f t="shared" si="49"/>
        <v>1</v>
      </c>
      <c r="P251" s="717" t="s">
        <v>3465</v>
      </c>
      <c r="Q251" s="24">
        <f t="shared" si="50"/>
        <v>1</v>
      </c>
      <c r="R251" s="713">
        <f t="shared" si="51"/>
        <v>35229</v>
      </c>
      <c r="S251" s="361">
        <f t="shared" si="52"/>
        <v>321</v>
      </c>
    </row>
    <row r="252" spans="1:19">
      <c r="A252" s="715" t="str">
        <f>'数据-基础表'!C241</f>
        <v>5-1-208</v>
      </c>
      <c r="B252" s="715">
        <f>'数据-基础表'!I241</f>
        <v>93.17</v>
      </c>
      <c r="C252" s="24">
        <f t="shared" si="43"/>
        <v>1</v>
      </c>
      <c r="D252" s="717" t="s">
        <v>3384</v>
      </c>
      <c r="E252" s="24">
        <f t="shared" si="44"/>
        <v>1</v>
      </c>
      <c r="F252" s="717"/>
      <c r="G252" s="24">
        <f t="shared" si="45"/>
        <v>1</v>
      </c>
      <c r="H252" s="717"/>
      <c r="I252" s="24">
        <f t="shared" si="46"/>
        <v>1</v>
      </c>
      <c r="J252" s="717"/>
      <c r="K252" s="24">
        <f t="shared" si="47"/>
        <v>1</v>
      </c>
      <c r="L252" s="717"/>
      <c r="M252" s="24">
        <f t="shared" si="48"/>
        <v>1</v>
      </c>
      <c r="N252" s="717"/>
      <c r="O252" s="24">
        <f t="shared" si="49"/>
        <v>1</v>
      </c>
      <c r="P252" s="717" t="s">
        <v>3465</v>
      </c>
      <c r="Q252" s="24">
        <f t="shared" si="50"/>
        <v>1</v>
      </c>
      <c r="R252" s="713">
        <f t="shared" si="51"/>
        <v>35229</v>
      </c>
      <c r="S252" s="361">
        <f t="shared" si="52"/>
        <v>328</v>
      </c>
    </row>
    <row r="253" spans="1:19">
      <c r="A253" s="715" t="str">
        <f>'数据-基础表'!C242</f>
        <v>5-1-210</v>
      </c>
      <c r="B253" s="715">
        <f>'数据-基础表'!I242</f>
        <v>91.79</v>
      </c>
      <c r="C253" s="24">
        <f t="shared" si="43"/>
        <v>1</v>
      </c>
      <c r="D253" s="717" t="s">
        <v>3384</v>
      </c>
      <c r="E253" s="24">
        <f t="shared" si="44"/>
        <v>1</v>
      </c>
      <c r="F253" s="717"/>
      <c r="G253" s="24">
        <f t="shared" si="45"/>
        <v>1</v>
      </c>
      <c r="H253" s="717"/>
      <c r="I253" s="24">
        <f t="shared" si="46"/>
        <v>1</v>
      </c>
      <c r="J253" s="717"/>
      <c r="K253" s="24">
        <f t="shared" si="47"/>
        <v>1</v>
      </c>
      <c r="L253" s="717"/>
      <c r="M253" s="24">
        <f t="shared" si="48"/>
        <v>1</v>
      </c>
      <c r="N253" s="717"/>
      <c r="O253" s="24">
        <f t="shared" si="49"/>
        <v>1</v>
      </c>
      <c r="P253" s="717" t="s">
        <v>3465</v>
      </c>
      <c r="Q253" s="24">
        <f t="shared" si="50"/>
        <v>1</v>
      </c>
      <c r="R253" s="713">
        <f t="shared" si="51"/>
        <v>35229</v>
      </c>
      <c r="S253" s="361">
        <f t="shared" si="52"/>
        <v>323</v>
      </c>
    </row>
    <row r="254" spans="1:19">
      <c r="A254" s="715" t="str">
        <f>'数据-基础表'!C243</f>
        <v>5-1-211</v>
      </c>
      <c r="B254" s="715">
        <f>'数据-基础表'!I243</f>
        <v>91.79</v>
      </c>
      <c r="C254" s="24">
        <f t="shared" si="43"/>
        <v>1</v>
      </c>
      <c r="D254" s="717" t="s">
        <v>3384</v>
      </c>
      <c r="E254" s="24">
        <f t="shared" si="44"/>
        <v>1</v>
      </c>
      <c r="F254" s="717"/>
      <c r="G254" s="24">
        <f t="shared" si="45"/>
        <v>1</v>
      </c>
      <c r="H254" s="717"/>
      <c r="I254" s="24">
        <f t="shared" si="46"/>
        <v>1</v>
      </c>
      <c r="J254" s="717"/>
      <c r="K254" s="24">
        <f t="shared" si="47"/>
        <v>1</v>
      </c>
      <c r="L254" s="717"/>
      <c r="M254" s="24">
        <f t="shared" si="48"/>
        <v>1</v>
      </c>
      <c r="N254" s="717"/>
      <c r="O254" s="24">
        <f t="shared" si="49"/>
        <v>1</v>
      </c>
      <c r="P254" s="717" t="s">
        <v>3465</v>
      </c>
      <c r="Q254" s="24">
        <f t="shared" si="50"/>
        <v>1</v>
      </c>
      <c r="R254" s="713">
        <f t="shared" si="51"/>
        <v>35229</v>
      </c>
      <c r="S254" s="361">
        <f t="shared" si="52"/>
        <v>323</v>
      </c>
    </row>
    <row r="255" spans="1:19">
      <c r="A255" s="715" t="str">
        <f>'数据-基础表'!C244</f>
        <v>5-1-212</v>
      </c>
      <c r="B255" s="715">
        <f>'数据-基础表'!I244</f>
        <v>91.79</v>
      </c>
      <c r="C255" s="24">
        <f t="shared" si="43"/>
        <v>1</v>
      </c>
      <c r="D255" s="717" t="s">
        <v>3384</v>
      </c>
      <c r="E255" s="24">
        <f t="shared" si="44"/>
        <v>1</v>
      </c>
      <c r="F255" s="717"/>
      <c r="G255" s="24">
        <f t="shared" si="45"/>
        <v>1</v>
      </c>
      <c r="H255" s="717"/>
      <c r="I255" s="24">
        <f t="shared" si="46"/>
        <v>1</v>
      </c>
      <c r="J255" s="717"/>
      <c r="K255" s="24">
        <f t="shared" si="47"/>
        <v>1</v>
      </c>
      <c r="L255" s="717"/>
      <c r="M255" s="24">
        <f t="shared" si="48"/>
        <v>1</v>
      </c>
      <c r="N255" s="717"/>
      <c r="O255" s="24">
        <f t="shared" si="49"/>
        <v>1</v>
      </c>
      <c r="P255" s="717" t="s">
        <v>3465</v>
      </c>
      <c r="Q255" s="24">
        <f t="shared" si="50"/>
        <v>1</v>
      </c>
      <c r="R255" s="713">
        <f t="shared" si="51"/>
        <v>35229</v>
      </c>
      <c r="S255" s="361">
        <f t="shared" si="52"/>
        <v>323</v>
      </c>
    </row>
    <row r="256" spans="1:19">
      <c r="A256" s="715" t="str">
        <f>'数据-基础表'!C245</f>
        <v>5-1-213</v>
      </c>
      <c r="B256" s="715">
        <f>'数据-基础表'!I245</f>
        <v>91.79</v>
      </c>
      <c r="C256" s="24">
        <f t="shared" si="43"/>
        <v>1</v>
      </c>
      <c r="D256" s="717" t="s">
        <v>3384</v>
      </c>
      <c r="E256" s="24">
        <f t="shared" si="44"/>
        <v>1</v>
      </c>
      <c r="F256" s="717"/>
      <c r="G256" s="24">
        <f t="shared" si="45"/>
        <v>1</v>
      </c>
      <c r="H256" s="717"/>
      <c r="I256" s="24">
        <f t="shared" si="46"/>
        <v>1</v>
      </c>
      <c r="J256" s="717"/>
      <c r="K256" s="24">
        <f t="shared" si="47"/>
        <v>1</v>
      </c>
      <c r="L256" s="717"/>
      <c r="M256" s="24">
        <f t="shared" si="48"/>
        <v>1</v>
      </c>
      <c r="N256" s="717"/>
      <c r="O256" s="24">
        <f t="shared" si="49"/>
        <v>1</v>
      </c>
      <c r="P256" s="717" t="s">
        <v>3465</v>
      </c>
      <c r="Q256" s="24">
        <f t="shared" si="50"/>
        <v>1</v>
      </c>
      <c r="R256" s="713">
        <f t="shared" si="51"/>
        <v>35229</v>
      </c>
      <c r="S256" s="361">
        <f t="shared" si="52"/>
        <v>323</v>
      </c>
    </row>
    <row r="257" spans="1:19">
      <c r="A257" s="715" t="str">
        <f>'数据-基础表'!C246</f>
        <v>5-1-215</v>
      </c>
      <c r="B257" s="715">
        <f>'数据-基础表'!I246</f>
        <v>93.17</v>
      </c>
      <c r="C257" s="24">
        <f t="shared" si="43"/>
        <v>1</v>
      </c>
      <c r="D257" s="717" t="s">
        <v>3384</v>
      </c>
      <c r="E257" s="24">
        <f t="shared" si="44"/>
        <v>1</v>
      </c>
      <c r="F257" s="717"/>
      <c r="G257" s="24">
        <f t="shared" si="45"/>
        <v>1</v>
      </c>
      <c r="H257" s="717"/>
      <c r="I257" s="24">
        <f t="shared" si="46"/>
        <v>1</v>
      </c>
      <c r="J257" s="717"/>
      <c r="K257" s="24">
        <f t="shared" si="47"/>
        <v>1</v>
      </c>
      <c r="L257" s="717"/>
      <c r="M257" s="24">
        <f t="shared" si="48"/>
        <v>1</v>
      </c>
      <c r="N257" s="717"/>
      <c r="O257" s="24">
        <f t="shared" si="49"/>
        <v>1</v>
      </c>
      <c r="P257" s="717" t="s">
        <v>3465</v>
      </c>
      <c r="Q257" s="24">
        <f t="shared" si="50"/>
        <v>1</v>
      </c>
      <c r="R257" s="713">
        <f t="shared" si="51"/>
        <v>35229</v>
      </c>
      <c r="S257" s="361">
        <f t="shared" si="52"/>
        <v>328</v>
      </c>
    </row>
    <row r="258" spans="1:19">
      <c r="A258" s="715" t="str">
        <f>'数据-基础表'!C247</f>
        <v>5-1-501</v>
      </c>
      <c r="B258" s="715">
        <f>'数据-基础表'!I247</f>
        <v>91.1</v>
      </c>
      <c r="C258" s="24">
        <f t="shared" si="43"/>
        <v>1</v>
      </c>
      <c r="D258" s="717" t="s">
        <v>3384</v>
      </c>
      <c r="E258" s="24">
        <f t="shared" si="44"/>
        <v>1</v>
      </c>
      <c r="F258" s="717"/>
      <c r="G258" s="24">
        <f t="shared" si="45"/>
        <v>1</v>
      </c>
      <c r="H258" s="717"/>
      <c r="I258" s="24">
        <f t="shared" si="46"/>
        <v>1</v>
      </c>
      <c r="J258" s="717"/>
      <c r="K258" s="24">
        <f t="shared" si="47"/>
        <v>1</v>
      </c>
      <c r="L258" s="717"/>
      <c r="M258" s="24">
        <f t="shared" si="48"/>
        <v>1</v>
      </c>
      <c r="N258" s="717"/>
      <c r="O258" s="24">
        <f t="shared" si="49"/>
        <v>1</v>
      </c>
      <c r="P258" s="717" t="s">
        <v>3464</v>
      </c>
      <c r="Q258" s="24">
        <f t="shared" si="50"/>
        <v>1.02</v>
      </c>
      <c r="R258" s="713">
        <f t="shared" si="51"/>
        <v>35934</v>
      </c>
      <c r="S258" s="361">
        <f t="shared" si="52"/>
        <v>327</v>
      </c>
    </row>
    <row r="259" spans="1:19">
      <c r="A259" s="715" t="str">
        <f>'数据-基础表'!C248</f>
        <v>5-1-514</v>
      </c>
      <c r="B259" s="715">
        <f>'数据-基础表'!I248</f>
        <v>91.79</v>
      </c>
      <c r="C259" s="24">
        <f t="shared" si="43"/>
        <v>1</v>
      </c>
      <c r="D259" s="717" t="s">
        <v>3384</v>
      </c>
      <c r="E259" s="24">
        <f t="shared" si="44"/>
        <v>1</v>
      </c>
      <c r="F259" s="717"/>
      <c r="G259" s="24">
        <f t="shared" si="45"/>
        <v>1</v>
      </c>
      <c r="H259" s="717"/>
      <c r="I259" s="24">
        <f t="shared" si="46"/>
        <v>1</v>
      </c>
      <c r="J259" s="717"/>
      <c r="K259" s="24">
        <f t="shared" si="47"/>
        <v>1</v>
      </c>
      <c r="L259" s="717"/>
      <c r="M259" s="24">
        <f t="shared" si="48"/>
        <v>1</v>
      </c>
      <c r="N259" s="717"/>
      <c r="O259" s="24">
        <f t="shared" si="49"/>
        <v>1</v>
      </c>
      <c r="P259" s="717" t="s">
        <v>3464</v>
      </c>
      <c r="Q259" s="24">
        <f t="shared" si="50"/>
        <v>1.02</v>
      </c>
      <c r="R259" s="713">
        <f t="shared" si="51"/>
        <v>35934</v>
      </c>
      <c r="S259" s="361">
        <f t="shared" si="52"/>
        <v>330</v>
      </c>
    </row>
    <row r="260" spans="1:19">
      <c r="A260" s="715" t="str">
        <f>'数据-基础表'!C249</f>
        <v>11-1-203</v>
      </c>
      <c r="B260" s="715">
        <f>'数据-基础表'!I249</f>
        <v>91.79</v>
      </c>
      <c r="C260" s="24">
        <f t="shared" si="43"/>
        <v>1</v>
      </c>
      <c r="D260" s="717" t="s">
        <v>3384</v>
      </c>
      <c r="E260" s="24">
        <f t="shared" si="44"/>
        <v>1</v>
      </c>
      <c r="F260" s="717"/>
      <c r="G260" s="24">
        <f t="shared" si="45"/>
        <v>1</v>
      </c>
      <c r="H260" s="717"/>
      <c r="I260" s="24">
        <f t="shared" si="46"/>
        <v>1</v>
      </c>
      <c r="J260" s="717"/>
      <c r="K260" s="24">
        <f t="shared" si="47"/>
        <v>1</v>
      </c>
      <c r="L260" s="717"/>
      <c r="M260" s="24">
        <f t="shared" si="48"/>
        <v>1</v>
      </c>
      <c r="N260" s="717"/>
      <c r="O260" s="24">
        <f t="shared" si="49"/>
        <v>1</v>
      </c>
      <c r="P260" s="717" t="s">
        <v>3465</v>
      </c>
      <c r="Q260" s="24">
        <f t="shared" si="50"/>
        <v>1</v>
      </c>
      <c r="R260" s="713">
        <f t="shared" si="51"/>
        <v>35229</v>
      </c>
      <c r="S260" s="361">
        <f t="shared" si="52"/>
        <v>323</v>
      </c>
    </row>
    <row r="261" spans="1:19">
      <c r="A261" s="715" t="str">
        <f>'数据-基础表'!C250</f>
        <v>11-1-204</v>
      </c>
      <c r="B261" s="715">
        <f>'数据-基础表'!I250</f>
        <v>91.79</v>
      </c>
      <c r="C261" s="24">
        <f t="shared" si="43"/>
        <v>1</v>
      </c>
      <c r="D261" s="717" t="s">
        <v>3384</v>
      </c>
      <c r="E261" s="24">
        <f t="shared" si="44"/>
        <v>1</v>
      </c>
      <c r="F261" s="717"/>
      <c r="G261" s="24">
        <f t="shared" si="45"/>
        <v>1</v>
      </c>
      <c r="H261" s="717"/>
      <c r="I261" s="24">
        <f t="shared" si="46"/>
        <v>1</v>
      </c>
      <c r="J261" s="717"/>
      <c r="K261" s="24">
        <f t="shared" si="47"/>
        <v>1</v>
      </c>
      <c r="L261" s="717"/>
      <c r="M261" s="24">
        <f t="shared" si="48"/>
        <v>1</v>
      </c>
      <c r="N261" s="717"/>
      <c r="O261" s="24">
        <f t="shared" si="49"/>
        <v>1</v>
      </c>
      <c r="P261" s="717" t="s">
        <v>3465</v>
      </c>
      <c r="Q261" s="24">
        <f t="shared" si="50"/>
        <v>1</v>
      </c>
      <c r="R261" s="713">
        <f t="shared" si="51"/>
        <v>35229</v>
      </c>
      <c r="S261" s="361">
        <f t="shared" si="52"/>
        <v>323</v>
      </c>
    </row>
    <row r="262" spans="1:19">
      <c r="A262" s="715" t="str">
        <f>'数据-基础表'!C251</f>
        <v>11-1-205</v>
      </c>
      <c r="B262" s="715">
        <f>'数据-基础表'!I251</f>
        <v>91.79</v>
      </c>
      <c r="C262" s="24">
        <f t="shared" si="43"/>
        <v>1</v>
      </c>
      <c r="D262" s="717" t="s">
        <v>3384</v>
      </c>
      <c r="E262" s="24">
        <f t="shared" si="44"/>
        <v>1</v>
      </c>
      <c r="F262" s="717"/>
      <c r="G262" s="24">
        <f t="shared" si="45"/>
        <v>1</v>
      </c>
      <c r="H262" s="717"/>
      <c r="I262" s="24">
        <f t="shared" si="46"/>
        <v>1</v>
      </c>
      <c r="J262" s="717"/>
      <c r="K262" s="24">
        <f t="shared" si="47"/>
        <v>1</v>
      </c>
      <c r="L262" s="717"/>
      <c r="M262" s="24">
        <f t="shared" si="48"/>
        <v>1</v>
      </c>
      <c r="N262" s="717"/>
      <c r="O262" s="24">
        <f t="shared" si="49"/>
        <v>1</v>
      </c>
      <c r="P262" s="717" t="s">
        <v>3465</v>
      </c>
      <c r="Q262" s="24">
        <f t="shared" si="50"/>
        <v>1</v>
      </c>
      <c r="R262" s="713">
        <f t="shared" si="51"/>
        <v>35229</v>
      </c>
      <c r="S262" s="361">
        <f t="shared" si="52"/>
        <v>323</v>
      </c>
    </row>
    <row r="263" spans="1:19">
      <c r="A263" s="715" t="str">
        <f>'数据-基础表'!C252</f>
        <v>17-1-203</v>
      </c>
      <c r="B263" s="715">
        <f>'数据-基础表'!I252</f>
        <v>91.79</v>
      </c>
      <c r="C263" s="24">
        <f t="shared" si="43"/>
        <v>1</v>
      </c>
      <c r="D263" s="717" t="s">
        <v>3384</v>
      </c>
      <c r="E263" s="24">
        <f t="shared" si="44"/>
        <v>1</v>
      </c>
      <c r="F263" s="717"/>
      <c r="G263" s="24">
        <f t="shared" si="45"/>
        <v>1</v>
      </c>
      <c r="H263" s="717"/>
      <c r="I263" s="24">
        <f t="shared" si="46"/>
        <v>1</v>
      </c>
      <c r="J263" s="717"/>
      <c r="K263" s="24">
        <f t="shared" si="47"/>
        <v>1</v>
      </c>
      <c r="L263" s="717"/>
      <c r="M263" s="24">
        <f t="shared" si="48"/>
        <v>1</v>
      </c>
      <c r="N263" s="717"/>
      <c r="O263" s="24">
        <f t="shared" si="49"/>
        <v>1</v>
      </c>
      <c r="P263" s="717" t="s">
        <v>3465</v>
      </c>
      <c r="Q263" s="24">
        <f t="shared" si="50"/>
        <v>1</v>
      </c>
      <c r="R263" s="713">
        <f t="shared" si="51"/>
        <v>35229</v>
      </c>
      <c r="S263" s="361">
        <f t="shared" si="52"/>
        <v>323</v>
      </c>
    </row>
    <row r="264" spans="1:19">
      <c r="A264" s="715" t="str">
        <f>'数据-基础表'!C253</f>
        <v>17-1-204</v>
      </c>
      <c r="B264" s="715">
        <f>'数据-基础表'!I253</f>
        <v>91.79</v>
      </c>
      <c r="C264" s="24">
        <f t="shared" si="43"/>
        <v>1</v>
      </c>
      <c r="D264" s="717" t="s">
        <v>3384</v>
      </c>
      <c r="E264" s="24">
        <f t="shared" si="44"/>
        <v>1</v>
      </c>
      <c r="F264" s="717"/>
      <c r="G264" s="24">
        <f t="shared" si="45"/>
        <v>1</v>
      </c>
      <c r="H264" s="717"/>
      <c r="I264" s="24">
        <f t="shared" si="46"/>
        <v>1</v>
      </c>
      <c r="J264" s="717"/>
      <c r="K264" s="24">
        <f t="shared" si="47"/>
        <v>1</v>
      </c>
      <c r="L264" s="717"/>
      <c r="M264" s="24">
        <f t="shared" si="48"/>
        <v>1</v>
      </c>
      <c r="N264" s="717"/>
      <c r="O264" s="24">
        <f t="shared" si="49"/>
        <v>1</v>
      </c>
      <c r="P264" s="717" t="s">
        <v>3465</v>
      </c>
      <c r="Q264" s="24">
        <f t="shared" si="50"/>
        <v>1</v>
      </c>
      <c r="R264" s="713">
        <f t="shared" si="51"/>
        <v>35229</v>
      </c>
      <c r="S264" s="361">
        <f t="shared" si="52"/>
        <v>323</v>
      </c>
    </row>
    <row r="265" spans="1:19">
      <c r="A265" s="715" t="str">
        <f>'数据-基础表'!C254</f>
        <v>17-1-205</v>
      </c>
      <c r="B265" s="715">
        <f>'数据-基础表'!I254</f>
        <v>91.79</v>
      </c>
      <c r="C265" s="24">
        <f t="shared" si="43"/>
        <v>1</v>
      </c>
      <c r="D265" s="717" t="s">
        <v>3384</v>
      </c>
      <c r="E265" s="24">
        <f t="shared" si="44"/>
        <v>1</v>
      </c>
      <c r="F265" s="717"/>
      <c r="G265" s="24">
        <f t="shared" si="45"/>
        <v>1</v>
      </c>
      <c r="H265" s="717"/>
      <c r="I265" s="24">
        <f t="shared" si="46"/>
        <v>1</v>
      </c>
      <c r="J265" s="717"/>
      <c r="K265" s="24">
        <f t="shared" si="47"/>
        <v>1</v>
      </c>
      <c r="L265" s="717"/>
      <c r="M265" s="24">
        <f t="shared" si="48"/>
        <v>1</v>
      </c>
      <c r="N265" s="717"/>
      <c r="O265" s="24">
        <f t="shared" si="49"/>
        <v>1</v>
      </c>
      <c r="P265" s="717" t="s">
        <v>3465</v>
      </c>
      <c r="Q265" s="24">
        <f t="shared" si="50"/>
        <v>1</v>
      </c>
      <c r="R265" s="713">
        <f t="shared" si="51"/>
        <v>35229</v>
      </c>
      <c r="S265" s="361">
        <f t="shared" si="52"/>
        <v>323</v>
      </c>
    </row>
    <row r="266" spans="1:19">
      <c r="A266" s="715" t="str">
        <f>'数据-基础表'!C255</f>
        <v>5-1-202</v>
      </c>
      <c r="B266" s="715">
        <f>'数据-基础表'!I255</f>
        <v>91.79</v>
      </c>
      <c r="C266" s="24">
        <f t="shared" si="43"/>
        <v>1</v>
      </c>
      <c r="D266" s="717" t="s">
        <v>3384</v>
      </c>
      <c r="E266" s="24">
        <f t="shared" si="44"/>
        <v>1</v>
      </c>
      <c r="F266" s="717"/>
      <c r="G266" s="24">
        <f t="shared" si="45"/>
        <v>1</v>
      </c>
      <c r="H266" s="717"/>
      <c r="I266" s="24">
        <f t="shared" si="46"/>
        <v>1</v>
      </c>
      <c r="J266" s="717"/>
      <c r="K266" s="24">
        <f t="shared" si="47"/>
        <v>1</v>
      </c>
      <c r="L266" s="717"/>
      <c r="M266" s="24">
        <f t="shared" si="48"/>
        <v>1</v>
      </c>
      <c r="N266" s="717"/>
      <c r="O266" s="24">
        <f t="shared" si="49"/>
        <v>1</v>
      </c>
      <c r="P266" s="717" t="s">
        <v>3465</v>
      </c>
      <c r="Q266" s="24">
        <f t="shared" si="50"/>
        <v>1</v>
      </c>
      <c r="R266" s="713">
        <f t="shared" si="51"/>
        <v>35229</v>
      </c>
      <c r="S266" s="361">
        <f t="shared" si="52"/>
        <v>323</v>
      </c>
    </row>
    <row r="267" spans="1:19">
      <c r="A267" s="715" t="str">
        <f>'数据-基础表'!C256</f>
        <v>5-1-203</v>
      </c>
      <c r="B267" s="715">
        <f>'数据-基础表'!I256</f>
        <v>65.22</v>
      </c>
      <c r="C267" s="24">
        <f t="shared" si="43"/>
        <v>1</v>
      </c>
      <c r="D267" s="717" t="s">
        <v>3384</v>
      </c>
      <c r="E267" s="24">
        <f t="shared" si="44"/>
        <v>1</v>
      </c>
      <c r="F267" s="717"/>
      <c r="G267" s="24">
        <f t="shared" si="45"/>
        <v>1</v>
      </c>
      <c r="H267" s="717"/>
      <c r="I267" s="24">
        <f t="shared" si="46"/>
        <v>1</v>
      </c>
      <c r="J267" s="717"/>
      <c r="K267" s="24">
        <f t="shared" si="47"/>
        <v>1</v>
      </c>
      <c r="L267" s="717"/>
      <c r="M267" s="24">
        <f t="shared" si="48"/>
        <v>1</v>
      </c>
      <c r="N267" s="717"/>
      <c r="O267" s="24">
        <f t="shared" si="49"/>
        <v>1</v>
      </c>
      <c r="P267" s="717" t="s">
        <v>3465</v>
      </c>
      <c r="Q267" s="24">
        <f t="shared" si="50"/>
        <v>1</v>
      </c>
      <c r="R267" s="713">
        <f t="shared" si="51"/>
        <v>35229</v>
      </c>
      <c r="S267" s="361">
        <f t="shared" si="52"/>
        <v>230</v>
      </c>
    </row>
    <row r="268" spans="1:19">
      <c r="A268" s="715" t="str">
        <f>'数据-基础表'!C257</f>
        <v>5-1-206</v>
      </c>
      <c r="B268" s="715">
        <f>'数据-基础表'!I257</f>
        <v>91.79</v>
      </c>
      <c r="C268" s="24">
        <f t="shared" si="43"/>
        <v>1</v>
      </c>
      <c r="D268" s="717" t="s">
        <v>3384</v>
      </c>
      <c r="E268" s="24">
        <f t="shared" si="44"/>
        <v>1</v>
      </c>
      <c r="F268" s="717"/>
      <c r="G268" s="24">
        <f t="shared" si="45"/>
        <v>1</v>
      </c>
      <c r="H268" s="717"/>
      <c r="I268" s="24">
        <f t="shared" si="46"/>
        <v>1</v>
      </c>
      <c r="J268" s="717"/>
      <c r="K268" s="24">
        <f t="shared" si="47"/>
        <v>1</v>
      </c>
      <c r="L268" s="717"/>
      <c r="M268" s="24">
        <f t="shared" si="48"/>
        <v>1</v>
      </c>
      <c r="N268" s="717"/>
      <c r="O268" s="24">
        <f t="shared" si="49"/>
        <v>1</v>
      </c>
      <c r="P268" s="717" t="s">
        <v>3465</v>
      </c>
      <c r="Q268" s="24">
        <f t="shared" si="50"/>
        <v>1</v>
      </c>
      <c r="R268" s="713">
        <f t="shared" si="51"/>
        <v>35229</v>
      </c>
      <c r="S268" s="361">
        <f t="shared" si="52"/>
        <v>323</v>
      </c>
    </row>
    <row r="269" spans="1:19">
      <c r="A269" s="715"/>
      <c r="B269" s="59"/>
      <c r="C269" s="24">
        <f t="shared" si="43"/>
        <v>1</v>
      </c>
      <c r="D269" s="717"/>
      <c r="E269" s="24">
        <f t="shared" si="44"/>
        <v>0</v>
      </c>
      <c r="F269" s="717"/>
      <c r="G269" s="24">
        <f t="shared" si="45"/>
        <v>1</v>
      </c>
      <c r="H269" s="717"/>
      <c r="I269" s="24">
        <f t="shared" si="46"/>
        <v>1</v>
      </c>
      <c r="J269" s="717"/>
      <c r="K269" s="24">
        <f t="shared" si="47"/>
        <v>1</v>
      </c>
      <c r="L269" s="717"/>
      <c r="M269" s="24">
        <f t="shared" si="48"/>
        <v>1</v>
      </c>
      <c r="N269" s="717"/>
      <c r="O269" s="24">
        <f t="shared" si="49"/>
        <v>1</v>
      </c>
      <c r="P269" s="717"/>
      <c r="Q269" s="24">
        <f t="shared" si="50"/>
        <v>0.04</v>
      </c>
      <c r="R269" s="713">
        <f t="shared" si="51"/>
        <v>0</v>
      </c>
      <c r="S269" s="361">
        <f t="shared" si="52"/>
        <v>0</v>
      </c>
    </row>
    <row r="270" spans="1:19">
      <c r="A270" s="715"/>
      <c r="B270" s="59"/>
      <c r="C270" s="24">
        <f t="shared" si="43"/>
        <v>1</v>
      </c>
      <c r="D270" s="717"/>
      <c r="E270" s="24">
        <f t="shared" si="44"/>
        <v>0</v>
      </c>
      <c r="F270" s="717"/>
      <c r="G270" s="24">
        <f t="shared" si="45"/>
        <v>1</v>
      </c>
      <c r="H270" s="717"/>
      <c r="I270" s="24">
        <f t="shared" si="46"/>
        <v>1</v>
      </c>
      <c r="J270" s="717"/>
      <c r="K270" s="24">
        <f t="shared" si="47"/>
        <v>1</v>
      </c>
      <c r="L270" s="717"/>
      <c r="M270" s="24">
        <f t="shared" si="48"/>
        <v>1</v>
      </c>
      <c r="N270" s="717"/>
      <c r="O270" s="24">
        <f t="shared" si="49"/>
        <v>1</v>
      </c>
      <c r="P270" s="717"/>
      <c r="Q270" s="24">
        <f t="shared" si="50"/>
        <v>0.04</v>
      </c>
      <c r="R270" s="713">
        <f t="shared" si="51"/>
        <v>0</v>
      </c>
      <c r="S270" s="361">
        <f t="shared" si="52"/>
        <v>0</v>
      </c>
    </row>
    <row r="271" spans="1:19">
      <c r="A271" s="715"/>
      <c r="B271" s="59"/>
      <c r="C271" s="24">
        <f t="shared" si="43"/>
        <v>1</v>
      </c>
      <c r="D271" s="717"/>
      <c r="E271" s="24">
        <f t="shared" si="44"/>
        <v>0</v>
      </c>
      <c r="F271" s="717"/>
      <c r="G271" s="24">
        <f t="shared" si="45"/>
        <v>1</v>
      </c>
      <c r="H271" s="717"/>
      <c r="I271" s="24">
        <f t="shared" si="46"/>
        <v>1</v>
      </c>
      <c r="J271" s="717"/>
      <c r="K271" s="24">
        <f t="shared" si="47"/>
        <v>1</v>
      </c>
      <c r="L271" s="717"/>
      <c r="M271" s="24">
        <f t="shared" si="48"/>
        <v>1</v>
      </c>
      <c r="N271" s="717"/>
      <c r="O271" s="24">
        <f t="shared" si="49"/>
        <v>1</v>
      </c>
      <c r="P271" s="717"/>
      <c r="Q271" s="24">
        <f t="shared" si="50"/>
        <v>0.04</v>
      </c>
      <c r="R271" s="713">
        <f t="shared" si="51"/>
        <v>0</v>
      </c>
      <c r="S271" s="361">
        <f t="shared" si="52"/>
        <v>0</v>
      </c>
    </row>
    <row r="272" spans="1:19">
      <c r="A272" s="715"/>
      <c r="B272" s="59"/>
      <c r="C272" s="24">
        <f t="shared" si="43"/>
        <v>1</v>
      </c>
      <c r="D272" s="717"/>
      <c r="E272" s="24">
        <f t="shared" si="44"/>
        <v>0</v>
      </c>
      <c r="F272" s="717"/>
      <c r="G272" s="24">
        <f t="shared" si="45"/>
        <v>1</v>
      </c>
      <c r="H272" s="717"/>
      <c r="I272" s="24">
        <f t="shared" si="46"/>
        <v>1</v>
      </c>
      <c r="J272" s="717"/>
      <c r="K272" s="24">
        <f t="shared" si="47"/>
        <v>1</v>
      </c>
      <c r="L272" s="717"/>
      <c r="M272" s="24">
        <f t="shared" si="48"/>
        <v>1</v>
      </c>
      <c r="N272" s="717"/>
      <c r="O272" s="24">
        <f t="shared" si="49"/>
        <v>1</v>
      </c>
      <c r="P272" s="717"/>
      <c r="Q272" s="24">
        <f t="shared" si="50"/>
        <v>0.04</v>
      </c>
      <c r="R272" s="713">
        <f t="shared" si="51"/>
        <v>0</v>
      </c>
      <c r="S272" s="361">
        <f t="shared" si="52"/>
        <v>0</v>
      </c>
    </row>
    <row r="273" spans="1:19">
      <c r="A273" s="715"/>
      <c r="B273" s="59"/>
      <c r="C273" s="24">
        <f t="shared" si="43"/>
        <v>1</v>
      </c>
      <c r="D273" s="717"/>
      <c r="E273" s="24">
        <f t="shared" si="44"/>
        <v>0</v>
      </c>
      <c r="F273" s="717"/>
      <c r="G273" s="24">
        <f t="shared" si="45"/>
        <v>1</v>
      </c>
      <c r="H273" s="717"/>
      <c r="I273" s="24">
        <f t="shared" si="46"/>
        <v>1</v>
      </c>
      <c r="J273" s="717"/>
      <c r="K273" s="24">
        <f t="shared" si="47"/>
        <v>1</v>
      </c>
      <c r="L273" s="717"/>
      <c r="M273" s="24">
        <f t="shared" si="48"/>
        <v>1</v>
      </c>
      <c r="N273" s="717"/>
      <c r="O273" s="24">
        <f t="shared" si="49"/>
        <v>1</v>
      </c>
      <c r="P273" s="717"/>
      <c r="Q273" s="24">
        <f t="shared" si="50"/>
        <v>0.04</v>
      </c>
      <c r="R273" s="713">
        <f t="shared" si="51"/>
        <v>0</v>
      </c>
      <c r="S273" s="361">
        <f t="shared" si="52"/>
        <v>0</v>
      </c>
    </row>
    <row r="274" spans="1:19">
      <c r="A274" s="715"/>
      <c r="B274" s="59"/>
      <c r="C274" s="24">
        <f t="shared" si="43"/>
        <v>1</v>
      </c>
      <c r="D274" s="717"/>
      <c r="E274" s="24">
        <f t="shared" si="44"/>
        <v>0</v>
      </c>
      <c r="F274" s="717"/>
      <c r="G274" s="24">
        <f t="shared" si="45"/>
        <v>1</v>
      </c>
      <c r="H274" s="717"/>
      <c r="I274" s="24">
        <f t="shared" si="46"/>
        <v>1</v>
      </c>
      <c r="J274" s="717"/>
      <c r="K274" s="24">
        <f t="shared" si="47"/>
        <v>1</v>
      </c>
      <c r="L274" s="717"/>
      <c r="M274" s="24">
        <f t="shared" si="48"/>
        <v>1</v>
      </c>
      <c r="N274" s="717"/>
      <c r="O274" s="24">
        <f t="shared" si="49"/>
        <v>1</v>
      </c>
      <c r="P274" s="717"/>
      <c r="Q274" s="24">
        <f t="shared" si="50"/>
        <v>0.04</v>
      </c>
      <c r="R274" s="713">
        <f t="shared" si="51"/>
        <v>0</v>
      </c>
      <c r="S274" s="361">
        <f t="shared" si="52"/>
        <v>0</v>
      </c>
    </row>
    <row r="275" spans="1:19">
      <c r="A275" s="715"/>
      <c r="B275" s="59"/>
      <c r="C275" s="24">
        <f t="shared" si="43"/>
        <v>1</v>
      </c>
      <c r="D275" s="717"/>
      <c r="E275" s="24">
        <f t="shared" si="44"/>
        <v>0</v>
      </c>
      <c r="F275" s="717"/>
      <c r="G275" s="24">
        <f t="shared" si="45"/>
        <v>1</v>
      </c>
      <c r="H275" s="717"/>
      <c r="I275" s="24">
        <f t="shared" si="46"/>
        <v>1</v>
      </c>
      <c r="J275" s="717"/>
      <c r="K275" s="24">
        <f t="shared" si="47"/>
        <v>1</v>
      </c>
      <c r="L275" s="717"/>
      <c r="M275" s="24">
        <f t="shared" si="48"/>
        <v>1</v>
      </c>
      <c r="N275" s="717"/>
      <c r="O275" s="24">
        <f t="shared" si="49"/>
        <v>1</v>
      </c>
      <c r="P275" s="717"/>
      <c r="Q275" s="24">
        <f t="shared" si="50"/>
        <v>0.04</v>
      </c>
      <c r="R275" s="713">
        <f t="shared" si="51"/>
        <v>0</v>
      </c>
      <c r="S275" s="361">
        <f t="shared" si="52"/>
        <v>0</v>
      </c>
    </row>
    <row r="276" spans="1:19">
      <c r="A276" s="715"/>
      <c r="B276" s="59"/>
      <c r="C276" s="24">
        <f t="shared" si="43"/>
        <v>1</v>
      </c>
      <c r="D276" s="717"/>
      <c r="E276" s="24">
        <f t="shared" si="44"/>
        <v>0</v>
      </c>
      <c r="F276" s="717"/>
      <c r="G276" s="24">
        <f t="shared" si="45"/>
        <v>1</v>
      </c>
      <c r="H276" s="717"/>
      <c r="I276" s="24">
        <f t="shared" si="46"/>
        <v>1</v>
      </c>
      <c r="J276" s="717"/>
      <c r="K276" s="24">
        <f t="shared" si="47"/>
        <v>1</v>
      </c>
      <c r="L276" s="717"/>
      <c r="M276" s="24">
        <f t="shared" si="48"/>
        <v>1</v>
      </c>
      <c r="N276" s="717"/>
      <c r="O276" s="24">
        <f t="shared" si="49"/>
        <v>1</v>
      </c>
      <c r="P276" s="717"/>
      <c r="Q276" s="24">
        <f t="shared" si="50"/>
        <v>0.04</v>
      </c>
      <c r="R276" s="713">
        <f t="shared" si="51"/>
        <v>0</v>
      </c>
      <c r="S276" s="361">
        <f t="shared" si="52"/>
        <v>0</v>
      </c>
    </row>
    <row r="277" spans="1:19">
      <c r="A277" s="715"/>
      <c r="B277" s="59"/>
      <c r="C277" s="24">
        <f t="shared" si="43"/>
        <v>1</v>
      </c>
      <c r="D277" s="717"/>
      <c r="E277" s="24">
        <f t="shared" si="44"/>
        <v>0</v>
      </c>
      <c r="F277" s="717"/>
      <c r="G277" s="24">
        <f t="shared" si="45"/>
        <v>1</v>
      </c>
      <c r="H277" s="717"/>
      <c r="I277" s="24">
        <f t="shared" si="46"/>
        <v>1</v>
      </c>
      <c r="J277" s="717"/>
      <c r="K277" s="24">
        <f t="shared" si="47"/>
        <v>1</v>
      </c>
      <c r="L277" s="717"/>
      <c r="M277" s="24">
        <f t="shared" si="48"/>
        <v>1</v>
      </c>
      <c r="N277" s="717"/>
      <c r="O277" s="24">
        <f t="shared" si="49"/>
        <v>1</v>
      </c>
      <c r="P277" s="717"/>
      <c r="Q277" s="24">
        <f t="shared" si="50"/>
        <v>0.04</v>
      </c>
      <c r="R277" s="713">
        <f t="shared" si="51"/>
        <v>0</v>
      </c>
      <c r="S277" s="361">
        <f t="shared" si="52"/>
        <v>0</v>
      </c>
    </row>
    <row r="278" spans="1:19">
      <c r="A278" s="715"/>
      <c r="B278" s="59"/>
      <c r="C278" s="24">
        <f t="shared" si="43"/>
        <v>1</v>
      </c>
      <c r="D278" s="717"/>
      <c r="E278" s="24">
        <f t="shared" si="44"/>
        <v>0</v>
      </c>
      <c r="F278" s="717"/>
      <c r="G278" s="24">
        <f t="shared" si="45"/>
        <v>1</v>
      </c>
      <c r="H278" s="717"/>
      <c r="I278" s="24">
        <f t="shared" si="46"/>
        <v>1</v>
      </c>
      <c r="J278" s="717"/>
      <c r="K278" s="24">
        <f t="shared" si="47"/>
        <v>1</v>
      </c>
      <c r="L278" s="717"/>
      <c r="M278" s="24">
        <f t="shared" si="48"/>
        <v>1</v>
      </c>
      <c r="N278" s="717"/>
      <c r="O278" s="24">
        <f t="shared" si="49"/>
        <v>1</v>
      </c>
      <c r="P278" s="717"/>
      <c r="Q278" s="24">
        <f t="shared" si="50"/>
        <v>0.04</v>
      </c>
      <c r="R278" s="713">
        <f t="shared" si="51"/>
        <v>0</v>
      </c>
      <c r="S278" s="361">
        <f t="shared" si="52"/>
        <v>0</v>
      </c>
    </row>
    <row r="279" spans="1:19">
      <c r="A279" s="715"/>
      <c r="B279" s="59"/>
      <c r="C279" s="24">
        <f t="shared" si="43"/>
        <v>1</v>
      </c>
      <c r="D279" s="717"/>
      <c r="E279" s="24">
        <f t="shared" si="44"/>
        <v>0</v>
      </c>
      <c r="F279" s="717"/>
      <c r="G279" s="24">
        <f t="shared" si="45"/>
        <v>1</v>
      </c>
      <c r="H279" s="717"/>
      <c r="I279" s="24">
        <f t="shared" si="46"/>
        <v>1</v>
      </c>
      <c r="J279" s="717"/>
      <c r="K279" s="24">
        <f t="shared" si="47"/>
        <v>1</v>
      </c>
      <c r="L279" s="717"/>
      <c r="M279" s="24">
        <f t="shared" si="48"/>
        <v>1</v>
      </c>
      <c r="N279" s="717"/>
      <c r="O279" s="24">
        <f t="shared" si="49"/>
        <v>1</v>
      </c>
      <c r="P279" s="717"/>
      <c r="Q279" s="24">
        <f t="shared" si="50"/>
        <v>0.04</v>
      </c>
      <c r="R279" s="713">
        <f t="shared" si="51"/>
        <v>0</v>
      </c>
      <c r="S279" s="361">
        <f t="shared" si="52"/>
        <v>0</v>
      </c>
    </row>
    <row r="280" spans="1:19">
      <c r="A280" s="715"/>
      <c r="B280" s="59"/>
      <c r="C280" s="24">
        <f t="shared" si="43"/>
        <v>1</v>
      </c>
      <c r="D280" s="717"/>
      <c r="E280" s="24">
        <f t="shared" si="44"/>
        <v>0</v>
      </c>
      <c r="F280" s="717"/>
      <c r="G280" s="24">
        <f t="shared" si="45"/>
        <v>1</v>
      </c>
      <c r="H280" s="717"/>
      <c r="I280" s="24">
        <f t="shared" si="46"/>
        <v>1</v>
      </c>
      <c r="J280" s="717"/>
      <c r="K280" s="24">
        <f t="shared" si="47"/>
        <v>1</v>
      </c>
      <c r="L280" s="717"/>
      <c r="M280" s="24">
        <f t="shared" si="48"/>
        <v>1</v>
      </c>
      <c r="N280" s="717"/>
      <c r="O280" s="24">
        <f t="shared" si="49"/>
        <v>1</v>
      </c>
      <c r="P280" s="717"/>
      <c r="Q280" s="24">
        <f t="shared" si="50"/>
        <v>0.04</v>
      </c>
      <c r="R280" s="713">
        <f t="shared" si="51"/>
        <v>0</v>
      </c>
      <c r="S280" s="361">
        <f t="shared" si="52"/>
        <v>0</v>
      </c>
    </row>
    <row r="281" spans="1:19">
      <c r="A281" s="715"/>
      <c r="B281" s="59"/>
      <c r="C281" s="24">
        <f t="shared" si="43"/>
        <v>1</v>
      </c>
      <c r="D281" s="717"/>
      <c r="E281" s="24">
        <f t="shared" si="44"/>
        <v>0</v>
      </c>
      <c r="F281" s="717"/>
      <c r="G281" s="24">
        <f t="shared" si="45"/>
        <v>1</v>
      </c>
      <c r="H281" s="717"/>
      <c r="I281" s="24">
        <f t="shared" si="46"/>
        <v>1</v>
      </c>
      <c r="J281" s="717"/>
      <c r="K281" s="24">
        <f t="shared" si="47"/>
        <v>1</v>
      </c>
      <c r="L281" s="717"/>
      <c r="M281" s="24">
        <f t="shared" si="48"/>
        <v>1</v>
      </c>
      <c r="N281" s="717"/>
      <c r="O281" s="24">
        <f t="shared" si="49"/>
        <v>1</v>
      </c>
      <c r="P281" s="717"/>
      <c r="Q281" s="24">
        <f t="shared" si="50"/>
        <v>0.04</v>
      </c>
      <c r="R281" s="713">
        <f t="shared" si="51"/>
        <v>0</v>
      </c>
      <c r="S281" s="361">
        <f t="shared" si="52"/>
        <v>0</v>
      </c>
    </row>
    <row r="282" spans="1:19">
      <c r="A282" s="715"/>
      <c r="B282" s="59"/>
      <c r="C282" s="24">
        <f t="shared" ref="C282:C345" si="53">IF(B282="",1,(LOOKUP(B282,$3:$3,$4:$4)-LOOKUP($B$24,$3:$3,$4:$4)+100)/100)</f>
        <v>1</v>
      </c>
      <c r="D282" s="717"/>
      <c r="E282" s="24">
        <f t="shared" ref="E282:E345" si="54">(SUMIF($5:$5,D282,$6:$6)-SUMIF($5:$5,$D$24,$6:$6)+100)/100</f>
        <v>0</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0.04</v>
      </c>
      <c r="R282" s="713">
        <f t="shared" ref="R282:R345" si="61">IF(B282="",0,ROUND($R$24*C282*E282*G282*I282*K282*M282*O282*Q282,0))</f>
        <v>0</v>
      </c>
      <c r="S282" s="361">
        <f t="shared" si="52"/>
        <v>0</v>
      </c>
    </row>
    <row r="283" spans="1:19">
      <c r="A283" s="715"/>
      <c r="B283" s="59"/>
      <c r="C283" s="24">
        <f t="shared" si="53"/>
        <v>1</v>
      </c>
      <c r="D283" s="717"/>
      <c r="E283" s="24">
        <f t="shared" si="54"/>
        <v>0</v>
      </c>
      <c r="F283" s="717"/>
      <c r="G283" s="24">
        <f t="shared" si="55"/>
        <v>1</v>
      </c>
      <c r="H283" s="717"/>
      <c r="I283" s="24">
        <f t="shared" si="56"/>
        <v>1</v>
      </c>
      <c r="J283" s="717"/>
      <c r="K283" s="24">
        <f t="shared" si="57"/>
        <v>1</v>
      </c>
      <c r="L283" s="717"/>
      <c r="M283" s="24">
        <f t="shared" si="58"/>
        <v>1</v>
      </c>
      <c r="N283" s="717"/>
      <c r="O283" s="24">
        <f t="shared" si="59"/>
        <v>1</v>
      </c>
      <c r="P283" s="717"/>
      <c r="Q283" s="24">
        <f t="shared" si="60"/>
        <v>0.04</v>
      </c>
      <c r="R283" s="713">
        <f t="shared" si="61"/>
        <v>0</v>
      </c>
      <c r="S283" s="361">
        <f t="shared" si="52"/>
        <v>0</v>
      </c>
    </row>
    <row r="284" spans="1:19">
      <c r="A284" s="715"/>
      <c r="B284" s="59"/>
      <c r="C284" s="24">
        <f t="shared" si="53"/>
        <v>1</v>
      </c>
      <c r="D284" s="717"/>
      <c r="E284" s="24">
        <f t="shared" si="54"/>
        <v>0</v>
      </c>
      <c r="F284" s="717"/>
      <c r="G284" s="24">
        <f t="shared" si="55"/>
        <v>1</v>
      </c>
      <c r="H284" s="717"/>
      <c r="I284" s="24">
        <f t="shared" si="56"/>
        <v>1</v>
      </c>
      <c r="J284" s="717"/>
      <c r="K284" s="24">
        <f t="shared" si="57"/>
        <v>1</v>
      </c>
      <c r="L284" s="717"/>
      <c r="M284" s="24">
        <f t="shared" si="58"/>
        <v>1</v>
      </c>
      <c r="N284" s="717"/>
      <c r="O284" s="24">
        <f t="shared" si="59"/>
        <v>1</v>
      </c>
      <c r="P284" s="717"/>
      <c r="Q284" s="24">
        <f t="shared" si="60"/>
        <v>0.04</v>
      </c>
      <c r="R284" s="713">
        <f t="shared" si="61"/>
        <v>0</v>
      </c>
      <c r="S284" s="361">
        <f t="shared" si="52"/>
        <v>0</v>
      </c>
    </row>
    <row r="285" spans="1:19">
      <c r="A285" s="715"/>
      <c r="B285" s="59"/>
      <c r="C285" s="24">
        <f t="shared" si="53"/>
        <v>1</v>
      </c>
      <c r="D285" s="717"/>
      <c r="E285" s="24">
        <f t="shared" si="54"/>
        <v>0</v>
      </c>
      <c r="F285" s="717"/>
      <c r="G285" s="24">
        <f t="shared" si="55"/>
        <v>1</v>
      </c>
      <c r="H285" s="717"/>
      <c r="I285" s="24">
        <f t="shared" si="56"/>
        <v>1</v>
      </c>
      <c r="J285" s="717"/>
      <c r="K285" s="24">
        <f t="shared" si="57"/>
        <v>1</v>
      </c>
      <c r="L285" s="717"/>
      <c r="M285" s="24">
        <f t="shared" si="58"/>
        <v>1</v>
      </c>
      <c r="N285" s="717"/>
      <c r="O285" s="24">
        <f t="shared" si="59"/>
        <v>1</v>
      </c>
      <c r="P285" s="717"/>
      <c r="Q285" s="24">
        <f t="shared" si="60"/>
        <v>0.04</v>
      </c>
      <c r="R285" s="713">
        <f t="shared" si="61"/>
        <v>0</v>
      </c>
      <c r="S285" s="361">
        <f t="shared" si="52"/>
        <v>0</v>
      </c>
    </row>
    <row r="286" spans="1:19">
      <c r="A286" s="715"/>
      <c r="B286" s="59"/>
      <c r="C286" s="24">
        <f t="shared" si="53"/>
        <v>1</v>
      </c>
      <c r="D286" s="717"/>
      <c r="E286" s="24">
        <f t="shared" si="54"/>
        <v>0</v>
      </c>
      <c r="F286" s="717"/>
      <c r="G286" s="24">
        <f t="shared" si="55"/>
        <v>1</v>
      </c>
      <c r="H286" s="717"/>
      <c r="I286" s="24">
        <f t="shared" si="56"/>
        <v>1</v>
      </c>
      <c r="J286" s="717"/>
      <c r="K286" s="24">
        <f t="shared" si="57"/>
        <v>1</v>
      </c>
      <c r="L286" s="717"/>
      <c r="M286" s="24">
        <f t="shared" si="58"/>
        <v>1</v>
      </c>
      <c r="N286" s="717"/>
      <c r="O286" s="24">
        <f t="shared" si="59"/>
        <v>1</v>
      </c>
      <c r="P286" s="717"/>
      <c r="Q286" s="24">
        <f t="shared" si="60"/>
        <v>0.04</v>
      </c>
      <c r="R286" s="713">
        <f t="shared" si="61"/>
        <v>0</v>
      </c>
      <c r="S286" s="361">
        <f t="shared" si="52"/>
        <v>0</v>
      </c>
    </row>
    <row r="287" spans="1:19">
      <c r="A287" s="715"/>
      <c r="B287" s="59"/>
      <c r="C287" s="24">
        <f t="shared" si="53"/>
        <v>1</v>
      </c>
      <c r="D287" s="717"/>
      <c r="E287" s="24">
        <f t="shared" si="54"/>
        <v>0</v>
      </c>
      <c r="F287" s="717"/>
      <c r="G287" s="24">
        <f t="shared" si="55"/>
        <v>1</v>
      </c>
      <c r="H287" s="717"/>
      <c r="I287" s="24">
        <f t="shared" si="56"/>
        <v>1</v>
      </c>
      <c r="J287" s="717"/>
      <c r="K287" s="24">
        <f t="shared" si="57"/>
        <v>1</v>
      </c>
      <c r="L287" s="717"/>
      <c r="M287" s="24">
        <f t="shared" si="58"/>
        <v>1</v>
      </c>
      <c r="N287" s="717"/>
      <c r="O287" s="24">
        <f t="shared" si="59"/>
        <v>1</v>
      </c>
      <c r="P287" s="717"/>
      <c r="Q287" s="24">
        <f t="shared" si="60"/>
        <v>0.04</v>
      </c>
      <c r="R287" s="713">
        <f t="shared" si="61"/>
        <v>0</v>
      </c>
      <c r="S287" s="361">
        <f t="shared" ref="S287:S320" si="62">ROUND(R287*B287/10000,0)</f>
        <v>0</v>
      </c>
    </row>
    <row r="288" spans="1:19">
      <c r="A288" s="715"/>
      <c r="B288" s="59"/>
      <c r="C288" s="24">
        <f t="shared" si="53"/>
        <v>1</v>
      </c>
      <c r="D288" s="717"/>
      <c r="E288" s="24">
        <f t="shared" si="54"/>
        <v>0</v>
      </c>
      <c r="F288" s="717"/>
      <c r="G288" s="24">
        <f t="shared" si="55"/>
        <v>1</v>
      </c>
      <c r="H288" s="717"/>
      <c r="I288" s="24">
        <f t="shared" si="56"/>
        <v>1</v>
      </c>
      <c r="J288" s="717"/>
      <c r="K288" s="24">
        <f t="shared" si="57"/>
        <v>1</v>
      </c>
      <c r="L288" s="717"/>
      <c r="M288" s="24">
        <f t="shared" si="58"/>
        <v>1</v>
      </c>
      <c r="N288" s="717"/>
      <c r="O288" s="24">
        <f t="shared" si="59"/>
        <v>1</v>
      </c>
      <c r="P288" s="717"/>
      <c r="Q288" s="24">
        <f t="shared" si="60"/>
        <v>0.04</v>
      </c>
      <c r="R288" s="713">
        <f t="shared" si="61"/>
        <v>0</v>
      </c>
      <c r="S288" s="361">
        <f t="shared" si="62"/>
        <v>0</v>
      </c>
    </row>
    <row r="289" spans="1:19">
      <c r="A289" s="715"/>
      <c r="B289" s="59"/>
      <c r="C289" s="24">
        <f t="shared" si="53"/>
        <v>1</v>
      </c>
      <c r="D289" s="717"/>
      <c r="E289" s="24">
        <f t="shared" si="54"/>
        <v>0</v>
      </c>
      <c r="F289" s="717"/>
      <c r="G289" s="24">
        <f t="shared" si="55"/>
        <v>1</v>
      </c>
      <c r="H289" s="717"/>
      <c r="I289" s="24">
        <f t="shared" si="56"/>
        <v>1</v>
      </c>
      <c r="J289" s="717"/>
      <c r="K289" s="24">
        <f t="shared" si="57"/>
        <v>1</v>
      </c>
      <c r="L289" s="717"/>
      <c r="M289" s="24">
        <f t="shared" si="58"/>
        <v>1</v>
      </c>
      <c r="N289" s="717"/>
      <c r="O289" s="24">
        <f t="shared" si="59"/>
        <v>1</v>
      </c>
      <c r="P289" s="717"/>
      <c r="Q289" s="24">
        <f t="shared" si="60"/>
        <v>0.04</v>
      </c>
      <c r="R289" s="713">
        <f t="shared" si="61"/>
        <v>0</v>
      </c>
      <c r="S289" s="361">
        <f t="shared" si="62"/>
        <v>0</v>
      </c>
    </row>
    <row r="290" spans="1:19">
      <c r="A290" s="715"/>
      <c r="B290" s="59"/>
      <c r="C290" s="24">
        <f t="shared" si="53"/>
        <v>1</v>
      </c>
      <c r="D290" s="717"/>
      <c r="E290" s="24">
        <f t="shared" si="54"/>
        <v>0</v>
      </c>
      <c r="F290" s="717"/>
      <c r="G290" s="24">
        <f t="shared" si="55"/>
        <v>1</v>
      </c>
      <c r="H290" s="717"/>
      <c r="I290" s="24">
        <f t="shared" si="56"/>
        <v>1</v>
      </c>
      <c r="J290" s="717"/>
      <c r="K290" s="24">
        <f t="shared" si="57"/>
        <v>1</v>
      </c>
      <c r="L290" s="717"/>
      <c r="M290" s="24">
        <f t="shared" si="58"/>
        <v>1</v>
      </c>
      <c r="N290" s="717"/>
      <c r="O290" s="24">
        <f t="shared" si="59"/>
        <v>1</v>
      </c>
      <c r="P290" s="717"/>
      <c r="Q290" s="24">
        <f t="shared" si="60"/>
        <v>0.04</v>
      </c>
      <c r="R290" s="713">
        <f t="shared" si="61"/>
        <v>0</v>
      </c>
      <c r="S290" s="361">
        <f t="shared" si="62"/>
        <v>0</v>
      </c>
    </row>
    <row r="291" spans="1:19">
      <c r="A291" s="715"/>
      <c r="B291" s="59"/>
      <c r="C291" s="24">
        <f t="shared" si="53"/>
        <v>1</v>
      </c>
      <c r="D291" s="717"/>
      <c r="E291" s="24">
        <f t="shared" si="54"/>
        <v>0</v>
      </c>
      <c r="F291" s="717"/>
      <c r="G291" s="24">
        <f t="shared" si="55"/>
        <v>1</v>
      </c>
      <c r="H291" s="717"/>
      <c r="I291" s="24">
        <f t="shared" si="56"/>
        <v>1</v>
      </c>
      <c r="J291" s="717"/>
      <c r="K291" s="24">
        <f t="shared" si="57"/>
        <v>1</v>
      </c>
      <c r="L291" s="717"/>
      <c r="M291" s="24">
        <f t="shared" si="58"/>
        <v>1</v>
      </c>
      <c r="N291" s="717"/>
      <c r="O291" s="24">
        <f t="shared" si="59"/>
        <v>1</v>
      </c>
      <c r="P291" s="717"/>
      <c r="Q291" s="24">
        <f t="shared" si="60"/>
        <v>0.04</v>
      </c>
      <c r="R291" s="713">
        <f t="shared" si="61"/>
        <v>0</v>
      </c>
      <c r="S291" s="361">
        <f t="shared" si="62"/>
        <v>0</v>
      </c>
    </row>
    <row r="292" spans="1:19">
      <c r="A292" s="715"/>
      <c r="B292" s="59"/>
      <c r="C292" s="24">
        <f t="shared" si="53"/>
        <v>1</v>
      </c>
      <c r="D292" s="717"/>
      <c r="E292" s="24">
        <f t="shared" si="54"/>
        <v>0</v>
      </c>
      <c r="F292" s="717"/>
      <c r="G292" s="24">
        <f t="shared" si="55"/>
        <v>1</v>
      </c>
      <c r="H292" s="717"/>
      <c r="I292" s="24">
        <f t="shared" si="56"/>
        <v>1</v>
      </c>
      <c r="J292" s="717"/>
      <c r="K292" s="24">
        <f t="shared" si="57"/>
        <v>1</v>
      </c>
      <c r="L292" s="717"/>
      <c r="M292" s="24">
        <f t="shared" si="58"/>
        <v>1</v>
      </c>
      <c r="N292" s="717"/>
      <c r="O292" s="24">
        <f t="shared" si="59"/>
        <v>1</v>
      </c>
      <c r="P292" s="717"/>
      <c r="Q292" s="24">
        <f t="shared" si="60"/>
        <v>0.04</v>
      </c>
      <c r="R292" s="713">
        <f t="shared" si="61"/>
        <v>0</v>
      </c>
      <c r="S292" s="361">
        <f t="shared" si="62"/>
        <v>0</v>
      </c>
    </row>
    <row r="293" spans="1:19">
      <c r="A293" s="715"/>
      <c r="B293" s="59"/>
      <c r="C293" s="24">
        <f t="shared" si="53"/>
        <v>1</v>
      </c>
      <c r="D293" s="717"/>
      <c r="E293" s="24">
        <f t="shared" si="54"/>
        <v>0</v>
      </c>
      <c r="F293" s="717"/>
      <c r="G293" s="24">
        <f t="shared" si="55"/>
        <v>1</v>
      </c>
      <c r="H293" s="717"/>
      <c r="I293" s="24">
        <f t="shared" si="56"/>
        <v>1</v>
      </c>
      <c r="J293" s="717"/>
      <c r="K293" s="24">
        <f t="shared" si="57"/>
        <v>1</v>
      </c>
      <c r="L293" s="717"/>
      <c r="M293" s="24">
        <f t="shared" si="58"/>
        <v>1</v>
      </c>
      <c r="N293" s="717"/>
      <c r="O293" s="24">
        <f t="shared" si="59"/>
        <v>1</v>
      </c>
      <c r="P293" s="717"/>
      <c r="Q293" s="24">
        <f t="shared" si="60"/>
        <v>0.04</v>
      </c>
      <c r="R293" s="713">
        <f t="shared" si="61"/>
        <v>0</v>
      </c>
      <c r="S293" s="361">
        <f t="shared" si="62"/>
        <v>0</v>
      </c>
    </row>
    <row r="294" spans="1:19">
      <c r="A294" s="715"/>
      <c r="B294" s="59"/>
      <c r="C294" s="24">
        <f t="shared" si="53"/>
        <v>1</v>
      </c>
      <c r="D294" s="717"/>
      <c r="E294" s="24">
        <f t="shared" si="54"/>
        <v>0</v>
      </c>
      <c r="F294" s="717"/>
      <c r="G294" s="24">
        <f t="shared" si="55"/>
        <v>1</v>
      </c>
      <c r="H294" s="717"/>
      <c r="I294" s="24">
        <f t="shared" si="56"/>
        <v>1</v>
      </c>
      <c r="J294" s="717"/>
      <c r="K294" s="24">
        <f t="shared" si="57"/>
        <v>1</v>
      </c>
      <c r="L294" s="717"/>
      <c r="M294" s="24">
        <f t="shared" si="58"/>
        <v>1</v>
      </c>
      <c r="N294" s="717"/>
      <c r="O294" s="24">
        <f t="shared" si="59"/>
        <v>1</v>
      </c>
      <c r="P294" s="717"/>
      <c r="Q294" s="24">
        <f t="shared" si="60"/>
        <v>0.04</v>
      </c>
      <c r="R294" s="713">
        <f t="shared" si="61"/>
        <v>0</v>
      </c>
      <c r="S294" s="361">
        <f t="shared" si="62"/>
        <v>0</v>
      </c>
    </row>
    <row r="295" spans="1:19">
      <c r="A295" s="715"/>
      <c r="B295" s="59"/>
      <c r="C295" s="24">
        <f t="shared" si="53"/>
        <v>1</v>
      </c>
      <c r="D295" s="717"/>
      <c r="E295" s="24">
        <f t="shared" si="54"/>
        <v>0</v>
      </c>
      <c r="F295" s="717"/>
      <c r="G295" s="24">
        <f t="shared" si="55"/>
        <v>1</v>
      </c>
      <c r="H295" s="717"/>
      <c r="I295" s="24">
        <f t="shared" si="56"/>
        <v>1</v>
      </c>
      <c r="J295" s="717"/>
      <c r="K295" s="24">
        <f t="shared" si="57"/>
        <v>1</v>
      </c>
      <c r="L295" s="717"/>
      <c r="M295" s="24">
        <f t="shared" si="58"/>
        <v>1</v>
      </c>
      <c r="N295" s="717"/>
      <c r="O295" s="24">
        <f t="shared" si="59"/>
        <v>1</v>
      </c>
      <c r="P295" s="717"/>
      <c r="Q295" s="24">
        <f t="shared" si="60"/>
        <v>0.04</v>
      </c>
      <c r="R295" s="713">
        <f t="shared" si="61"/>
        <v>0</v>
      </c>
      <c r="S295" s="361">
        <f t="shared" si="62"/>
        <v>0</v>
      </c>
    </row>
    <row r="296" spans="1:19">
      <c r="A296" s="715"/>
      <c r="B296" s="59"/>
      <c r="C296" s="24">
        <f t="shared" si="53"/>
        <v>1</v>
      </c>
      <c r="D296" s="717"/>
      <c r="E296" s="24">
        <f t="shared" si="54"/>
        <v>0</v>
      </c>
      <c r="F296" s="717"/>
      <c r="G296" s="24">
        <f t="shared" si="55"/>
        <v>1</v>
      </c>
      <c r="H296" s="717"/>
      <c r="I296" s="24">
        <f t="shared" si="56"/>
        <v>1</v>
      </c>
      <c r="J296" s="717"/>
      <c r="K296" s="24">
        <f t="shared" si="57"/>
        <v>1</v>
      </c>
      <c r="L296" s="717"/>
      <c r="M296" s="24">
        <f t="shared" si="58"/>
        <v>1</v>
      </c>
      <c r="N296" s="717"/>
      <c r="O296" s="24">
        <f t="shared" si="59"/>
        <v>1</v>
      </c>
      <c r="P296" s="717"/>
      <c r="Q296" s="24">
        <f t="shared" si="60"/>
        <v>0.04</v>
      </c>
      <c r="R296" s="713">
        <f t="shared" si="61"/>
        <v>0</v>
      </c>
      <c r="S296" s="361">
        <f t="shared" si="62"/>
        <v>0</v>
      </c>
    </row>
    <row r="297" spans="1:19">
      <c r="A297" s="715"/>
      <c r="B297" s="59"/>
      <c r="C297" s="24">
        <f t="shared" si="53"/>
        <v>1</v>
      </c>
      <c r="D297" s="717"/>
      <c r="E297" s="24">
        <f t="shared" si="54"/>
        <v>0</v>
      </c>
      <c r="F297" s="717"/>
      <c r="G297" s="24">
        <f t="shared" si="55"/>
        <v>1</v>
      </c>
      <c r="H297" s="717"/>
      <c r="I297" s="24">
        <f t="shared" si="56"/>
        <v>1</v>
      </c>
      <c r="J297" s="717"/>
      <c r="K297" s="24">
        <f t="shared" si="57"/>
        <v>1</v>
      </c>
      <c r="L297" s="717"/>
      <c r="M297" s="24">
        <f t="shared" si="58"/>
        <v>1</v>
      </c>
      <c r="N297" s="717"/>
      <c r="O297" s="24">
        <f t="shared" si="59"/>
        <v>1</v>
      </c>
      <c r="P297" s="717"/>
      <c r="Q297" s="24">
        <f t="shared" si="60"/>
        <v>0.04</v>
      </c>
      <c r="R297" s="713">
        <f t="shared" si="61"/>
        <v>0</v>
      </c>
      <c r="S297" s="361">
        <f t="shared" si="62"/>
        <v>0</v>
      </c>
    </row>
    <row r="298" spans="1:19">
      <c r="A298" s="715"/>
      <c r="B298" s="59"/>
      <c r="C298" s="24">
        <f t="shared" si="53"/>
        <v>1</v>
      </c>
      <c r="D298" s="717"/>
      <c r="E298" s="24">
        <f t="shared" si="54"/>
        <v>0</v>
      </c>
      <c r="F298" s="717"/>
      <c r="G298" s="24">
        <f t="shared" si="55"/>
        <v>1</v>
      </c>
      <c r="H298" s="717"/>
      <c r="I298" s="24">
        <f t="shared" si="56"/>
        <v>1</v>
      </c>
      <c r="J298" s="717"/>
      <c r="K298" s="24">
        <f t="shared" si="57"/>
        <v>1</v>
      </c>
      <c r="L298" s="717"/>
      <c r="M298" s="24">
        <f t="shared" si="58"/>
        <v>1</v>
      </c>
      <c r="N298" s="717"/>
      <c r="O298" s="24">
        <f t="shared" si="59"/>
        <v>1</v>
      </c>
      <c r="P298" s="717"/>
      <c r="Q298" s="24">
        <f t="shared" si="60"/>
        <v>0.04</v>
      </c>
      <c r="R298" s="713">
        <f t="shared" si="61"/>
        <v>0</v>
      </c>
      <c r="S298" s="361">
        <f t="shared" si="62"/>
        <v>0</v>
      </c>
    </row>
    <row r="299" spans="1:19">
      <c r="A299" s="715"/>
      <c r="B299" s="59"/>
      <c r="C299" s="24">
        <f t="shared" si="53"/>
        <v>1</v>
      </c>
      <c r="D299" s="717"/>
      <c r="E299" s="24">
        <f t="shared" si="54"/>
        <v>0</v>
      </c>
      <c r="F299" s="717"/>
      <c r="G299" s="24">
        <f t="shared" si="55"/>
        <v>1</v>
      </c>
      <c r="H299" s="717"/>
      <c r="I299" s="24">
        <f t="shared" si="56"/>
        <v>1</v>
      </c>
      <c r="J299" s="717"/>
      <c r="K299" s="24">
        <f t="shared" si="57"/>
        <v>1</v>
      </c>
      <c r="L299" s="717"/>
      <c r="M299" s="24">
        <f t="shared" si="58"/>
        <v>1</v>
      </c>
      <c r="N299" s="717"/>
      <c r="O299" s="24">
        <f t="shared" si="59"/>
        <v>1</v>
      </c>
      <c r="P299" s="717"/>
      <c r="Q299" s="24">
        <f t="shared" si="60"/>
        <v>0.04</v>
      </c>
      <c r="R299" s="713">
        <f t="shared" si="61"/>
        <v>0</v>
      </c>
      <c r="S299" s="361">
        <f t="shared" si="62"/>
        <v>0</v>
      </c>
    </row>
    <row r="300" spans="1:19">
      <c r="A300" s="715"/>
      <c r="B300" s="59"/>
      <c r="C300" s="24">
        <f t="shared" si="53"/>
        <v>1</v>
      </c>
      <c r="D300" s="717"/>
      <c r="E300" s="24">
        <f t="shared" si="54"/>
        <v>0</v>
      </c>
      <c r="F300" s="717"/>
      <c r="G300" s="24">
        <f t="shared" si="55"/>
        <v>1</v>
      </c>
      <c r="H300" s="717"/>
      <c r="I300" s="24">
        <f t="shared" si="56"/>
        <v>1</v>
      </c>
      <c r="J300" s="717"/>
      <c r="K300" s="24">
        <f t="shared" si="57"/>
        <v>1</v>
      </c>
      <c r="L300" s="717"/>
      <c r="M300" s="24">
        <f t="shared" si="58"/>
        <v>1</v>
      </c>
      <c r="N300" s="717"/>
      <c r="O300" s="24">
        <f t="shared" si="59"/>
        <v>1</v>
      </c>
      <c r="P300" s="717"/>
      <c r="Q300" s="24">
        <f t="shared" si="60"/>
        <v>0.04</v>
      </c>
      <c r="R300" s="713">
        <f t="shared" si="61"/>
        <v>0</v>
      </c>
      <c r="S300" s="361">
        <f t="shared" si="62"/>
        <v>0</v>
      </c>
    </row>
    <row r="301" spans="1:19">
      <c r="A301" s="715"/>
      <c r="B301" s="59"/>
      <c r="C301" s="24">
        <f t="shared" si="53"/>
        <v>1</v>
      </c>
      <c r="D301" s="717"/>
      <c r="E301" s="24">
        <f t="shared" si="54"/>
        <v>0</v>
      </c>
      <c r="F301" s="717"/>
      <c r="G301" s="24">
        <f t="shared" si="55"/>
        <v>1</v>
      </c>
      <c r="H301" s="717"/>
      <c r="I301" s="24">
        <f t="shared" si="56"/>
        <v>1</v>
      </c>
      <c r="J301" s="717"/>
      <c r="K301" s="24">
        <f t="shared" si="57"/>
        <v>1</v>
      </c>
      <c r="L301" s="717"/>
      <c r="M301" s="24">
        <f t="shared" si="58"/>
        <v>1</v>
      </c>
      <c r="N301" s="717"/>
      <c r="O301" s="24">
        <f t="shared" si="59"/>
        <v>1</v>
      </c>
      <c r="P301" s="717"/>
      <c r="Q301" s="24">
        <f t="shared" si="60"/>
        <v>0.04</v>
      </c>
      <c r="R301" s="713">
        <f t="shared" si="61"/>
        <v>0</v>
      </c>
      <c r="S301" s="361">
        <f t="shared" si="62"/>
        <v>0</v>
      </c>
    </row>
    <row r="302" spans="1:19">
      <c r="A302" s="715"/>
      <c r="B302" s="59"/>
      <c r="C302" s="24">
        <f t="shared" si="53"/>
        <v>1</v>
      </c>
      <c r="D302" s="717"/>
      <c r="E302" s="24">
        <f t="shared" si="54"/>
        <v>0</v>
      </c>
      <c r="F302" s="717"/>
      <c r="G302" s="24">
        <f t="shared" si="55"/>
        <v>1</v>
      </c>
      <c r="H302" s="717"/>
      <c r="I302" s="24">
        <f t="shared" si="56"/>
        <v>1</v>
      </c>
      <c r="J302" s="717"/>
      <c r="K302" s="24">
        <f t="shared" si="57"/>
        <v>1</v>
      </c>
      <c r="L302" s="717"/>
      <c r="M302" s="24">
        <f t="shared" si="58"/>
        <v>1</v>
      </c>
      <c r="N302" s="717"/>
      <c r="O302" s="24">
        <f t="shared" si="59"/>
        <v>1</v>
      </c>
      <c r="P302" s="717"/>
      <c r="Q302" s="24">
        <f t="shared" si="60"/>
        <v>0.04</v>
      </c>
      <c r="R302" s="713">
        <f t="shared" si="61"/>
        <v>0</v>
      </c>
      <c r="S302" s="361">
        <f t="shared" si="62"/>
        <v>0</v>
      </c>
    </row>
    <row r="303" spans="1:19">
      <c r="A303" s="715"/>
      <c r="B303" s="59"/>
      <c r="C303" s="24">
        <f t="shared" si="53"/>
        <v>1</v>
      </c>
      <c r="D303" s="717"/>
      <c r="E303" s="24">
        <f t="shared" si="54"/>
        <v>0</v>
      </c>
      <c r="F303" s="717"/>
      <c r="G303" s="24">
        <f t="shared" si="55"/>
        <v>1</v>
      </c>
      <c r="H303" s="717"/>
      <c r="I303" s="24">
        <f t="shared" si="56"/>
        <v>1</v>
      </c>
      <c r="J303" s="717"/>
      <c r="K303" s="24">
        <f t="shared" si="57"/>
        <v>1</v>
      </c>
      <c r="L303" s="717"/>
      <c r="M303" s="24">
        <f t="shared" si="58"/>
        <v>1</v>
      </c>
      <c r="N303" s="717"/>
      <c r="O303" s="24">
        <f t="shared" si="59"/>
        <v>1</v>
      </c>
      <c r="P303" s="717"/>
      <c r="Q303" s="24">
        <f t="shared" si="60"/>
        <v>0.04</v>
      </c>
      <c r="R303" s="713">
        <f t="shared" si="61"/>
        <v>0</v>
      </c>
      <c r="S303" s="361">
        <f t="shared" si="62"/>
        <v>0</v>
      </c>
    </row>
    <row r="304" spans="1:19">
      <c r="A304" s="715"/>
      <c r="B304" s="59"/>
      <c r="C304" s="24">
        <f t="shared" si="53"/>
        <v>1</v>
      </c>
      <c r="D304" s="717"/>
      <c r="E304" s="24">
        <f t="shared" si="54"/>
        <v>0</v>
      </c>
      <c r="F304" s="717"/>
      <c r="G304" s="24">
        <f t="shared" si="55"/>
        <v>1</v>
      </c>
      <c r="H304" s="717"/>
      <c r="I304" s="24">
        <f t="shared" si="56"/>
        <v>1</v>
      </c>
      <c r="J304" s="717"/>
      <c r="K304" s="24">
        <f t="shared" si="57"/>
        <v>1</v>
      </c>
      <c r="L304" s="717"/>
      <c r="M304" s="24">
        <f t="shared" si="58"/>
        <v>1</v>
      </c>
      <c r="N304" s="717"/>
      <c r="O304" s="24">
        <f t="shared" si="59"/>
        <v>1</v>
      </c>
      <c r="P304" s="717"/>
      <c r="Q304" s="24">
        <f t="shared" si="60"/>
        <v>0.04</v>
      </c>
      <c r="R304" s="713">
        <f t="shared" si="61"/>
        <v>0</v>
      </c>
      <c r="S304" s="361">
        <f t="shared" si="62"/>
        <v>0</v>
      </c>
    </row>
    <row r="305" spans="1:19">
      <c r="A305" s="715"/>
      <c r="B305" s="59"/>
      <c r="C305" s="24">
        <f t="shared" si="53"/>
        <v>1</v>
      </c>
      <c r="D305" s="717"/>
      <c r="E305" s="24">
        <f t="shared" si="54"/>
        <v>0</v>
      </c>
      <c r="F305" s="717"/>
      <c r="G305" s="24">
        <f t="shared" si="55"/>
        <v>1</v>
      </c>
      <c r="H305" s="717"/>
      <c r="I305" s="24">
        <f t="shared" si="56"/>
        <v>1</v>
      </c>
      <c r="J305" s="717"/>
      <c r="K305" s="24">
        <f t="shared" si="57"/>
        <v>1</v>
      </c>
      <c r="L305" s="717"/>
      <c r="M305" s="24">
        <f t="shared" si="58"/>
        <v>1</v>
      </c>
      <c r="N305" s="717"/>
      <c r="O305" s="24">
        <f t="shared" si="59"/>
        <v>1</v>
      </c>
      <c r="P305" s="717"/>
      <c r="Q305" s="24">
        <f t="shared" si="60"/>
        <v>0.04</v>
      </c>
      <c r="R305" s="713">
        <f t="shared" si="61"/>
        <v>0</v>
      </c>
      <c r="S305" s="361">
        <f t="shared" si="62"/>
        <v>0</v>
      </c>
    </row>
    <row r="306" spans="1:19">
      <c r="A306" s="715"/>
      <c r="B306" s="59"/>
      <c r="C306" s="24">
        <f t="shared" si="53"/>
        <v>1</v>
      </c>
      <c r="D306" s="717"/>
      <c r="E306" s="24">
        <f t="shared" si="54"/>
        <v>0</v>
      </c>
      <c r="F306" s="717"/>
      <c r="G306" s="24">
        <f t="shared" si="55"/>
        <v>1</v>
      </c>
      <c r="H306" s="717"/>
      <c r="I306" s="24">
        <f t="shared" si="56"/>
        <v>1</v>
      </c>
      <c r="J306" s="717"/>
      <c r="K306" s="24">
        <f t="shared" si="57"/>
        <v>1</v>
      </c>
      <c r="L306" s="717"/>
      <c r="M306" s="24">
        <f t="shared" si="58"/>
        <v>1</v>
      </c>
      <c r="N306" s="717"/>
      <c r="O306" s="24">
        <f t="shared" si="59"/>
        <v>1</v>
      </c>
      <c r="P306" s="717"/>
      <c r="Q306" s="24">
        <f t="shared" si="60"/>
        <v>0.04</v>
      </c>
      <c r="R306" s="713">
        <f t="shared" si="61"/>
        <v>0</v>
      </c>
      <c r="S306" s="361">
        <f t="shared" si="62"/>
        <v>0</v>
      </c>
    </row>
    <row r="307" spans="1:19">
      <c r="A307" s="715"/>
      <c r="B307" s="59"/>
      <c r="C307" s="24">
        <f t="shared" si="53"/>
        <v>1</v>
      </c>
      <c r="D307" s="717"/>
      <c r="E307" s="24">
        <f t="shared" si="54"/>
        <v>0</v>
      </c>
      <c r="F307" s="717"/>
      <c r="G307" s="24">
        <f t="shared" si="55"/>
        <v>1</v>
      </c>
      <c r="H307" s="717"/>
      <c r="I307" s="24">
        <f t="shared" si="56"/>
        <v>1</v>
      </c>
      <c r="J307" s="717"/>
      <c r="K307" s="24">
        <f t="shared" si="57"/>
        <v>1</v>
      </c>
      <c r="L307" s="717"/>
      <c r="M307" s="24">
        <f t="shared" si="58"/>
        <v>1</v>
      </c>
      <c r="N307" s="717"/>
      <c r="O307" s="24">
        <f t="shared" si="59"/>
        <v>1</v>
      </c>
      <c r="P307" s="717"/>
      <c r="Q307" s="24">
        <f t="shared" si="60"/>
        <v>0.04</v>
      </c>
      <c r="R307" s="713">
        <f t="shared" si="61"/>
        <v>0</v>
      </c>
      <c r="S307" s="361">
        <f t="shared" si="62"/>
        <v>0</v>
      </c>
    </row>
    <row r="308" spans="1:19">
      <c r="A308" s="715"/>
      <c r="B308" s="59"/>
      <c r="C308" s="24">
        <f t="shared" si="53"/>
        <v>1</v>
      </c>
      <c r="D308" s="717"/>
      <c r="E308" s="24">
        <f t="shared" si="54"/>
        <v>0</v>
      </c>
      <c r="F308" s="717"/>
      <c r="G308" s="24">
        <f t="shared" si="55"/>
        <v>1</v>
      </c>
      <c r="H308" s="717"/>
      <c r="I308" s="24">
        <f t="shared" si="56"/>
        <v>1</v>
      </c>
      <c r="J308" s="717"/>
      <c r="K308" s="24">
        <f t="shared" si="57"/>
        <v>1</v>
      </c>
      <c r="L308" s="717"/>
      <c r="M308" s="24">
        <f t="shared" si="58"/>
        <v>1</v>
      </c>
      <c r="N308" s="717"/>
      <c r="O308" s="24">
        <f t="shared" si="59"/>
        <v>1</v>
      </c>
      <c r="P308" s="717"/>
      <c r="Q308" s="24">
        <f t="shared" si="60"/>
        <v>0.04</v>
      </c>
      <c r="R308" s="713">
        <f t="shared" si="61"/>
        <v>0</v>
      </c>
      <c r="S308" s="361">
        <f t="shared" si="62"/>
        <v>0</v>
      </c>
    </row>
    <row r="309" spans="1:19">
      <c r="A309" s="715"/>
      <c r="B309" s="59"/>
      <c r="C309" s="24">
        <f t="shared" si="53"/>
        <v>1</v>
      </c>
      <c r="D309" s="717"/>
      <c r="E309" s="24">
        <f t="shared" si="54"/>
        <v>0</v>
      </c>
      <c r="F309" s="717"/>
      <c r="G309" s="24">
        <f t="shared" si="55"/>
        <v>1</v>
      </c>
      <c r="H309" s="717"/>
      <c r="I309" s="24">
        <f t="shared" si="56"/>
        <v>1</v>
      </c>
      <c r="J309" s="717"/>
      <c r="K309" s="24">
        <f t="shared" si="57"/>
        <v>1</v>
      </c>
      <c r="L309" s="717"/>
      <c r="M309" s="24">
        <f t="shared" si="58"/>
        <v>1</v>
      </c>
      <c r="N309" s="717"/>
      <c r="O309" s="24">
        <f t="shared" si="59"/>
        <v>1</v>
      </c>
      <c r="P309" s="717"/>
      <c r="Q309" s="24">
        <f t="shared" si="60"/>
        <v>0.04</v>
      </c>
      <c r="R309" s="713">
        <f t="shared" si="61"/>
        <v>0</v>
      </c>
      <c r="S309" s="361">
        <f t="shared" si="62"/>
        <v>0</v>
      </c>
    </row>
    <row r="310" spans="1:19">
      <c r="A310" s="715"/>
      <c r="B310" s="59"/>
      <c r="C310" s="24">
        <f t="shared" si="53"/>
        <v>1</v>
      </c>
      <c r="D310" s="717"/>
      <c r="E310" s="24">
        <f t="shared" si="54"/>
        <v>0</v>
      </c>
      <c r="F310" s="717"/>
      <c r="G310" s="24">
        <f t="shared" si="55"/>
        <v>1</v>
      </c>
      <c r="H310" s="717"/>
      <c r="I310" s="24">
        <f t="shared" si="56"/>
        <v>1</v>
      </c>
      <c r="J310" s="717"/>
      <c r="K310" s="24">
        <f t="shared" si="57"/>
        <v>1</v>
      </c>
      <c r="L310" s="717"/>
      <c r="M310" s="24">
        <f t="shared" si="58"/>
        <v>1</v>
      </c>
      <c r="N310" s="717"/>
      <c r="O310" s="24">
        <f t="shared" si="59"/>
        <v>1</v>
      </c>
      <c r="P310" s="717"/>
      <c r="Q310" s="24">
        <f t="shared" si="60"/>
        <v>0.04</v>
      </c>
      <c r="R310" s="713">
        <f t="shared" si="61"/>
        <v>0</v>
      </c>
      <c r="S310" s="361">
        <f t="shared" si="62"/>
        <v>0</v>
      </c>
    </row>
    <row r="311" spans="1:19">
      <c r="A311" s="715"/>
      <c r="B311" s="59"/>
      <c r="C311" s="24">
        <f t="shared" si="53"/>
        <v>1</v>
      </c>
      <c r="D311" s="717"/>
      <c r="E311" s="24">
        <f t="shared" si="54"/>
        <v>0</v>
      </c>
      <c r="F311" s="717"/>
      <c r="G311" s="24">
        <f t="shared" si="55"/>
        <v>1</v>
      </c>
      <c r="H311" s="717"/>
      <c r="I311" s="24">
        <f t="shared" si="56"/>
        <v>1</v>
      </c>
      <c r="J311" s="717"/>
      <c r="K311" s="24">
        <f t="shared" si="57"/>
        <v>1</v>
      </c>
      <c r="L311" s="717"/>
      <c r="M311" s="24">
        <f t="shared" si="58"/>
        <v>1</v>
      </c>
      <c r="N311" s="717"/>
      <c r="O311" s="24">
        <f t="shared" si="59"/>
        <v>1</v>
      </c>
      <c r="P311" s="717"/>
      <c r="Q311" s="24">
        <f t="shared" si="60"/>
        <v>0.04</v>
      </c>
      <c r="R311" s="713">
        <f t="shared" si="61"/>
        <v>0</v>
      </c>
      <c r="S311" s="361">
        <f t="shared" si="62"/>
        <v>0</v>
      </c>
    </row>
    <row r="312" spans="1:19">
      <c r="A312" s="715"/>
      <c r="B312" s="59"/>
      <c r="C312" s="24">
        <f t="shared" si="53"/>
        <v>1</v>
      </c>
      <c r="D312" s="717"/>
      <c r="E312" s="24">
        <f t="shared" si="54"/>
        <v>0</v>
      </c>
      <c r="F312" s="717"/>
      <c r="G312" s="24">
        <f t="shared" si="55"/>
        <v>1</v>
      </c>
      <c r="H312" s="717"/>
      <c r="I312" s="24">
        <f t="shared" si="56"/>
        <v>1</v>
      </c>
      <c r="J312" s="717"/>
      <c r="K312" s="24">
        <f t="shared" si="57"/>
        <v>1</v>
      </c>
      <c r="L312" s="717"/>
      <c r="M312" s="24">
        <f t="shared" si="58"/>
        <v>1</v>
      </c>
      <c r="N312" s="717"/>
      <c r="O312" s="24">
        <f t="shared" si="59"/>
        <v>1</v>
      </c>
      <c r="P312" s="717"/>
      <c r="Q312" s="24">
        <f t="shared" si="60"/>
        <v>0.04</v>
      </c>
      <c r="R312" s="713">
        <f t="shared" si="61"/>
        <v>0</v>
      </c>
      <c r="S312" s="361">
        <f t="shared" si="62"/>
        <v>0</v>
      </c>
    </row>
    <row r="313" spans="1:19">
      <c r="A313" s="715"/>
      <c r="B313" s="59"/>
      <c r="C313" s="24">
        <f t="shared" si="53"/>
        <v>1</v>
      </c>
      <c r="D313" s="717"/>
      <c r="E313" s="24">
        <f t="shared" si="54"/>
        <v>0</v>
      </c>
      <c r="F313" s="717"/>
      <c r="G313" s="24">
        <f t="shared" si="55"/>
        <v>1</v>
      </c>
      <c r="H313" s="717"/>
      <c r="I313" s="24">
        <f t="shared" si="56"/>
        <v>1</v>
      </c>
      <c r="J313" s="717"/>
      <c r="K313" s="24">
        <f t="shared" si="57"/>
        <v>1</v>
      </c>
      <c r="L313" s="717"/>
      <c r="M313" s="24">
        <f t="shared" si="58"/>
        <v>1</v>
      </c>
      <c r="N313" s="717"/>
      <c r="O313" s="24">
        <f t="shared" si="59"/>
        <v>1</v>
      </c>
      <c r="P313" s="717"/>
      <c r="Q313" s="24">
        <f t="shared" si="60"/>
        <v>0.04</v>
      </c>
      <c r="R313" s="713">
        <f t="shared" si="61"/>
        <v>0</v>
      </c>
      <c r="S313" s="361">
        <f t="shared" si="62"/>
        <v>0</v>
      </c>
    </row>
    <row r="314" spans="1:19">
      <c r="A314" s="715"/>
      <c r="B314" s="59"/>
      <c r="C314" s="24">
        <f t="shared" si="53"/>
        <v>1</v>
      </c>
      <c r="D314" s="717"/>
      <c r="E314" s="24">
        <f t="shared" si="54"/>
        <v>0</v>
      </c>
      <c r="F314" s="717"/>
      <c r="G314" s="24">
        <f t="shared" si="55"/>
        <v>1</v>
      </c>
      <c r="H314" s="717"/>
      <c r="I314" s="24">
        <f t="shared" si="56"/>
        <v>1</v>
      </c>
      <c r="J314" s="717"/>
      <c r="K314" s="24">
        <f t="shared" si="57"/>
        <v>1</v>
      </c>
      <c r="L314" s="717"/>
      <c r="M314" s="24">
        <f t="shared" si="58"/>
        <v>1</v>
      </c>
      <c r="N314" s="717"/>
      <c r="O314" s="24">
        <f t="shared" si="59"/>
        <v>1</v>
      </c>
      <c r="P314" s="717"/>
      <c r="Q314" s="24">
        <f t="shared" si="60"/>
        <v>0.04</v>
      </c>
      <c r="R314" s="713">
        <f t="shared" si="61"/>
        <v>0</v>
      </c>
      <c r="S314" s="361">
        <f t="shared" si="62"/>
        <v>0</v>
      </c>
    </row>
    <row r="315" spans="1:19">
      <c r="A315" s="715"/>
      <c r="B315" s="59"/>
      <c r="C315" s="24">
        <f t="shared" si="53"/>
        <v>1</v>
      </c>
      <c r="D315" s="717"/>
      <c r="E315" s="24">
        <f t="shared" si="54"/>
        <v>0</v>
      </c>
      <c r="F315" s="717"/>
      <c r="G315" s="24">
        <f t="shared" si="55"/>
        <v>1</v>
      </c>
      <c r="H315" s="717"/>
      <c r="I315" s="24">
        <f t="shared" si="56"/>
        <v>1</v>
      </c>
      <c r="J315" s="717"/>
      <c r="K315" s="24">
        <f t="shared" si="57"/>
        <v>1</v>
      </c>
      <c r="L315" s="717"/>
      <c r="M315" s="24">
        <f t="shared" si="58"/>
        <v>1</v>
      </c>
      <c r="N315" s="717"/>
      <c r="O315" s="24">
        <f t="shared" si="59"/>
        <v>1</v>
      </c>
      <c r="P315" s="717"/>
      <c r="Q315" s="24">
        <f t="shared" si="60"/>
        <v>0.04</v>
      </c>
      <c r="R315" s="713">
        <f t="shared" si="61"/>
        <v>0</v>
      </c>
      <c r="S315" s="361">
        <f t="shared" si="62"/>
        <v>0</v>
      </c>
    </row>
    <row r="316" spans="1:19">
      <c r="A316" s="715"/>
      <c r="B316" s="59"/>
      <c r="C316" s="24">
        <f t="shared" si="53"/>
        <v>1</v>
      </c>
      <c r="D316" s="717"/>
      <c r="E316" s="24">
        <f t="shared" si="54"/>
        <v>0</v>
      </c>
      <c r="F316" s="717"/>
      <c r="G316" s="24">
        <f t="shared" si="55"/>
        <v>1</v>
      </c>
      <c r="H316" s="717"/>
      <c r="I316" s="24">
        <f t="shared" si="56"/>
        <v>1</v>
      </c>
      <c r="J316" s="717"/>
      <c r="K316" s="24">
        <f t="shared" si="57"/>
        <v>1</v>
      </c>
      <c r="L316" s="717"/>
      <c r="M316" s="24">
        <f t="shared" si="58"/>
        <v>1</v>
      </c>
      <c r="N316" s="717"/>
      <c r="O316" s="24">
        <f t="shared" si="59"/>
        <v>1</v>
      </c>
      <c r="P316" s="717"/>
      <c r="Q316" s="24">
        <f t="shared" si="60"/>
        <v>0.04</v>
      </c>
      <c r="R316" s="713">
        <f t="shared" si="61"/>
        <v>0</v>
      </c>
      <c r="S316" s="361">
        <f t="shared" si="62"/>
        <v>0</v>
      </c>
    </row>
    <row r="317" spans="1:19">
      <c r="A317" s="715"/>
      <c r="B317" s="59"/>
      <c r="C317" s="24">
        <f t="shared" si="53"/>
        <v>1</v>
      </c>
      <c r="D317" s="717"/>
      <c r="E317" s="24">
        <f t="shared" si="54"/>
        <v>0</v>
      </c>
      <c r="F317" s="717"/>
      <c r="G317" s="24">
        <f t="shared" si="55"/>
        <v>1</v>
      </c>
      <c r="H317" s="717"/>
      <c r="I317" s="24">
        <f t="shared" si="56"/>
        <v>1</v>
      </c>
      <c r="J317" s="717"/>
      <c r="K317" s="24">
        <f t="shared" si="57"/>
        <v>1</v>
      </c>
      <c r="L317" s="717"/>
      <c r="M317" s="24">
        <f t="shared" si="58"/>
        <v>1</v>
      </c>
      <c r="N317" s="717"/>
      <c r="O317" s="24">
        <f t="shared" si="59"/>
        <v>1</v>
      </c>
      <c r="P317" s="717"/>
      <c r="Q317" s="24">
        <f t="shared" si="60"/>
        <v>0.04</v>
      </c>
      <c r="R317" s="713">
        <f t="shared" si="61"/>
        <v>0</v>
      </c>
      <c r="S317" s="361">
        <f t="shared" si="62"/>
        <v>0</v>
      </c>
    </row>
    <row r="318" spans="1:19">
      <c r="A318" s="715"/>
      <c r="B318" s="59"/>
      <c r="C318" s="24">
        <f t="shared" si="53"/>
        <v>1</v>
      </c>
      <c r="D318" s="717"/>
      <c r="E318" s="24">
        <f t="shared" si="54"/>
        <v>0</v>
      </c>
      <c r="F318" s="717"/>
      <c r="G318" s="24">
        <f t="shared" si="55"/>
        <v>1</v>
      </c>
      <c r="H318" s="717"/>
      <c r="I318" s="24">
        <f t="shared" si="56"/>
        <v>1</v>
      </c>
      <c r="J318" s="717"/>
      <c r="K318" s="24">
        <f t="shared" si="57"/>
        <v>1</v>
      </c>
      <c r="L318" s="717"/>
      <c r="M318" s="24">
        <f t="shared" si="58"/>
        <v>1</v>
      </c>
      <c r="N318" s="717"/>
      <c r="O318" s="24">
        <f t="shared" si="59"/>
        <v>1</v>
      </c>
      <c r="P318" s="717"/>
      <c r="Q318" s="24">
        <f t="shared" si="60"/>
        <v>0.04</v>
      </c>
      <c r="R318" s="713">
        <f t="shared" si="61"/>
        <v>0</v>
      </c>
      <c r="S318" s="361">
        <f t="shared" si="62"/>
        <v>0</v>
      </c>
    </row>
    <row r="319" spans="1:19">
      <c r="A319" s="715"/>
      <c r="B319" s="59"/>
      <c r="C319" s="24">
        <f t="shared" si="53"/>
        <v>1</v>
      </c>
      <c r="D319" s="717"/>
      <c r="E319" s="24">
        <f t="shared" si="54"/>
        <v>0</v>
      </c>
      <c r="F319" s="717"/>
      <c r="G319" s="24">
        <f t="shared" si="55"/>
        <v>1</v>
      </c>
      <c r="H319" s="717"/>
      <c r="I319" s="24">
        <f t="shared" si="56"/>
        <v>1</v>
      </c>
      <c r="J319" s="717"/>
      <c r="K319" s="24">
        <f t="shared" si="57"/>
        <v>1</v>
      </c>
      <c r="L319" s="717"/>
      <c r="M319" s="24">
        <f t="shared" si="58"/>
        <v>1</v>
      </c>
      <c r="N319" s="717"/>
      <c r="O319" s="24">
        <f t="shared" si="59"/>
        <v>1</v>
      </c>
      <c r="P319" s="717"/>
      <c r="Q319" s="24">
        <f t="shared" si="60"/>
        <v>0.04</v>
      </c>
      <c r="R319" s="713">
        <f t="shared" si="61"/>
        <v>0</v>
      </c>
      <c r="S319" s="361">
        <f t="shared" si="62"/>
        <v>0</v>
      </c>
    </row>
    <row r="320" spans="1:19">
      <c r="A320" s="715"/>
      <c r="B320" s="59"/>
      <c r="C320" s="24">
        <f t="shared" si="53"/>
        <v>1</v>
      </c>
      <c r="D320" s="717"/>
      <c r="E320" s="24">
        <f t="shared" si="54"/>
        <v>0</v>
      </c>
      <c r="F320" s="717"/>
      <c r="G320" s="24">
        <f t="shared" si="55"/>
        <v>1</v>
      </c>
      <c r="H320" s="717"/>
      <c r="I320" s="24">
        <f t="shared" si="56"/>
        <v>1</v>
      </c>
      <c r="J320" s="717"/>
      <c r="K320" s="24">
        <f t="shared" si="57"/>
        <v>1</v>
      </c>
      <c r="L320" s="717"/>
      <c r="M320" s="24">
        <f t="shared" si="58"/>
        <v>1</v>
      </c>
      <c r="N320" s="717"/>
      <c r="O320" s="24">
        <f t="shared" si="59"/>
        <v>1</v>
      </c>
      <c r="P320" s="717"/>
      <c r="Q320" s="24">
        <f t="shared" si="60"/>
        <v>0.04</v>
      </c>
      <c r="R320" s="713">
        <f t="shared" si="61"/>
        <v>0</v>
      </c>
      <c r="S320" s="361">
        <f t="shared" si="62"/>
        <v>0</v>
      </c>
    </row>
    <row r="321" spans="1:19">
      <c r="A321" s="715"/>
      <c r="B321" s="59"/>
      <c r="C321" s="24">
        <f t="shared" si="53"/>
        <v>1</v>
      </c>
      <c r="D321" s="717"/>
      <c r="E321" s="24">
        <f t="shared" si="54"/>
        <v>0</v>
      </c>
      <c r="F321" s="717"/>
      <c r="G321" s="24">
        <f t="shared" si="55"/>
        <v>1</v>
      </c>
      <c r="H321" s="717"/>
      <c r="I321" s="24">
        <f t="shared" si="56"/>
        <v>1</v>
      </c>
      <c r="J321" s="717"/>
      <c r="K321" s="24">
        <f t="shared" si="57"/>
        <v>1</v>
      </c>
      <c r="L321" s="717"/>
      <c r="M321" s="24">
        <f t="shared" si="58"/>
        <v>1</v>
      </c>
      <c r="N321" s="717"/>
      <c r="O321" s="24">
        <f t="shared" si="59"/>
        <v>1</v>
      </c>
      <c r="P321" s="717"/>
      <c r="Q321" s="24">
        <f t="shared" si="60"/>
        <v>0.04</v>
      </c>
      <c r="R321" s="713">
        <f t="shared" si="61"/>
        <v>0</v>
      </c>
      <c r="S321" s="361">
        <f t="shared" ref="S321:S384" si="63">ROUND(R321*B321/10000,0)</f>
        <v>0</v>
      </c>
    </row>
    <row r="322" spans="1:19">
      <c r="A322" s="715"/>
      <c r="B322" s="59"/>
      <c r="C322" s="24">
        <f t="shared" si="53"/>
        <v>1</v>
      </c>
      <c r="D322" s="717"/>
      <c r="E322" s="24">
        <f t="shared" si="54"/>
        <v>0</v>
      </c>
      <c r="F322" s="717"/>
      <c r="G322" s="24">
        <f t="shared" si="55"/>
        <v>1</v>
      </c>
      <c r="H322" s="717"/>
      <c r="I322" s="24">
        <f t="shared" si="56"/>
        <v>1</v>
      </c>
      <c r="J322" s="717"/>
      <c r="K322" s="24">
        <f t="shared" si="57"/>
        <v>1</v>
      </c>
      <c r="L322" s="717"/>
      <c r="M322" s="24">
        <f t="shared" si="58"/>
        <v>1</v>
      </c>
      <c r="N322" s="717"/>
      <c r="O322" s="24">
        <f t="shared" si="59"/>
        <v>1</v>
      </c>
      <c r="P322" s="717"/>
      <c r="Q322" s="24">
        <f t="shared" si="60"/>
        <v>0.04</v>
      </c>
      <c r="R322" s="713">
        <f t="shared" si="61"/>
        <v>0</v>
      </c>
      <c r="S322" s="361">
        <f t="shared" si="63"/>
        <v>0</v>
      </c>
    </row>
    <row r="323" spans="1:19">
      <c r="A323" s="715"/>
      <c r="B323" s="59"/>
      <c r="C323" s="24">
        <f t="shared" si="53"/>
        <v>1</v>
      </c>
      <c r="D323" s="717"/>
      <c r="E323" s="24">
        <f t="shared" si="54"/>
        <v>0</v>
      </c>
      <c r="F323" s="717"/>
      <c r="G323" s="24">
        <f t="shared" si="55"/>
        <v>1</v>
      </c>
      <c r="H323" s="717"/>
      <c r="I323" s="24">
        <f t="shared" si="56"/>
        <v>1</v>
      </c>
      <c r="J323" s="717"/>
      <c r="K323" s="24">
        <f t="shared" si="57"/>
        <v>1</v>
      </c>
      <c r="L323" s="717"/>
      <c r="M323" s="24">
        <f t="shared" si="58"/>
        <v>1</v>
      </c>
      <c r="N323" s="717"/>
      <c r="O323" s="24">
        <f t="shared" si="59"/>
        <v>1</v>
      </c>
      <c r="P323" s="717"/>
      <c r="Q323" s="24">
        <f t="shared" si="60"/>
        <v>0.04</v>
      </c>
      <c r="R323" s="713">
        <f t="shared" si="61"/>
        <v>0</v>
      </c>
      <c r="S323" s="361">
        <f t="shared" si="63"/>
        <v>0</v>
      </c>
    </row>
    <row r="324" spans="1:19">
      <c r="A324" s="715"/>
      <c r="B324" s="59"/>
      <c r="C324" s="24">
        <f t="shared" si="53"/>
        <v>1</v>
      </c>
      <c r="D324" s="717"/>
      <c r="E324" s="24">
        <f t="shared" si="54"/>
        <v>0</v>
      </c>
      <c r="F324" s="717"/>
      <c r="G324" s="24">
        <f t="shared" si="55"/>
        <v>1</v>
      </c>
      <c r="H324" s="717"/>
      <c r="I324" s="24">
        <f t="shared" si="56"/>
        <v>1</v>
      </c>
      <c r="J324" s="717"/>
      <c r="K324" s="24">
        <f t="shared" si="57"/>
        <v>1</v>
      </c>
      <c r="L324" s="717"/>
      <c r="M324" s="24">
        <f t="shared" si="58"/>
        <v>1</v>
      </c>
      <c r="N324" s="717"/>
      <c r="O324" s="24">
        <f t="shared" si="59"/>
        <v>1</v>
      </c>
      <c r="P324" s="717"/>
      <c r="Q324" s="24">
        <f t="shared" si="60"/>
        <v>0.04</v>
      </c>
      <c r="R324" s="713">
        <f t="shared" si="61"/>
        <v>0</v>
      </c>
      <c r="S324" s="361">
        <f t="shared" si="63"/>
        <v>0</v>
      </c>
    </row>
    <row r="325" spans="1:19">
      <c r="A325" s="715"/>
      <c r="B325" s="59"/>
      <c r="C325" s="24">
        <f t="shared" si="53"/>
        <v>1</v>
      </c>
      <c r="D325" s="717"/>
      <c r="E325" s="24">
        <f t="shared" si="54"/>
        <v>0</v>
      </c>
      <c r="F325" s="717"/>
      <c r="G325" s="24">
        <f t="shared" si="55"/>
        <v>1</v>
      </c>
      <c r="H325" s="717"/>
      <c r="I325" s="24">
        <f t="shared" si="56"/>
        <v>1</v>
      </c>
      <c r="J325" s="717"/>
      <c r="K325" s="24">
        <f t="shared" si="57"/>
        <v>1</v>
      </c>
      <c r="L325" s="717"/>
      <c r="M325" s="24">
        <f t="shared" si="58"/>
        <v>1</v>
      </c>
      <c r="N325" s="717"/>
      <c r="O325" s="24">
        <f t="shared" si="59"/>
        <v>1</v>
      </c>
      <c r="P325" s="717"/>
      <c r="Q325" s="24">
        <f t="shared" si="60"/>
        <v>0.04</v>
      </c>
      <c r="R325" s="713">
        <f t="shared" si="61"/>
        <v>0</v>
      </c>
      <c r="S325" s="361">
        <f t="shared" si="63"/>
        <v>0</v>
      </c>
    </row>
    <row r="326" spans="1:19">
      <c r="A326" s="159"/>
      <c r="B326" s="59"/>
      <c r="C326" s="24">
        <f t="shared" si="53"/>
        <v>1</v>
      </c>
      <c r="D326" s="717"/>
      <c r="E326" s="24">
        <f t="shared" si="54"/>
        <v>0</v>
      </c>
      <c r="F326" s="717"/>
      <c r="G326" s="24">
        <f t="shared" si="55"/>
        <v>1</v>
      </c>
      <c r="H326" s="717"/>
      <c r="I326" s="24">
        <f t="shared" si="56"/>
        <v>1</v>
      </c>
      <c r="J326" s="717"/>
      <c r="K326" s="24">
        <f t="shared" si="57"/>
        <v>1</v>
      </c>
      <c r="L326" s="717"/>
      <c r="M326" s="24">
        <f t="shared" si="58"/>
        <v>1</v>
      </c>
      <c r="N326" s="717"/>
      <c r="O326" s="24">
        <f t="shared" si="59"/>
        <v>1</v>
      </c>
      <c r="P326" s="717"/>
      <c r="Q326" s="24">
        <f t="shared" si="60"/>
        <v>0.04</v>
      </c>
      <c r="R326" s="713">
        <f t="shared" si="61"/>
        <v>0</v>
      </c>
      <c r="S326" s="361">
        <f t="shared" si="63"/>
        <v>0</v>
      </c>
    </row>
    <row r="327" spans="1:19">
      <c r="A327" s="159"/>
      <c r="B327" s="59"/>
      <c r="C327" s="24">
        <f t="shared" si="53"/>
        <v>1</v>
      </c>
      <c r="D327" s="717"/>
      <c r="E327" s="24">
        <f t="shared" si="54"/>
        <v>0</v>
      </c>
      <c r="F327" s="717"/>
      <c r="G327" s="24">
        <f t="shared" si="55"/>
        <v>1</v>
      </c>
      <c r="H327" s="717"/>
      <c r="I327" s="24">
        <f t="shared" si="56"/>
        <v>1</v>
      </c>
      <c r="J327" s="717"/>
      <c r="K327" s="24">
        <f t="shared" si="57"/>
        <v>1</v>
      </c>
      <c r="L327" s="717"/>
      <c r="M327" s="24">
        <f t="shared" si="58"/>
        <v>1</v>
      </c>
      <c r="N327" s="717"/>
      <c r="O327" s="24">
        <f t="shared" si="59"/>
        <v>1</v>
      </c>
      <c r="P327" s="717"/>
      <c r="Q327" s="24">
        <f t="shared" si="60"/>
        <v>0.04</v>
      </c>
      <c r="R327" s="713">
        <f t="shared" si="61"/>
        <v>0</v>
      </c>
      <c r="S327" s="361">
        <f t="shared" si="63"/>
        <v>0</v>
      </c>
    </row>
    <row r="328" spans="1:19">
      <c r="A328" s="159"/>
      <c r="B328" s="59"/>
      <c r="C328" s="24">
        <f t="shared" si="53"/>
        <v>1</v>
      </c>
      <c r="D328" s="717"/>
      <c r="E328" s="24">
        <f t="shared" si="54"/>
        <v>0</v>
      </c>
      <c r="F328" s="717"/>
      <c r="G328" s="24">
        <f t="shared" si="55"/>
        <v>1</v>
      </c>
      <c r="H328" s="717"/>
      <c r="I328" s="24">
        <f t="shared" si="56"/>
        <v>1</v>
      </c>
      <c r="J328" s="717"/>
      <c r="K328" s="24">
        <f t="shared" si="57"/>
        <v>1</v>
      </c>
      <c r="L328" s="717"/>
      <c r="M328" s="24">
        <f t="shared" si="58"/>
        <v>1</v>
      </c>
      <c r="N328" s="717"/>
      <c r="O328" s="24">
        <f t="shared" si="59"/>
        <v>1</v>
      </c>
      <c r="P328" s="717"/>
      <c r="Q328" s="24">
        <f t="shared" si="60"/>
        <v>0.04</v>
      </c>
      <c r="R328" s="713">
        <f t="shared" si="61"/>
        <v>0</v>
      </c>
      <c r="S328" s="361">
        <f t="shared" si="63"/>
        <v>0</v>
      </c>
    </row>
    <row r="329" spans="1:19">
      <c r="A329" s="159"/>
      <c r="B329" s="59"/>
      <c r="C329" s="24">
        <f t="shared" si="53"/>
        <v>1</v>
      </c>
      <c r="D329" s="717"/>
      <c r="E329" s="24">
        <f t="shared" si="54"/>
        <v>0</v>
      </c>
      <c r="F329" s="717"/>
      <c r="G329" s="24">
        <f t="shared" si="55"/>
        <v>1</v>
      </c>
      <c r="H329" s="717"/>
      <c r="I329" s="24">
        <f t="shared" si="56"/>
        <v>1</v>
      </c>
      <c r="J329" s="717"/>
      <c r="K329" s="24">
        <f t="shared" si="57"/>
        <v>1</v>
      </c>
      <c r="L329" s="717"/>
      <c r="M329" s="24">
        <f t="shared" si="58"/>
        <v>1</v>
      </c>
      <c r="N329" s="717"/>
      <c r="O329" s="24">
        <f t="shared" si="59"/>
        <v>1</v>
      </c>
      <c r="P329" s="717"/>
      <c r="Q329" s="24">
        <f t="shared" si="60"/>
        <v>0.04</v>
      </c>
      <c r="R329" s="713">
        <f t="shared" si="61"/>
        <v>0</v>
      </c>
      <c r="S329" s="361">
        <f t="shared" si="63"/>
        <v>0</v>
      </c>
    </row>
    <row r="330" spans="1:19">
      <c r="A330" s="159"/>
      <c r="B330" s="59"/>
      <c r="C330" s="24">
        <f t="shared" si="53"/>
        <v>1</v>
      </c>
      <c r="D330" s="717"/>
      <c r="E330" s="24">
        <f t="shared" si="54"/>
        <v>0</v>
      </c>
      <c r="F330" s="717"/>
      <c r="G330" s="24">
        <f t="shared" si="55"/>
        <v>1</v>
      </c>
      <c r="H330" s="717"/>
      <c r="I330" s="24">
        <f t="shared" si="56"/>
        <v>1</v>
      </c>
      <c r="J330" s="717"/>
      <c r="K330" s="24">
        <f t="shared" si="57"/>
        <v>1</v>
      </c>
      <c r="L330" s="717"/>
      <c r="M330" s="24">
        <f t="shared" si="58"/>
        <v>1</v>
      </c>
      <c r="N330" s="717"/>
      <c r="O330" s="24">
        <f t="shared" si="59"/>
        <v>1</v>
      </c>
      <c r="P330" s="717"/>
      <c r="Q330" s="24">
        <f t="shared" si="60"/>
        <v>0.04</v>
      </c>
      <c r="R330" s="713">
        <f t="shared" si="61"/>
        <v>0</v>
      </c>
      <c r="S330" s="361">
        <f t="shared" si="63"/>
        <v>0</v>
      </c>
    </row>
    <row r="331" spans="1:19">
      <c r="A331" s="159"/>
      <c r="B331" s="59"/>
      <c r="C331" s="24">
        <f t="shared" si="53"/>
        <v>1</v>
      </c>
      <c r="D331" s="717"/>
      <c r="E331" s="24">
        <f t="shared" si="54"/>
        <v>0</v>
      </c>
      <c r="F331" s="717"/>
      <c r="G331" s="24">
        <f t="shared" si="55"/>
        <v>1</v>
      </c>
      <c r="H331" s="717"/>
      <c r="I331" s="24">
        <f t="shared" si="56"/>
        <v>1</v>
      </c>
      <c r="J331" s="717"/>
      <c r="K331" s="24">
        <f t="shared" si="57"/>
        <v>1</v>
      </c>
      <c r="L331" s="717"/>
      <c r="M331" s="24">
        <f t="shared" si="58"/>
        <v>1</v>
      </c>
      <c r="N331" s="717"/>
      <c r="O331" s="24">
        <f t="shared" si="59"/>
        <v>1</v>
      </c>
      <c r="P331" s="717"/>
      <c r="Q331" s="24">
        <f t="shared" si="60"/>
        <v>0.04</v>
      </c>
      <c r="R331" s="713">
        <f t="shared" si="61"/>
        <v>0</v>
      </c>
      <c r="S331" s="361">
        <f t="shared" si="63"/>
        <v>0</v>
      </c>
    </row>
    <row r="332" spans="1:19">
      <c r="A332" s="159"/>
      <c r="B332" s="59"/>
      <c r="C332" s="24">
        <f t="shared" si="53"/>
        <v>1</v>
      </c>
      <c r="D332" s="717"/>
      <c r="E332" s="24">
        <f t="shared" si="54"/>
        <v>0</v>
      </c>
      <c r="F332" s="717"/>
      <c r="G332" s="24">
        <f t="shared" si="55"/>
        <v>1</v>
      </c>
      <c r="H332" s="717"/>
      <c r="I332" s="24">
        <f t="shared" si="56"/>
        <v>1</v>
      </c>
      <c r="J332" s="717"/>
      <c r="K332" s="24">
        <f t="shared" si="57"/>
        <v>1</v>
      </c>
      <c r="L332" s="717"/>
      <c r="M332" s="24">
        <f t="shared" si="58"/>
        <v>1</v>
      </c>
      <c r="N332" s="717"/>
      <c r="O332" s="24">
        <f t="shared" si="59"/>
        <v>1</v>
      </c>
      <c r="P332" s="717"/>
      <c r="Q332" s="24">
        <f t="shared" si="60"/>
        <v>0.04</v>
      </c>
      <c r="R332" s="713">
        <f t="shared" si="61"/>
        <v>0</v>
      </c>
      <c r="S332" s="361">
        <f t="shared" si="63"/>
        <v>0</v>
      </c>
    </row>
    <row r="333" spans="1:19">
      <c r="A333" s="159"/>
      <c r="B333" s="59"/>
      <c r="C333" s="24">
        <f t="shared" si="53"/>
        <v>1</v>
      </c>
      <c r="D333" s="717"/>
      <c r="E333" s="24">
        <f t="shared" si="54"/>
        <v>0</v>
      </c>
      <c r="F333" s="717"/>
      <c r="G333" s="24">
        <f t="shared" si="55"/>
        <v>1</v>
      </c>
      <c r="H333" s="717"/>
      <c r="I333" s="24">
        <f t="shared" si="56"/>
        <v>1</v>
      </c>
      <c r="J333" s="717"/>
      <c r="K333" s="24">
        <f t="shared" si="57"/>
        <v>1</v>
      </c>
      <c r="L333" s="717"/>
      <c r="M333" s="24">
        <f t="shared" si="58"/>
        <v>1</v>
      </c>
      <c r="N333" s="717"/>
      <c r="O333" s="24">
        <f t="shared" si="59"/>
        <v>1</v>
      </c>
      <c r="P333" s="717"/>
      <c r="Q333" s="24">
        <f t="shared" si="60"/>
        <v>0.04</v>
      </c>
      <c r="R333" s="713">
        <f t="shared" si="61"/>
        <v>0</v>
      </c>
      <c r="S333" s="361">
        <f t="shared" si="63"/>
        <v>0</v>
      </c>
    </row>
    <row r="334" spans="1:19">
      <c r="A334" s="159"/>
      <c r="B334" s="59"/>
      <c r="C334" s="24">
        <f t="shared" si="53"/>
        <v>1</v>
      </c>
      <c r="D334" s="717"/>
      <c r="E334" s="24">
        <f t="shared" si="54"/>
        <v>0</v>
      </c>
      <c r="F334" s="717"/>
      <c r="G334" s="24">
        <f t="shared" si="55"/>
        <v>1</v>
      </c>
      <c r="H334" s="717"/>
      <c r="I334" s="24">
        <f t="shared" si="56"/>
        <v>1</v>
      </c>
      <c r="J334" s="717"/>
      <c r="K334" s="24">
        <f t="shared" si="57"/>
        <v>1</v>
      </c>
      <c r="L334" s="717"/>
      <c r="M334" s="24">
        <f t="shared" si="58"/>
        <v>1</v>
      </c>
      <c r="N334" s="717"/>
      <c r="O334" s="24">
        <f t="shared" si="59"/>
        <v>1</v>
      </c>
      <c r="P334" s="717"/>
      <c r="Q334" s="24">
        <f t="shared" si="60"/>
        <v>0.04</v>
      </c>
      <c r="R334" s="713">
        <f t="shared" si="61"/>
        <v>0</v>
      </c>
      <c r="S334" s="361">
        <f t="shared" si="63"/>
        <v>0</v>
      </c>
    </row>
    <row r="335" spans="1:19">
      <c r="A335" s="159"/>
      <c r="B335" s="59"/>
      <c r="C335" s="24">
        <f t="shared" si="53"/>
        <v>1</v>
      </c>
      <c r="D335" s="717"/>
      <c r="E335" s="24">
        <f t="shared" si="54"/>
        <v>0</v>
      </c>
      <c r="F335" s="717"/>
      <c r="G335" s="24">
        <f t="shared" si="55"/>
        <v>1</v>
      </c>
      <c r="H335" s="717"/>
      <c r="I335" s="24">
        <f t="shared" si="56"/>
        <v>1</v>
      </c>
      <c r="J335" s="717"/>
      <c r="K335" s="24">
        <f t="shared" si="57"/>
        <v>1</v>
      </c>
      <c r="L335" s="717"/>
      <c r="M335" s="24">
        <f t="shared" si="58"/>
        <v>1</v>
      </c>
      <c r="N335" s="717"/>
      <c r="O335" s="24">
        <f t="shared" si="59"/>
        <v>1</v>
      </c>
      <c r="P335" s="717"/>
      <c r="Q335" s="24">
        <f t="shared" si="60"/>
        <v>0.04</v>
      </c>
      <c r="R335" s="713">
        <f t="shared" si="61"/>
        <v>0</v>
      </c>
      <c r="S335" s="361">
        <f t="shared" si="63"/>
        <v>0</v>
      </c>
    </row>
    <row r="336" spans="1:19">
      <c r="A336" s="159"/>
      <c r="B336" s="59"/>
      <c r="C336" s="24">
        <f t="shared" si="53"/>
        <v>1</v>
      </c>
      <c r="D336" s="717"/>
      <c r="E336" s="24">
        <f t="shared" si="54"/>
        <v>0</v>
      </c>
      <c r="F336" s="717"/>
      <c r="G336" s="24">
        <f t="shared" si="55"/>
        <v>1</v>
      </c>
      <c r="H336" s="717"/>
      <c r="I336" s="24">
        <f t="shared" si="56"/>
        <v>1</v>
      </c>
      <c r="J336" s="717"/>
      <c r="K336" s="24">
        <f t="shared" si="57"/>
        <v>1</v>
      </c>
      <c r="L336" s="717"/>
      <c r="M336" s="24">
        <f t="shared" si="58"/>
        <v>1</v>
      </c>
      <c r="N336" s="717"/>
      <c r="O336" s="24">
        <f t="shared" si="59"/>
        <v>1</v>
      </c>
      <c r="P336" s="717"/>
      <c r="Q336" s="24">
        <f t="shared" si="60"/>
        <v>0.04</v>
      </c>
      <c r="R336" s="713">
        <f t="shared" si="61"/>
        <v>0</v>
      </c>
      <c r="S336" s="361">
        <f t="shared" si="63"/>
        <v>0</v>
      </c>
    </row>
    <row r="337" spans="1:19">
      <c r="A337" s="159"/>
      <c r="B337" s="59"/>
      <c r="C337" s="24">
        <f t="shared" si="53"/>
        <v>1</v>
      </c>
      <c r="D337" s="717"/>
      <c r="E337" s="24">
        <f t="shared" si="54"/>
        <v>0</v>
      </c>
      <c r="F337" s="717"/>
      <c r="G337" s="24">
        <f t="shared" si="55"/>
        <v>1</v>
      </c>
      <c r="H337" s="717"/>
      <c r="I337" s="24">
        <f t="shared" si="56"/>
        <v>1</v>
      </c>
      <c r="J337" s="717"/>
      <c r="K337" s="24">
        <f t="shared" si="57"/>
        <v>1</v>
      </c>
      <c r="L337" s="717"/>
      <c r="M337" s="24">
        <f t="shared" si="58"/>
        <v>1</v>
      </c>
      <c r="N337" s="717"/>
      <c r="O337" s="24">
        <f t="shared" si="59"/>
        <v>1</v>
      </c>
      <c r="P337" s="717"/>
      <c r="Q337" s="24">
        <f t="shared" si="60"/>
        <v>0.04</v>
      </c>
      <c r="R337" s="713">
        <f t="shared" si="61"/>
        <v>0</v>
      </c>
      <c r="S337" s="361">
        <f t="shared" si="63"/>
        <v>0</v>
      </c>
    </row>
    <row r="338" spans="1:19">
      <c r="A338" s="159"/>
      <c r="B338" s="59"/>
      <c r="C338" s="24">
        <f t="shared" si="53"/>
        <v>1</v>
      </c>
      <c r="D338" s="717"/>
      <c r="E338" s="24">
        <f t="shared" si="54"/>
        <v>0</v>
      </c>
      <c r="F338" s="717"/>
      <c r="G338" s="24">
        <f t="shared" si="55"/>
        <v>1</v>
      </c>
      <c r="H338" s="717"/>
      <c r="I338" s="24">
        <f t="shared" si="56"/>
        <v>1</v>
      </c>
      <c r="J338" s="717"/>
      <c r="K338" s="24">
        <f t="shared" si="57"/>
        <v>1</v>
      </c>
      <c r="L338" s="717"/>
      <c r="M338" s="24">
        <f t="shared" si="58"/>
        <v>1</v>
      </c>
      <c r="N338" s="717"/>
      <c r="O338" s="24">
        <f t="shared" si="59"/>
        <v>1</v>
      </c>
      <c r="P338" s="717"/>
      <c r="Q338" s="24">
        <f t="shared" si="60"/>
        <v>0.04</v>
      </c>
      <c r="R338" s="713">
        <f t="shared" si="61"/>
        <v>0</v>
      </c>
      <c r="S338" s="361">
        <f t="shared" si="63"/>
        <v>0</v>
      </c>
    </row>
    <row r="339" spans="1:19">
      <c r="A339" s="159"/>
      <c r="B339" s="59"/>
      <c r="C339" s="24">
        <f t="shared" si="53"/>
        <v>1</v>
      </c>
      <c r="D339" s="717"/>
      <c r="E339" s="24">
        <f t="shared" si="54"/>
        <v>0</v>
      </c>
      <c r="F339" s="717"/>
      <c r="G339" s="24">
        <f t="shared" si="55"/>
        <v>1</v>
      </c>
      <c r="H339" s="717"/>
      <c r="I339" s="24">
        <f t="shared" si="56"/>
        <v>1</v>
      </c>
      <c r="J339" s="717"/>
      <c r="K339" s="24">
        <f t="shared" si="57"/>
        <v>1</v>
      </c>
      <c r="L339" s="717"/>
      <c r="M339" s="24">
        <f t="shared" si="58"/>
        <v>1</v>
      </c>
      <c r="N339" s="717"/>
      <c r="O339" s="24">
        <f t="shared" si="59"/>
        <v>1</v>
      </c>
      <c r="P339" s="717"/>
      <c r="Q339" s="24">
        <f t="shared" si="60"/>
        <v>0.04</v>
      </c>
      <c r="R339" s="713">
        <f t="shared" si="61"/>
        <v>0</v>
      </c>
      <c r="S339" s="361">
        <f t="shared" si="63"/>
        <v>0</v>
      </c>
    </row>
    <row r="340" spans="1:19">
      <c r="A340" s="159"/>
      <c r="B340" s="59"/>
      <c r="C340" s="24">
        <f t="shared" si="53"/>
        <v>1</v>
      </c>
      <c r="D340" s="717"/>
      <c r="E340" s="24">
        <f t="shared" si="54"/>
        <v>0</v>
      </c>
      <c r="F340" s="717"/>
      <c r="G340" s="24">
        <f t="shared" si="55"/>
        <v>1</v>
      </c>
      <c r="H340" s="717"/>
      <c r="I340" s="24">
        <f t="shared" si="56"/>
        <v>1</v>
      </c>
      <c r="J340" s="717"/>
      <c r="K340" s="24">
        <f t="shared" si="57"/>
        <v>1</v>
      </c>
      <c r="L340" s="717"/>
      <c r="M340" s="24">
        <f t="shared" si="58"/>
        <v>1</v>
      </c>
      <c r="N340" s="717"/>
      <c r="O340" s="24">
        <f t="shared" si="59"/>
        <v>1</v>
      </c>
      <c r="P340" s="717"/>
      <c r="Q340" s="24">
        <f t="shared" si="60"/>
        <v>0.04</v>
      </c>
      <c r="R340" s="713">
        <f t="shared" si="61"/>
        <v>0</v>
      </c>
      <c r="S340" s="361">
        <f t="shared" si="63"/>
        <v>0</v>
      </c>
    </row>
    <row r="341" spans="1:19">
      <c r="A341" s="159"/>
      <c r="B341" s="59"/>
      <c r="C341" s="24">
        <f t="shared" si="53"/>
        <v>1</v>
      </c>
      <c r="D341" s="717"/>
      <c r="E341" s="24">
        <f t="shared" si="54"/>
        <v>0</v>
      </c>
      <c r="F341" s="717"/>
      <c r="G341" s="24">
        <f t="shared" si="55"/>
        <v>1</v>
      </c>
      <c r="H341" s="717"/>
      <c r="I341" s="24">
        <f t="shared" si="56"/>
        <v>1</v>
      </c>
      <c r="J341" s="717"/>
      <c r="K341" s="24">
        <f t="shared" si="57"/>
        <v>1</v>
      </c>
      <c r="L341" s="717"/>
      <c r="M341" s="24">
        <f t="shared" si="58"/>
        <v>1</v>
      </c>
      <c r="N341" s="717"/>
      <c r="O341" s="24">
        <f t="shared" si="59"/>
        <v>1</v>
      </c>
      <c r="P341" s="717"/>
      <c r="Q341" s="24">
        <f t="shared" si="60"/>
        <v>0.04</v>
      </c>
      <c r="R341" s="713">
        <f t="shared" si="61"/>
        <v>0</v>
      </c>
      <c r="S341" s="361">
        <f t="shared" si="63"/>
        <v>0</v>
      </c>
    </row>
    <row r="342" spans="1:19">
      <c r="A342" s="159"/>
      <c r="B342" s="59"/>
      <c r="C342" s="24">
        <f t="shared" si="53"/>
        <v>1</v>
      </c>
      <c r="D342" s="717"/>
      <c r="E342" s="24">
        <f t="shared" si="54"/>
        <v>0</v>
      </c>
      <c r="F342" s="717"/>
      <c r="G342" s="24">
        <f t="shared" si="55"/>
        <v>1</v>
      </c>
      <c r="H342" s="717"/>
      <c r="I342" s="24">
        <f t="shared" si="56"/>
        <v>1</v>
      </c>
      <c r="J342" s="717"/>
      <c r="K342" s="24">
        <f t="shared" si="57"/>
        <v>1</v>
      </c>
      <c r="L342" s="717"/>
      <c r="M342" s="24">
        <f t="shared" si="58"/>
        <v>1</v>
      </c>
      <c r="N342" s="717"/>
      <c r="O342" s="24">
        <f t="shared" si="59"/>
        <v>1</v>
      </c>
      <c r="P342" s="717"/>
      <c r="Q342" s="24">
        <f t="shared" si="60"/>
        <v>0.04</v>
      </c>
      <c r="R342" s="713">
        <f t="shared" si="61"/>
        <v>0</v>
      </c>
      <c r="S342" s="361">
        <f t="shared" si="63"/>
        <v>0</v>
      </c>
    </row>
    <row r="343" spans="1:19">
      <c r="A343" s="159"/>
      <c r="B343" s="59"/>
      <c r="C343" s="24">
        <f t="shared" si="53"/>
        <v>1</v>
      </c>
      <c r="D343" s="717"/>
      <c r="E343" s="24">
        <f t="shared" si="54"/>
        <v>0</v>
      </c>
      <c r="F343" s="717"/>
      <c r="G343" s="24">
        <f t="shared" si="55"/>
        <v>1</v>
      </c>
      <c r="H343" s="717"/>
      <c r="I343" s="24">
        <f t="shared" si="56"/>
        <v>1</v>
      </c>
      <c r="J343" s="717"/>
      <c r="K343" s="24">
        <f t="shared" si="57"/>
        <v>1</v>
      </c>
      <c r="L343" s="717"/>
      <c r="M343" s="24">
        <f t="shared" si="58"/>
        <v>1</v>
      </c>
      <c r="N343" s="717"/>
      <c r="O343" s="24">
        <f t="shared" si="59"/>
        <v>1</v>
      </c>
      <c r="P343" s="717"/>
      <c r="Q343" s="24">
        <f t="shared" si="60"/>
        <v>0.04</v>
      </c>
      <c r="R343" s="713">
        <f t="shared" si="61"/>
        <v>0</v>
      </c>
      <c r="S343" s="361">
        <f t="shared" si="63"/>
        <v>0</v>
      </c>
    </row>
    <row r="344" spans="1:19">
      <c r="A344" s="159"/>
      <c r="B344" s="59"/>
      <c r="C344" s="24">
        <f t="shared" si="53"/>
        <v>1</v>
      </c>
      <c r="D344" s="717"/>
      <c r="E344" s="24">
        <f t="shared" si="54"/>
        <v>0</v>
      </c>
      <c r="F344" s="717"/>
      <c r="G344" s="24">
        <f t="shared" si="55"/>
        <v>1</v>
      </c>
      <c r="H344" s="717"/>
      <c r="I344" s="24">
        <f t="shared" si="56"/>
        <v>1</v>
      </c>
      <c r="J344" s="717"/>
      <c r="K344" s="24">
        <f t="shared" si="57"/>
        <v>1</v>
      </c>
      <c r="L344" s="717"/>
      <c r="M344" s="24">
        <f t="shared" si="58"/>
        <v>1</v>
      </c>
      <c r="N344" s="717"/>
      <c r="O344" s="24">
        <f t="shared" si="59"/>
        <v>1</v>
      </c>
      <c r="P344" s="717"/>
      <c r="Q344" s="24">
        <f t="shared" si="60"/>
        <v>0.04</v>
      </c>
      <c r="R344" s="713">
        <f t="shared" si="61"/>
        <v>0</v>
      </c>
      <c r="S344" s="361">
        <f t="shared" si="63"/>
        <v>0</v>
      </c>
    </row>
    <row r="345" spans="1:19">
      <c r="A345" s="159"/>
      <c r="B345" s="59"/>
      <c r="C345" s="24">
        <f t="shared" si="53"/>
        <v>1</v>
      </c>
      <c r="D345" s="717"/>
      <c r="E345" s="24">
        <f t="shared" si="54"/>
        <v>0</v>
      </c>
      <c r="F345" s="717"/>
      <c r="G345" s="24">
        <f t="shared" si="55"/>
        <v>1</v>
      </c>
      <c r="H345" s="717"/>
      <c r="I345" s="24">
        <f t="shared" si="56"/>
        <v>1</v>
      </c>
      <c r="J345" s="717"/>
      <c r="K345" s="24">
        <f t="shared" si="57"/>
        <v>1</v>
      </c>
      <c r="L345" s="717"/>
      <c r="M345" s="24">
        <f t="shared" si="58"/>
        <v>1</v>
      </c>
      <c r="N345" s="717"/>
      <c r="O345" s="24">
        <f t="shared" si="59"/>
        <v>1</v>
      </c>
      <c r="P345" s="717"/>
      <c r="Q345" s="24">
        <f t="shared" si="60"/>
        <v>0.04</v>
      </c>
      <c r="R345" s="713">
        <f t="shared" si="61"/>
        <v>0</v>
      </c>
      <c r="S345" s="361">
        <f t="shared" si="63"/>
        <v>0</v>
      </c>
    </row>
    <row r="346" spans="1:19">
      <c r="A346" s="159"/>
      <c r="B346" s="59"/>
      <c r="C346" s="24">
        <f t="shared" ref="C346:C409" si="64">IF(B346="",1,(LOOKUP(B346,$3:$3,$4:$4)-LOOKUP($B$24,$3:$3,$4:$4)+100)/100)</f>
        <v>1</v>
      </c>
      <c r="D346" s="717"/>
      <c r="E346" s="24">
        <f t="shared" ref="E346:E409" si="65">(SUMIF($5:$5,D346,$6:$6)-SUMIF($5:$5,$D$24,$6:$6)+100)/100</f>
        <v>0</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0.04</v>
      </c>
      <c r="R346" s="713">
        <f t="shared" ref="R346:R409" si="72">IF(B346="",0,ROUND($R$24*C346*E346*G346*I346*K346*M346*O346*Q346,0))</f>
        <v>0</v>
      </c>
      <c r="S346" s="361">
        <f t="shared" si="63"/>
        <v>0</v>
      </c>
    </row>
    <row r="347" spans="1:19">
      <c r="A347" s="159"/>
      <c r="B347" s="59"/>
      <c r="C347" s="24">
        <f t="shared" si="64"/>
        <v>1</v>
      </c>
      <c r="D347" s="717"/>
      <c r="E347" s="24">
        <f t="shared" si="65"/>
        <v>0</v>
      </c>
      <c r="F347" s="717"/>
      <c r="G347" s="24">
        <f t="shared" si="66"/>
        <v>1</v>
      </c>
      <c r="H347" s="717"/>
      <c r="I347" s="24">
        <f t="shared" si="67"/>
        <v>1</v>
      </c>
      <c r="J347" s="717"/>
      <c r="K347" s="24">
        <f t="shared" si="68"/>
        <v>1</v>
      </c>
      <c r="L347" s="717"/>
      <c r="M347" s="24">
        <f t="shared" si="69"/>
        <v>1</v>
      </c>
      <c r="N347" s="717"/>
      <c r="O347" s="24">
        <f t="shared" si="70"/>
        <v>1</v>
      </c>
      <c r="P347" s="717"/>
      <c r="Q347" s="24">
        <f t="shared" si="71"/>
        <v>0.04</v>
      </c>
      <c r="R347" s="713">
        <f t="shared" si="72"/>
        <v>0</v>
      </c>
      <c r="S347" s="361">
        <f t="shared" si="63"/>
        <v>0</v>
      </c>
    </row>
    <row r="348" spans="1:19">
      <c r="A348" s="159"/>
      <c r="B348" s="59"/>
      <c r="C348" s="24">
        <f t="shared" si="64"/>
        <v>1</v>
      </c>
      <c r="D348" s="717"/>
      <c r="E348" s="24">
        <f t="shared" si="65"/>
        <v>0</v>
      </c>
      <c r="F348" s="717"/>
      <c r="G348" s="24">
        <f t="shared" si="66"/>
        <v>1</v>
      </c>
      <c r="H348" s="717"/>
      <c r="I348" s="24">
        <f t="shared" si="67"/>
        <v>1</v>
      </c>
      <c r="J348" s="717"/>
      <c r="K348" s="24">
        <f t="shared" si="68"/>
        <v>1</v>
      </c>
      <c r="L348" s="717"/>
      <c r="M348" s="24">
        <f t="shared" si="69"/>
        <v>1</v>
      </c>
      <c r="N348" s="717"/>
      <c r="O348" s="24">
        <f t="shared" si="70"/>
        <v>1</v>
      </c>
      <c r="P348" s="717"/>
      <c r="Q348" s="24">
        <f t="shared" si="71"/>
        <v>0.04</v>
      </c>
      <c r="R348" s="713">
        <f t="shared" si="72"/>
        <v>0</v>
      </c>
      <c r="S348" s="361">
        <f t="shared" si="63"/>
        <v>0</v>
      </c>
    </row>
    <row r="349" spans="1:19">
      <c r="A349" s="159"/>
      <c r="B349" s="59"/>
      <c r="C349" s="24">
        <f t="shared" si="64"/>
        <v>1</v>
      </c>
      <c r="D349" s="717"/>
      <c r="E349" s="24">
        <f t="shared" si="65"/>
        <v>0</v>
      </c>
      <c r="F349" s="717"/>
      <c r="G349" s="24">
        <f t="shared" si="66"/>
        <v>1</v>
      </c>
      <c r="H349" s="717"/>
      <c r="I349" s="24">
        <f t="shared" si="67"/>
        <v>1</v>
      </c>
      <c r="J349" s="717"/>
      <c r="K349" s="24">
        <f t="shared" si="68"/>
        <v>1</v>
      </c>
      <c r="L349" s="717"/>
      <c r="M349" s="24">
        <f t="shared" si="69"/>
        <v>1</v>
      </c>
      <c r="N349" s="717"/>
      <c r="O349" s="24">
        <f t="shared" si="70"/>
        <v>1</v>
      </c>
      <c r="P349" s="717"/>
      <c r="Q349" s="24">
        <f t="shared" si="71"/>
        <v>0.04</v>
      </c>
      <c r="R349" s="713">
        <f t="shared" si="72"/>
        <v>0</v>
      </c>
      <c r="S349" s="361">
        <f t="shared" si="63"/>
        <v>0</v>
      </c>
    </row>
    <row r="350" spans="1:19">
      <c r="A350" s="159"/>
      <c r="B350" s="59"/>
      <c r="C350" s="24">
        <f t="shared" si="64"/>
        <v>1</v>
      </c>
      <c r="D350" s="717"/>
      <c r="E350" s="24">
        <f t="shared" si="65"/>
        <v>0</v>
      </c>
      <c r="F350" s="717"/>
      <c r="G350" s="24">
        <f t="shared" si="66"/>
        <v>1</v>
      </c>
      <c r="H350" s="717"/>
      <c r="I350" s="24">
        <f t="shared" si="67"/>
        <v>1</v>
      </c>
      <c r="J350" s="717"/>
      <c r="K350" s="24">
        <f t="shared" si="68"/>
        <v>1</v>
      </c>
      <c r="L350" s="717"/>
      <c r="M350" s="24">
        <f t="shared" si="69"/>
        <v>1</v>
      </c>
      <c r="N350" s="717"/>
      <c r="O350" s="24">
        <f t="shared" si="70"/>
        <v>1</v>
      </c>
      <c r="P350" s="717"/>
      <c r="Q350" s="24">
        <f t="shared" si="71"/>
        <v>0.04</v>
      </c>
      <c r="R350" s="713">
        <f t="shared" si="72"/>
        <v>0</v>
      </c>
      <c r="S350" s="361">
        <f t="shared" si="63"/>
        <v>0</v>
      </c>
    </row>
    <row r="351" spans="1:19">
      <c r="A351" s="159"/>
      <c r="B351" s="59"/>
      <c r="C351" s="24">
        <f t="shared" si="64"/>
        <v>1</v>
      </c>
      <c r="D351" s="717"/>
      <c r="E351" s="24">
        <f t="shared" si="65"/>
        <v>0</v>
      </c>
      <c r="F351" s="717"/>
      <c r="G351" s="24">
        <f t="shared" si="66"/>
        <v>1</v>
      </c>
      <c r="H351" s="717"/>
      <c r="I351" s="24">
        <f t="shared" si="67"/>
        <v>1</v>
      </c>
      <c r="J351" s="717"/>
      <c r="K351" s="24">
        <f t="shared" si="68"/>
        <v>1</v>
      </c>
      <c r="L351" s="717"/>
      <c r="M351" s="24">
        <f t="shared" si="69"/>
        <v>1</v>
      </c>
      <c r="N351" s="717"/>
      <c r="O351" s="24">
        <f t="shared" si="70"/>
        <v>1</v>
      </c>
      <c r="P351" s="717"/>
      <c r="Q351" s="24">
        <f t="shared" si="71"/>
        <v>0.04</v>
      </c>
      <c r="R351" s="713">
        <f t="shared" si="72"/>
        <v>0</v>
      </c>
      <c r="S351" s="361">
        <f t="shared" si="63"/>
        <v>0</v>
      </c>
    </row>
    <row r="352" spans="1:19">
      <c r="A352" s="159"/>
      <c r="B352" s="59"/>
      <c r="C352" s="24">
        <f t="shared" si="64"/>
        <v>1</v>
      </c>
      <c r="D352" s="717"/>
      <c r="E352" s="24">
        <f t="shared" si="65"/>
        <v>0</v>
      </c>
      <c r="F352" s="717"/>
      <c r="G352" s="24">
        <f t="shared" si="66"/>
        <v>1</v>
      </c>
      <c r="H352" s="717"/>
      <c r="I352" s="24">
        <f t="shared" si="67"/>
        <v>1</v>
      </c>
      <c r="J352" s="717"/>
      <c r="K352" s="24">
        <f t="shared" si="68"/>
        <v>1</v>
      </c>
      <c r="L352" s="717"/>
      <c r="M352" s="24">
        <f t="shared" si="69"/>
        <v>1</v>
      </c>
      <c r="N352" s="717"/>
      <c r="O352" s="24">
        <f t="shared" si="70"/>
        <v>1</v>
      </c>
      <c r="P352" s="717"/>
      <c r="Q352" s="24">
        <f t="shared" si="71"/>
        <v>0.04</v>
      </c>
      <c r="R352" s="713">
        <f t="shared" si="72"/>
        <v>0</v>
      </c>
      <c r="S352" s="361">
        <f t="shared" si="63"/>
        <v>0</v>
      </c>
    </row>
    <row r="353" spans="1:19">
      <c r="A353" s="159"/>
      <c r="B353" s="59"/>
      <c r="C353" s="24">
        <f t="shared" si="64"/>
        <v>1</v>
      </c>
      <c r="D353" s="717"/>
      <c r="E353" s="24">
        <f t="shared" si="65"/>
        <v>0</v>
      </c>
      <c r="F353" s="717"/>
      <c r="G353" s="24">
        <f t="shared" si="66"/>
        <v>1</v>
      </c>
      <c r="H353" s="717"/>
      <c r="I353" s="24">
        <f t="shared" si="67"/>
        <v>1</v>
      </c>
      <c r="J353" s="717"/>
      <c r="K353" s="24">
        <f t="shared" si="68"/>
        <v>1</v>
      </c>
      <c r="L353" s="717"/>
      <c r="M353" s="24">
        <f t="shared" si="69"/>
        <v>1</v>
      </c>
      <c r="N353" s="717"/>
      <c r="O353" s="24">
        <f t="shared" si="70"/>
        <v>1</v>
      </c>
      <c r="P353" s="717"/>
      <c r="Q353" s="24">
        <f t="shared" si="71"/>
        <v>0.04</v>
      </c>
      <c r="R353" s="713">
        <f t="shared" si="72"/>
        <v>0</v>
      </c>
      <c r="S353" s="361">
        <f t="shared" si="63"/>
        <v>0</v>
      </c>
    </row>
    <row r="354" spans="1:19">
      <c r="A354" s="159"/>
      <c r="B354" s="59"/>
      <c r="C354" s="24">
        <f t="shared" si="64"/>
        <v>1</v>
      </c>
      <c r="D354" s="717"/>
      <c r="E354" s="24">
        <f t="shared" si="65"/>
        <v>0</v>
      </c>
      <c r="F354" s="717"/>
      <c r="G354" s="24">
        <f t="shared" si="66"/>
        <v>1</v>
      </c>
      <c r="H354" s="717"/>
      <c r="I354" s="24">
        <f t="shared" si="67"/>
        <v>1</v>
      </c>
      <c r="J354" s="717"/>
      <c r="K354" s="24">
        <f t="shared" si="68"/>
        <v>1</v>
      </c>
      <c r="L354" s="717"/>
      <c r="M354" s="24">
        <f t="shared" si="69"/>
        <v>1</v>
      </c>
      <c r="N354" s="717"/>
      <c r="O354" s="24">
        <f t="shared" si="70"/>
        <v>1</v>
      </c>
      <c r="P354" s="717"/>
      <c r="Q354" s="24">
        <f t="shared" si="71"/>
        <v>0.04</v>
      </c>
      <c r="R354" s="713">
        <f t="shared" si="72"/>
        <v>0</v>
      </c>
      <c r="S354" s="361">
        <f t="shared" si="63"/>
        <v>0</v>
      </c>
    </row>
    <row r="355" spans="1:19">
      <c r="A355" s="159"/>
      <c r="B355" s="59"/>
      <c r="C355" s="24">
        <f t="shared" si="64"/>
        <v>1</v>
      </c>
      <c r="D355" s="717"/>
      <c r="E355" s="24">
        <f t="shared" si="65"/>
        <v>0</v>
      </c>
      <c r="F355" s="717"/>
      <c r="G355" s="24">
        <f t="shared" si="66"/>
        <v>1</v>
      </c>
      <c r="H355" s="717"/>
      <c r="I355" s="24">
        <f t="shared" si="67"/>
        <v>1</v>
      </c>
      <c r="J355" s="717"/>
      <c r="K355" s="24">
        <f t="shared" si="68"/>
        <v>1</v>
      </c>
      <c r="L355" s="717"/>
      <c r="M355" s="24">
        <f t="shared" si="69"/>
        <v>1</v>
      </c>
      <c r="N355" s="717"/>
      <c r="O355" s="24">
        <f t="shared" si="70"/>
        <v>1</v>
      </c>
      <c r="P355" s="717"/>
      <c r="Q355" s="24">
        <f t="shared" si="71"/>
        <v>0.04</v>
      </c>
      <c r="R355" s="713">
        <f t="shared" si="72"/>
        <v>0</v>
      </c>
      <c r="S355" s="361">
        <f t="shared" si="63"/>
        <v>0</v>
      </c>
    </row>
    <row r="356" spans="1:19">
      <c r="A356" s="159"/>
      <c r="B356" s="59"/>
      <c r="C356" s="24">
        <f t="shared" si="64"/>
        <v>1</v>
      </c>
      <c r="D356" s="717"/>
      <c r="E356" s="24">
        <f t="shared" si="65"/>
        <v>0</v>
      </c>
      <c r="F356" s="717"/>
      <c r="G356" s="24">
        <f t="shared" si="66"/>
        <v>1</v>
      </c>
      <c r="H356" s="717"/>
      <c r="I356" s="24">
        <f t="shared" si="67"/>
        <v>1</v>
      </c>
      <c r="J356" s="717"/>
      <c r="K356" s="24">
        <f t="shared" si="68"/>
        <v>1</v>
      </c>
      <c r="L356" s="717"/>
      <c r="M356" s="24">
        <f t="shared" si="69"/>
        <v>1</v>
      </c>
      <c r="N356" s="717"/>
      <c r="O356" s="24">
        <f t="shared" si="70"/>
        <v>1</v>
      </c>
      <c r="P356" s="717"/>
      <c r="Q356" s="24">
        <f t="shared" si="71"/>
        <v>0.04</v>
      </c>
      <c r="R356" s="713">
        <f t="shared" si="72"/>
        <v>0</v>
      </c>
      <c r="S356" s="361">
        <f t="shared" si="63"/>
        <v>0</v>
      </c>
    </row>
    <row r="357" spans="1:19">
      <c r="A357" s="159"/>
      <c r="B357" s="59"/>
      <c r="C357" s="24">
        <f t="shared" si="64"/>
        <v>1</v>
      </c>
      <c r="D357" s="717"/>
      <c r="E357" s="24">
        <f t="shared" si="65"/>
        <v>0</v>
      </c>
      <c r="F357" s="717"/>
      <c r="G357" s="24">
        <f t="shared" si="66"/>
        <v>1</v>
      </c>
      <c r="H357" s="717"/>
      <c r="I357" s="24">
        <f t="shared" si="67"/>
        <v>1</v>
      </c>
      <c r="J357" s="717"/>
      <c r="K357" s="24">
        <f t="shared" si="68"/>
        <v>1</v>
      </c>
      <c r="L357" s="717"/>
      <c r="M357" s="24">
        <f t="shared" si="69"/>
        <v>1</v>
      </c>
      <c r="N357" s="717"/>
      <c r="O357" s="24">
        <f t="shared" si="70"/>
        <v>1</v>
      </c>
      <c r="P357" s="717"/>
      <c r="Q357" s="24">
        <f t="shared" si="71"/>
        <v>0.04</v>
      </c>
      <c r="R357" s="713">
        <f t="shared" si="72"/>
        <v>0</v>
      </c>
      <c r="S357" s="361">
        <f t="shared" si="63"/>
        <v>0</v>
      </c>
    </row>
    <row r="358" spans="1:19">
      <c r="A358" s="159"/>
      <c r="B358" s="59"/>
      <c r="C358" s="24">
        <f t="shared" si="64"/>
        <v>1</v>
      </c>
      <c r="D358" s="717"/>
      <c r="E358" s="24">
        <f t="shared" si="65"/>
        <v>0</v>
      </c>
      <c r="F358" s="717"/>
      <c r="G358" s="24">
        <f t="shared" si="66"/>
        <v>1</v>
      </c>
      <c r="H358" s="717"/>
      <c r="I358" s="24">
        <f t="shared" si="67"/>
        <v>1</v>
      </c>
      <c r="J358" s="717"/>
      <c r="K358" s="24">
        <f t="shared" si="68"/>
        <v>1</v>
      </c>
      <c r="L358" s="717"/>
      <c r="M358" s="24">
        <f t="shared" si="69"/>
        <v>1</v>
      </c>
      <c r="N358" s="717"/>
      <c r="O358" s="24">
        <f t="shared" si="70"/>
        <v>1</v>
      </c>
      <c r="P358" s="717"/>
      <c r="Q358" s="24">
        <f t="shared" si="71"/>
        <v>0.04</v>
      </c>
      <c r="R358" s="713">
        <f t="shared" si="72"/>
        <v>0</v>
      </c>
      <c r="S358" s="361">
        <f t="shared" si="63"/>
        <v>0</v>
      </c>
    </row>
    <row r="359" spans="1:19">
      <c r="A359" s="159"/>
      <c r="B359" s="59"/>
      <c r="C359" s="24">
        <f t="shared" si="64"/>
        <v>1</v>
      </c>
      <c r="D359" s="717"/>
      <c r="E359" s="24">
        <f t="shared" si="65"/>
        <v>0</v>
      </c>
      <c r="F359" s="717"/>
      <c r="G359" s="24">
        <f t="shared" si="66"/>
        <v>1</v>
      </c>
      <c r="H359" s="717"/>
      <c r="I359" s="24">
        <f t="shared" si="67"/>
        <v>1</v>
      </c>
      <c r="J359" s="717"/>
      <c r="K359" s="24">
        <f t="shared" si="68"/>
        <v>1</v>
      </c>
      <c r="L359" s="717"/>
      <c r="M359" s="24">
        <f t="shared" si="69"/>
        <v>1</v>
      </c>
      <c r="N359" s="717"/>
      <c r="O359" s="24">
        <f t="shared" si="70"/>
        <v>1</v>
      </c>
      <c r="P359" s="717"/>
      <c r="Q359" s="24">
        <f t="shared" si="71"/>
        <v>0.04</v>
      </c>
      <c r="R359" s="713">
        <f t="shared" si="72"/>
        <v>0</v>
      </c>
      <c r="S359" s="361">
        <f t="shared" si="63"/>
        <v>0</v>
      </c>
    </row>
    <row r="360" spans="1:19">
      <c r="A360" s="159"/>
      <c r="B360" s="59"/>
      <c r="C360" s="24">
        <f t="shared" si="64"/>
        <v>1</v>
      </c>
      <c r="D360" s="717"/>
      <c r="E360" s="24">
        <f t="shared" si="65"/>
        <v>0</v>
      </c>
      <c r="F360" s="717"/>
      <c r="G360" s="24">
        <f t="shared" si="66"/>
        <v>1</v>
      </c>
      <c r="H360" s="717"/>
      <c r="I360" s="24">
        <f t="shared" si="67"/>
        <v>1</v>
      </c>
      <c r="J360" s="717"/>
      <c r="K360" s="24">
        <f t="shared" si="68"/>
        <v>1</v>
      </c>
      <c r="L360" s="717"/>
      <c r="M360" s="24">
        <f t="shared" si="69"/>
        <v>1</v>
      </c>
      <c r="N360" s="717"/>
      <c r="O360" s="24">
        <f t="shared" si="70"/>
        <v>1</v>
      </c>
      <c r="P360" s="717"/>
      <c r="Q360" s="24">
        <f t="shared" si="71"/>
        <v>0.04</v>
      </c>
      <c r="R360" s="713">
        <f t="shared" si="72"/>
        <v>0</v>
      </c>
      <c r="S360" s="361">
        <f t="shared" si="63"/>
        <v>0</v>
      </c>
    </row>
    <row r="361" spans="1:19">
      <c r="A361" s="159"/>
      <c r="B361" s="59"/>
      <c r="C361" s="24">
        <f t="shared" si="64"/>
        <v>1</v>
      </c>
      <c r="D361" s="717"/>
      <c r="E361" s="24">
        <f t="shared" si="65"/>
        <v>0</v>
      </c>
      <c r="F361" s="717"/>
      <c r="G361" s="24">
        <f t="shared" si="66"/>
        <v>1</v>
      </c>
      <c r="H361" s="717"/>
      <c r="I361" s="24">
        <f t="shared" si="67"/>
        <v>1</v>
      </c>
      <c r="J361" s="717"/>
      <c r="K361" s="24">
        <f t="shared" si="68"/>
        <v>1</v>
      </c>
      <c r="L361" s="717"/>
      <c r="M361" s="24">
        <f t="shared" si="69"/>
        <v>1</v>
      </c>
      <c r="N361" s="717"/>
      <c r="O361" s="24">
        <f t="shared" si="70"/>
        <v>1</v>
      </c>
      <c r="P361" s="717"/>
      <c r="Q361" s="24">
        <f t="shared" si="71"/>
        <v>0.04</v>
      </c>
      <c r="R361" s="713">
        <f t="shared" si="72"/>
        <v>0</v>
      </c>
      <c r="S361" s="361">
        <f t="shared" si="63"/>
        <v>0</v>
      </c>
    </row>
    <row r="362" spans="1:19">
      <c r="A362" s="159"/>
      <c r="B362" s="59"/>
      <c r="C362" s="24">
        <f t="shared" si="64"/>
        <v>1</v>
      </c>
      <c r="D362" s="717"/>
      <c r="E362" s="24">
        <f t="shared" si="65"/>
        <v>0</v>
      </c>
      <c r="F362" s="717"/>
      <c r="G362" s="24">
        <f t="shared" si="66"/>
        <v>1</v>
      </c>
      <c r="H362" s="717"/>
      <c r="I362" s="24">
        <f t="shared" si="67"/>
        <v>1</v>
      </c>
      <c r="J362" s="717"/>
      <c r="K362" s="24">
        <f t="shared" si="68"/>
        <v>1</v>
      </c>
      <c r="L362" s="717"/>
      <c r="M362" s="24">
        <f t="shared" si="69"/>
        <v>1</v>
      </c>
      <c r="N362" s="717"/>
      <c r="O362" s="24">
        <f t="shared" si="70"/>
        <v>1</v>
      </c>
      <c r="P362" s="717"/>
      <c r="Q362" s="24">
        <f t="shared" si="71"/>
        <v>0.04</v>
      </c>
      <c r="R362" s="713">
        <f t="shared" si="72"/>
        <v>0</v>
      </c>
      <c r="S362" s="361">
        <f t="shared" si="63"/>
        <v>0</v>
      </c>
    </row>
    <row r="363" spans="1:19">
      <c r="A363" s="159"/>
      <c r="B363" s="59"/>
      <c r="C363" s="24">
        <f t="shared" si="64"/>
        <v>1</v>
      </c>
      <c r="D363" s="717"/>
      <c r="E363" s="24">
        <f t="shared" si="65"/>
        <v>0</v>
      </c>
      <c r="F363" s="717"/>
      <c r="G363" s="24">
        <f t="shared" si="66"/>
        <v>1</v>
      </c>
      <c r="H363" s="717"/>
      <c r="I363" s="24">
        <f t="shared" si="67"/>
        <v>1</v>
      </c>
      <c r="J363" s="717"/>
      <c r="K363" s="24">
        <f t="shared" si="68"/>
        <v>1</v>
      </c>
      <c r="L363" s="717"/>
      <c r="M363" s="24">
        <f t="shared" si="69"/>
        <v>1</v>
      </c>
      <c r="N363" s="717"/>
      <c r="O363" s="24">
        <f t="shared" si="70"/>
        <v>1</v>
      </c>
      <c r="P363" s="717"/>
      <c r="Q363" s="24">
        <f t="shared" si="71"/>
        <v>0.04</v>
      </c>
      <c r="R363" s="713">
        <f t="shared" si="72"/>
        <v>0</v>
      </c>
      <c r="S363" s="361">
        <f t="shared" si="63"/>
        <v>0</v>
      </c>
    </row>
    <row r="364" spans="1:19">
      <c r="A364" s="159"/>
      <c r="B364" s="59"/>
      <c r="C364" s="24">
        <f t="shared" si="64"/>
        <v>1</v>
      </c>
      <c r="D364" s="717"/>
      <c r="E364" s="24">
        <f t="shared" si="65"/>
        <v>0</v>
      </c>
      <c r="F364" s="717"/>
      <c r="G364" s="24">
        <f t="shared" si="66"/>
        <v>1</v>
      </c>
      <c r="H364" s="717"/>
      <c r="I364" s="24">
        <f t="shared" si="67"/>
        <v>1</v>
      </c>
      <c r="J364" s="717"/>
      <c r="K364" s="24">
        <f t="shared" si="68"/>
        <v>1</v>
      </c>
      <c r="L364" s="717"/>
      <c r="M364" s="24">
        <f t="shared" si="69"/>
        <v>1</v>
      </c>
      <c r="N364" s="717"/>
      <c r="O364" s="24">
        <f t="shared" si="70"/>
        <v>1</v>
      </c>
      <c r="P364" s="717"/>
      <c r="Q364" s="24">
        <f t="shared" si="71"/>
        <v>0.04</v>
      </c>
      <c r="R364" s="713">
        <f t="shared" si="72"/>
        <v>0</v>
      </c>
      <c r="S364" s="361">
        <f t="shared" si="63"/>
        <v>0</v>
      </c>
    </row>
    <row r="365" spans="1:19">
      <c r="A365" s="159"/>
      <c r="B365" s="59"/>
      <c r="C365" s="24">
        <f t="shared" si="64"/>
        <v>1</v>
      </c>
      <c r="D365" s="717"/>
      <c r="E365" s="24">
        <f t="shared" si="65"/>
        <v>0</v>
      </c>
      <c r="F365" s="717"/>
      <c r="G365" s="24">
        <f t="shared" si="66"/>
        <v>1</v>
      </c>
      <c r="H365" s="717"/>
      <c r="I365" s="24">
        <f t="shared" si="67"/>
        <v>1</v>
      </c>
      <c r="J365" s="717"/>
      <c r="K365" s="24">
        <f t="shared" si="68"/>
        <v>1</v>
      </c>
      <c r="L365" s="717"/>
      <c r="M365" s="24">
        <f t="shared" si="69"/>
        <v>1</v>
      </c>
      <c r="N365" s="717"/>
      <c r="O365" s="24">
        <f t="shared" si="70"/>
        <v>1</v>
      </c>
      <c r="P365" s="717"/>
      <c r="Q365" s="24">
        <f t="shared" si="71"/>
        <v>0.04</v>
      </c>
      <c r="R365" s="713">
        <f t="shared" si="72"/>
        <v>0</v>
      </c>
      <c r="S365" s="361">
        <f t="shared" si="63"/>
        <v>0</v>
      </c>
    </row>
    <row r="366" spans="1:19">
      <c r="A366" s="159"/>
      <c r="B366" s="59"/>
      <c r="C366" s="24">
        <f t="shared" si="64"/>
        <v>1</v>
      </c>
      <c r="D366" s="717"/>
      <c r="E366" s="24">
        <f t="shared" si="65"/>
        <v>0</v>
      </c>
      <c r="F366" s="717"/>
      <c r="G366" s="24">
        <f t="shared" si="66"/>
        <v>1</v>
      </c>
      <c r="H366" s="717"/>
      <c r="I366" s="24">
        <f t="shared" si="67"/>
        <v>1</v>
      </c>
      <c r="J366" s="717"/>
      <c r="K366" s="24">
        <f t="shared" si="68"/>
        <v>1</v>
      </c>
      <c r="L366" s="717"/>
      <c r="M366" s="24">
        <f t="shared" si="69"/>
        <v>1</v>
      </c>
      <c r="N366" s="717"/>
      <c r="O366" s="24">
        <f t="shared" si="70"/>
        <v>1</v>
      </c>
      <c r="P366" s="717"/>
      <c r="Q366" s="24">
        <f t="shared" si="71"/>
        <v>0.04</v>
      </c>
      <c r="R366" s="713">
        <f t="shared" si="72"/>
        <v>0</v>
      </c>
      <c r="S366" s="361">
        <f t="shared" si="63"/>
        <v>0</v>
      </c>
    </row>
    <row r="367" spans="1:19">
      <c r="A367" s="159"/>
      <c r="B367" s="59"/>
      <c r="C367" s="24">
        <f t="shared" si="64"/>
        <v>1</v>
      </c>
      <c r="D367" s="717"/>
      <c r="E367" s="24">
        <f t="shared" si="65"/>
        <v>0</v>
      </c>
      <c r="F367" s="717"/>
      <c r="G367" s="24">
        <f t="shared" si="66"/>
        <v>1</v>
      </c>
      <c r="H367" s="717"/>
      <c r="I367" s="24">
        <f t="shared" si="67"/>
        <v>1</v>
      </c>
      <c r="J367" s="717"/>
      <c r="K367" s="24">
        <f t="shared" si="68"/>
        <v>1</v>
      </c>
      <c r="L367" s="717"/>
      <c r="M367" s="24">
        <f t="shared" si="69"/>
        <v>1</v>
      </c>
      <c r="N367" s="717"/>
      <c r="O367" s="24">
        <f t="shared" si="70"/>
        <v>1</v>
      </c>
      <c r="P367" s="717"/>
      <c r="Q367" s="24">
        <f t="shared" si="71"/>
        <v>0.04</v>
      </c>
      <c r="R367" s="713">
        <f t="shared" si="72"/>
        <v>0</v>
      </c>
      <c r="S367" s="361">
        <f t="shared" si="63"/>
        <v>0</v>
      </c>
    </row>
    <row r="368" spans="1:19">
      <c r="A368" s="159"/>
      <c r="B368" s="59"/>
      <c r="C368" s="24">
        <f t="shared" si="64"/>
        <v>1</v>
      </c>
      <c r="D368" s="717"/>
      <c r="E368" s="24">
        <f t="shared" si="65"/>
        <v>0</v>
      </c>
      <c r="F368" s="717"/>
      <c r="G368" s="24">
        <f t="shared" si="66"/>
        <v>1</v>
      </c>
      <c r="H368" s="717"/>
      <c r="I368" s="24">
        <f t="shared" si="67"/>
        <v>1</v>
      </c>
      <c r="J368" s="717"/>
      <c r="K368" s="24">
        <f t="shared" si="68"/>
        <v>1</v>
      </c>
      <c r="L368" s="717"/>
      <c r="M368" s="24">
        <f t="shared" si="69"/>
        <v>1</v>
      </c>
      <c r="N368" s="717"/>
      <c r="O368" s="24">
        <f t="shared" si="70"/>
        <v>1</v>
      </c>
      <c r="P368" s="717"/>
      <c r="Q368" s="24">
        <f t="shared" si="71"/>
        <v>0.04</v>
      </c>
      <c r="R368" s="713">
        <f t="shared" si="72"/>
        <v>0</v>
      </c>
      <c r="S368" s="361">
        <f t="shared" si="63"/>
        <v>0</v>
      </c>
    </row>
    <row r="369" spans="1:19">
      <c r="A369" s="159"/>
      <c r="B369" s="59"/>
      <c r="C369" s="24">
        <f t="shared" si="64"/>
        <v>1</v>
      </c>
      <c r="D369" s="717"/>
      <c r="E369" s="24">
        <f t="shared" si="65"/>
        <v>0</v>
      </c>
      <c r="F369" s="717"/>
      <c r="G369" s="24">
        <f t="shared" si="66"/>
        <v>1</v>
      </c>
      <c r="H369" s="717"/>
      <c r="I369" s="24">
        <f t="shared" si="67"/>
        <v>1</v>
      </c>
      <c r="J369" s="717"/>
      <c r="K369" s="24">
        <f t="shared" si="68"/>
        <v>1</v>
      </c>
      <c r="L369" s="717"/>
      <c r="M369" s="24">
        <f t="shared" si="69"/>
        <v>1</v>
      </c>
      <c r="N369" s="717"/>
      <c r="O369" s="24">
        <f t="shared" si="70"/>
        <v>1</v>
      </c>
      <c r="P369" s="717"/>
      <c r="Q369" s="24">
        <f t="shared" si="71"/>
        <v>0.04</v>
      </c>
      <c r="R369" s="713">
        <f t="shared" si="72"/>
        <v>0</v>
      </c>
      <c r="S369" s="361">
        <f t="shared" si="63"/>
        <v>0</v>
      </c>
    </row>
    <row r="370" spans="1:19">
      <c r="A370" s="159"/>
      <c r="B370" s="59"/>
      <c r="C370" s="24">
        <f t="shared" si="64"/>
        <v>1</v>
      </c>
      <c r="D370" s="717"/>
      <c r="E370" s="24">
        <f t="shared" si="65"/>
        <v>0</v>
      </c>
      <c r="F370" s="717"/>
      <c r="G370" s="24">
        <f t="shared" si="66"/>
        <v>1</v>
      </c>
      <c r="H370" s="717"/>
      <c r="I370" s="24">
        <f t="shared" si="67"/>
        <v>1</v>
      </c>
      <c r="J370" s="717"/>
      <c r="K370" s="24">
        <f t="shared" si="68"/>
        <v>1</v>
      </c>
      <c r="L370" s="717"/>
      <c r="M370" s="24">
        <f t="shared" si="69"/>
        <v>1</v>
      </c>
      <c r="N370" s="717"/>
      <c r="O370" s="24">
        <f t="shared" si="70"/>
        <v>1</v>
      </c>
      <c r="P370" s="717"/>
      <c r="Q370" s="24">
        <f t="shared" si="71"/>
        <v>0.04</v>
      </c>
      <c r="R370" s="713">
        <f t="shared" si="72"/>
        <v>0</v>
      </c>
      <c r="S370" s="361">
        <f t="shared" si="63"/>
        <v>0</v>
      </c>
    </row>
    <row r="371" spans="1:19">
      <c r="A371" s="159"/>
      <c r="B371" s="59"/>
      <c r="C371" s="24">
        <f t="shared" si="64"/>
        <v>1</v>
      </c>
      <c r="D371" s="717"/>
      <c r="E371" s="24">
        <f t="shared" si="65"/>
        <v>0</v>
      </c>
      <c r="F371" s="717"/>
      <c r="G371" s="24">
        <f t="shared" si="66"/>
        <v>1</v>
      </c>
      <c r="H371" s="717"/>
      <c r="I371" s="24">
        <f t="shared" si="67"/>
        <v>1</v>
      </c>
      <c r="J371" s="717"/>
      <c r="K371" s="24">
        <f t="shared" si="68"/>
        <v>1</v>
      </c>
      <c r="L371" s="717"/>
      <c r="M371" s="24">
        <f t="shared" si="69"/>
        <v>1</v>
      </c>
      <c r="N371" s="717"/>
      <c r="O371" s="24">
        <f t="shared" si="70"/>
        <v>1</v>
      </c>
      <c r="P371" s="717"/>
      <c r="Q371" s="24">
        <f t="shared" si="71"/>
        <v>0.04</v>
      </c>
      <c r="R371" s="713">
        <f t="shared" si="72"/>
        <v>0</v>
      </c>
      <c r="S371" s="361">
        <f t="shared" si="63"/>
        <v>0</v>
      </c>
    </row>
    <row r="372" spans="1:19">
      <c r="A372" s="159"/>
      <c r="B372" s="59"/>
      <c r="C372" s="24">
        <f t="shared" si="64"/>
        <v>1</v>
      </c>
      <c r="D372" s="717"/>
      <c r="E372" s="24">
        <f t="shared" si="65"/>
        <v>0</v>
      </c>
      <c r="F372" s="717"/>
      <c r="G372" s="24">
        <f t="shared" si="66"/>
        <v>1</v>
      </c>
      <c r="H372" s="717"/>
      <c r="I372" s="24">
        <f t="shared" si="67"/>
        <v>1</v>
      </c>
      <c r="J372" s="717"/>
      <c r="K372" s="24">
        <f t="shared" si="68"/>
        <v>1</v>
      </c>
      <c r="L372" s="717"/>
      <c r="M372" s="24">
        <f t="shared" si="69"/>
        <v>1</v>
      </c>
      <c r="N372" s="717"/>
      <c r="O372" s="24">
        <f t="shared" si="70"/>
        <v>1</v>
      </c>
      <c r="P372" s="717"/>
      <c r="Q372" s="24">
        <f t="shared" si="71"/>
        <v>0.04</v>
      </c>
      <c r="R372" s="713">
        <f t="shared" si="72"/>
        <v>0</v>
      </c>
      <c r="S372" s="361">
        <f t="shared" si="63"/>
        <v>0</v>
      </c>
    </row>
    <row r="373" spans="1:19">
      <c r="A373" s="159"/>
      <c r="B373" s="59"/>
      <c r="C373" s="24">
        <f t="shared" si="64"/>
        <v>1</v>
      </c>
      <c r="D373" s="717"/>
      <c r="E373" s="24">
        <f t="shared" si="65"/>
        <v>0</v>
      </c>
      <c r="F373" s="717"/>
      <c r="G373" s="24">
        <f t="shared" si="66"/>
        <v>1</v>
      </c>
      <c r="H373" s="717"/>
      <c r="I373" s="24">
        <f t="shared" si="67"/>
        <v>1</v>
      </c>
      <c r="J373" s="717"/>
      <c r="K373" s="24">
        <f t="shared" si="68"/>
        <v>1</v>
      </c>
      <c r="L373" s="717"/>
      <c r="M373" s="24">
        <f t="shared" si="69"/>
        <v>1</v>
      </c>
      <c r="N373" s="717"/>
      <c r="O373" s="24">
        <f t="shared" si="70"/>
        <v>1</v>
      </c>
      <c r="P373" s="717"/>
      <c r="Q373" s="24">
        <f t="shared" si="71"/>
        <v>0.04</v>
      </c>
      <c r="R373" s="713">
        <f t="shared" si="72"/>
        <v>0</v>
      </c>
      <c r="S373" s="361">
        <f t="shared" si="63"/>
        <v>0</v>
      </c>
    </row>
    <row r="374" spans="1:19">
      <c r="A374" s="159"/>
      <c r="B374" s="59"/>
      <c r="C374" s="24">
        <f t="shared" si="64"/>
        <v>1</v>
      </c>
      <c r="D374" s="717"/>
      <c r="E374" s="24">
        <f t="shared" si="65"/>
        <v>0</v>
      </c>
      <c r="F374" s="717"/>
      <c r="G374" s="24">
        <f t="shared" si="66"/>
        <v>1</v>
      </c>
      <c r="H374" s="717"/>
      <c r="I374" s="24">
        <f t="shared" si="67"/>
        <v>1</v>
      </c>
      <c r="J374" s="717"/>
      <c r="K374" s="24">
        <f t="shared" si="68"/>
        <v>1</v>
      </c>
      <c r="L374" s="717"/>
      <c r="M374" s="24">
        <f t="shared" si="69"/>
        <v>1</v>
      </c>
      <c r="N374" s="717"/>
      <c r="O374" s="24">
        <f t="shared" si="70"/>
        <v>1</v>
      </c>
      <c r="P374" s="717"/>
      <c r="Q374" s="24">
        <f t="shared" si="71"/>
        <v>0.04</v>
      </c>
      <c r="R374" s="713">
        <f t="shared" si="72"/>
        <v>0</v>
      </c>
      <c r="S374" s="361">
        <f t="shared" si="63"/>
        <v>0</v>
      </c>
    </row>
    <row r="375" spans="1:19">
      <c r="A375" s="159"/>
      <c r="B375" s="59"/>
      <c r="C375" s="24">
        <f t="shared" si="64"/>
        <v>1</v>
      </c>
      <c r="D375" s="717"/>
      <c r="E375" s="24">
        <f t="shared" si="65"/>
        <v>0</v>
      </c>
      <c r="F375" s="717"/>
      <c r="G375" s="24">
        <f t="shared" si="66"/>
        <v>1</v>
      </c>
      <c r="H375" s="717"/>
      <c r="I375" s="24">
        <f t="shared" si="67"/>
        <v>1</v>
      </c>
      <c r="J375" s="717"/>
      <c r="K375" s="24">
        <f t="shared" si="68"/>
        <v>1</v>
      </c>
      <c r="L375" s="717"/>
      <c r="M375" s="24">
        <f t="shared" si="69"/>
        <v>1</v>
      </c>
      <c r="N375" s="717"/>
      <c r="O375" s="24">
        <f t="shared" si="70"/>
        <v>1</v>
      </c>
      <c r="P375" s="717"/>
      <c r="Q375" s="24">
        <f t="shared" si="71"/>
        <v>0.04</v>
      </c>
      <c r="R375" s="713">
        <f t="shared" si="72"/>
        <v>0</v>
      </c>
      <c r="S375" s="361">
        <f t="shared" si="63"/>
        <v>0</v>
      </c>
    </row>
    <row r="376" spans="1:19">
      <c r="A376" s="159"/>
      <c r="B376" s="59"/>
      <c r="C376" s="24">
        <f t="shared" si="64"/>
        <v>1</v>
      </c>
      <c r="D376" s="717"/>
      <c r="E376" s="24">
        <f t="shared" si="65"/>
        <v>0</v>
      </c>
      <c r="F376" s="717"/>
      <c r="G376" s="24">
        <f t="shared" si="66"/>
        <v>1</v>
      </c>
      <c r="H376" s="717"/>
      <c r="I376" s="24">
        <f t="shared" si="67"/>
        <v>1</v>
      </c>
      <c r="J376" s="717"/>
      <c r="K376" s="24">
        <f t="shared" si="68"/>
        <v>1</v>
      </c>
      <c r="L376" s="717"/>
      <c r="M376" s="24">
        <f t="shared" si="69"/>
        <v>1</v>
      </c>
      <c r="N376" s="717"/>
      <c r="O376" s="24">
        <f t="shared" si="70"/>
        <v>1</v>
      </c>
      <c r="P376" s="717"/>
      <c r="Q376" s="24">
        <f t="shared" si="71"/>
        <v>0.04</v>
      </c>
      <c r="R376" s="713">
        <f t="shared" si="72"/>
        <v>0</v>
      </c>
      <c r="S376" s="361">
        <f t="shared" si="63"/>
        <v>0</v>
      </c>
    </row>
    <row r="377" spans="1:19">
      <c r="A377" s="159"/>
      <c r="B377" s="59"/>
      <c r="C377" s="24">
        <f t="shared" si="64"/>
        <v>1</v>
      </c>
      <c r="D377" s="717"/>
      <c r="E377" s="24">
        <f t="shared" si="65"/>
        <v>0</v>
      </c>
      <c r="F377" s="717"/>
      <c r="G377" s="24">
        <f t="shared" si="66"/>
        <v>1</v>
      </c>
      <c r="H377" s="717"/>
      <c r="I377" s="24">
        <f t="shared" si="67"/>
        <v>1</v>
      </c>
      <c r="J377" s="717"/>
      <c r="K377" s="24">
        <f t="shared" si="68"/>
        <v>1</v>
      </c>
      <c r="L377" s="717"/>
      <c r="M377" s="24">
        <f t="shared" si="69"/>
        <v>1</v>
      </c>
      <c r="N377" s="717"/>
      <c r="O377" s="24">
        <f t="shared" si="70"/>
        <v>1</v>
      </c>
      <c r="P377" s="717"/>
      <c r="Q377" s="24">
        <f t="shared" si="71"/>
        <v>0.04</v>
      </c>
      <c r="R377" s="713">
        <f t="shared" si="72"/>
        <v>0</v>
      </c>
      <c r="S377" s="361">
        <f t="shared" si="63"/>
        <v>0</v>
      </c>
    </row>
    <row r="378" spans="1:19">
      <c r="A378" s="159"/>
      <c r="B378" s="59"/>
      <c r="C378" s="24">
        <f t="shared" si="64"/>
        <v>1</v>
      </c>
      <c r="D378" s="717"/>
      <c r="E378" s="24">
        <f t="shared" si="65"/>
        <v>0</v>
      </c>
      <c r="F378" s="717"/>
      <c r="G378" s="24">
        <f t="shared" si="66"/>
        <v>1</v>
      </c>
      <c r="H378" s="717"/>
      <c r="I378" s="24">
        <f t="shared" si="67"/>
        <v>1</v>
      </c>
      <c r="J378" s="717"/>
      <c r="K378" s="24">
        <f t="shared" si="68"/>
        <v>1</v>
      </c>
      <c r="L378" s="717"/>
      <c r="M378" s="24">
        <f t="shared" si="69"/>
        <v>1</v>
      </c>
      <c r="N378" s="717"/>
      <c r="O378" s="24">
        <f t="shared" si="70"/>
        <v>1</v>
      </c>
      <c r="P378" s="717"/>
      <c r="Q378" s="24">
        <f t="shared" si="71"/>
        <v>0.04</v>
      </c>
      <c r="R378" s="713">
        <f t="shared" si="72"/>
        <v>0</v>
      </c>
      <c r="S378" s="361">
        <f t="shared" si="63"/>
        <v>0</v>
      </c>
    </row>
    <row r="379" spans="1:19">
      <c r="A379" s="159"/>
      <c r="B379" s="59"/>
      <c r="C379" s="24">
        <f t="shared" si="64"/>
        <v>1</v>
      </c>
      <c r="D379" s="717"/>
      <c r="E379" s="24">
        <f t="shared" si="65"/>
        <v>0</v>
      </c>
      <c r="F379" s="717"/>
      <c r="G379" s="24">
        <f t="shared" si="66"/>
        <v>1</v>
      </c>
      <c r="H379" s="717"/>
      <c r="I379" s="24">
        <f t="shared" si="67"/>
        <v>1</v>
      </c>
      <c r="J379" s="717"/>
      <c r="K379" s="24">
        <f t="shared" si="68"/>
        <v>1</v>
      </c>
      <c r="L379" s="717"/>
      <c r="M379" s="24">
        <f t="shared" si="69"/>
        <v>1</v>
      </c>
      <c r="N379" s="717"/>
      <c r="O379" s="24">
        <f t="shared" si="70"/>
        <v>1</v>
      </c>
      <c r="P379" s="717"/>
      <c r="Q379" s="24">
        <f t="shared" si="71"/>
        <v>0.04</v>
      </c>
      <c r="R379" s="713">
        <f t="shared" si="72"/>
        <v>0</v>
      </c>
      <c r="S379" s="361">
        <f t="shared" si="63"/>
        <v>0</v>
      </c>
    </row>
    <row r="380" spans="1:19">
      <c r="A380" s="159"/>
      <c r="B380" s="59"/>
      <c r="C380" s="24">
        <f t="shared" si="64"/>
        <v>1</v>
      </c>
      <c r="D380" s="717"/>
      <c r="E380" s="24">
        <f t="shared" si="65"/>
        <v>0</v>
      </c>
      <c r="F380" s="717"/>
      <c r="G380" s="24">
        <f t="shared" si="66"/>
        <v>1</v>
      </c>
      <c r="H380" s="717"/>
      <c r="I380" s="24">
        <f t="shared" si="67"/>
        <v>1</v>
      </c>
      <c r="J380" s="717"/>
      <c r="K380" s="24">
        <f t="shared" si="68"/>
        <v>1</v>
      </c>
      <c r="L380" s="717"/>
      <c r="M380" s="24">
        <f t="shared" si="69"/>
        <v>1</v>
      </c>
      <c r="N380" s="717"/>
      <c r="O380" s="24">
        <f t="shared" si="70"/>
        <v>1</v>
      </c>
      <c r="P380" s="717"/>
      <c r="Q380" s="24">
        <f t="shared" si="71"/>
        <v>0.04</v>
      </c>
      <c r="R380" s="713">
        <f t="shared" si="72"/>
        <v>0</v>
      </c>
      <c r="S380" s="361">
        <f t="shared" si="63"/>
        <v>0</v>
      </c>
    </row>
    <row r="381" spans="1:19">
      <c r="A381" s="159"/>
      <c r="B381" s="59"/>
      <c r="C381" s="24">
        <f t="shared" si="64"/>
        <v>1</v>
      </c>
      <c r="D381" s="717"/>
      <c r="E381" s="24">
        <f t="shared" si="65"/>
        <v>0</v>
      </c>
      <c r="F381" s="717"/>
      <c r="G381" s="24">
        <f t="shared" si="66"/>
        <v>1</v>
      </c>
      <c r="H381" s="717"/>
      <c r="I381" s="24">
        <f t="shared" si="67"/>
        <v>1</v>
      </c>
      <c r="J381" s="717"/>
      <c r="K381" s="24">
        <f t="shared" si="68"/>
        <v>1</v>
      </c>
      <c r="L381" s="717"/>
      <c r="M381" s="24">
        <f t="shared" si="69"/>
        <v>1</v>
      </c>
      <c r="N381" s="717"/>
      <c r="O381" s="24">
        <f t="shared" si="70"/>
        <v>1</v>
      </c>
      <c r="P381" s="717"/>
      <c r="Q381" s="24">
        <f t="shared" si="71"/>
        <v>0.04</v>
      </c>
      <c r="R381" s="713">
        <f t="shared" si="72"/>
        <v>0</v>
      </c>
      <c r="S381" s="361">
        <f t="shared" si="63"/>
        <v>0</v>
      </c>
    </row>
    <row r="382" spans="1:19">
      <c r="A382" s="159"/>
      <c r="B382" s="59"/>
      <c r="C382" s="24">
        <f t="shared" si="64"/>
        <v>1</v>
      </c>
      <c r="D382" s="717"/>
      <c r="E382" s="24">
        <f t="shared" si="65"/>
        <v>0</v>
      </c>
      <c r="F382" s="717"/>
      <c r="G382" s="24">
        <f t="shared" si="66"/>
        <v>1</v>
      </c>
      <c r="H382" s="717"/>
      <c r="I382" s="24">
        <f t="shared" si="67"/>
        <v>1</v>
      </c>
      <c r="J382" s="717"/>
      <c r="K382" s="24">
        <f t="shared" si="68"/>
        <v>1</v>
      </c>
      <c r="L382" s="717"/>
      <c r="M382" s="24">
        <f t="shared" si="69"/>
        <v>1</v>
      </c>
      <c r="N382" s="717"/>
      <c r="O382" s="24">
        <f t="shared" si="70"/>
        <v>1</v>
      </c>
      <c r="P382" s="717"/>
      <c r="Q382" s="24">
        <f t="shared" si="71"/>
        <v>0.04</v>
      </c>
      <c r="R382" s="713">
        <f t="shared" si="72"/>
        <v>0</v>
      </c>
      <c r="S382" s="361">
        <f t="shared" si="63"/>
        <v>0</v>
      </c>
    </row>
    <row r="383" spans="1:19">
      <c r="A383" s="159"/>
      <c r="B383" s="59"/>
      <c r="C383" s="24">
        <f t="shared" si="64"/>
        <v>1</v>
      </c>
      <c r="D383" s="717"/>
      <c r="E383" s="24">
        <f t="shared" si="65"/>
        <v>0</v>
      </c>
      <c r="F383" s="717"/>
      <c r="G383" s="24">
        <f t="shared" si="66"/>
        <v>1</v>
      </c>
      <c r="H383" s="717"/>
      <c r="I383" s="24">
        <f t="shared" si="67"/>
        <v>1</v>
      </c>
      <c r="J383" s="717"/>
      <c r="K383" s="24">
        <f t="shared" si="68"/>
        <v>1</v>
      </c>
      <c r="L383" s="717"/>
      <c r="M383" s="24">
        <f t="shared" si="69"/>
        <v>1</v>
      </c>
      <c r="N383" s="717"/>
      <c r="O383" s="24">
        <f t="shared" si="70"/>
        <v>1</v>
      </c>
      <c r="P383" s="717"/>
      <c r="Q383" s="24">
        <f t="shared" si="71"/>
        <v>0.04</v>
      </c>
      <c r="R383" s="713">
        <f t="shared" si="72"/>
        <v>0</v>
      </c>
      <c r="S383" s="361">
        <f t="shared" si="63"/>
        <v>0</v>
      </c>
    </row>
    <row r="384" spans="1:19">
      <c r="A384" s="159"/>
      <c r="B384" s="59"/>
      <c r="C384" s="24">
        <f t="shared" si="64"/>
        <v>1</v>
      </c>
      <c r="D384" s="717"/>
      <c r="E384" s="24">
        <f t="shared" si="65"/>
        <v>0</v>
      </c>
      <c r="F384" s="717"/>
      <c r="G384" s="24">
        <f t="shared" si="66"/>
        <v>1</v>
      </c>
      <c r="H384" s="717"/>
      <c r="I384" s="24">
        <f t="shared" si="67"/>
        <v>1</v>
      </c>
      <c r="J384" s="717"/>
      <c r="K384" s="24">
        <f t="shared" si="68"/>
        <v>1</v>
      </c>
      <c r="L384" s="717"/>
      <c r="M384" s="24">
        <f t="shared" si="69"/>
        <v>1</v>
      </c>
      <c r="N384" s="717"/>
      <c r="O384" s="24">
        <f t="shared" si="70"/>
        <v>1</v>
      </c>
      <c r="P384" s="717"/>
      <c r="Q384" s="24">
        <f t="shared" si="71"/>
        <v>0.04</v>
      </c>
      <c r="R384" s="713">
        <f t="shared" si="72"/>
        <v>0</v>
      </c>
      <c r="S384" s="361">
        <f t="shared" si="63"/>
        <v>0</v>
      </c>
    </row>
    <row r="385" spans="1:19">
      <c r="A385" s="159"/>
      <c r="B385" s="59"/>
      <c r="C385" s="24">
        <f t="shared" si="64"/>
        <v>1</v>
      </c>
      <c r="D385" s="717"/>
      <c r="E385" s="24">
        <f t="shared" si="65"/>
        <v>0</v>
      </c>
      <c r="F385" s="717"/>
      <c r="G385" s="24">
        <f t="shared" si="66"/>
        <v>1</v>
      </c>
      <c r="H385" s="717"/>
      <c r="I385" s="24">
        <f t="shared" si="67"/>
        <v>1</v>
      </c>
      <c r="J385" s="717"/>
      <c r="K385" s="24">
        <f t="shared" si="68"/>
        <v>1</v>
      </c>
      <c r="L385" s="717"/>
      <c r="M385" s="24">
        <f t="shared" si="69"/>
        <v>1</v>
      </c>
      <c r="N385" s="717"/>
      <c r="O385" s="24">
        <f t="shared" si="70"/>
        <v>1</v>
      </c>
      <c r="P385" s="717"/>
      <c r="Q385" s="24">
        <f t="shared" si="71"/>
        <v>0.04</v>
      </c>
      <c r="R385" s="713">
        <f t="shared" si="72"/>
        <v>0</v>
      </c>
      <c r="S385" s="361">
        <f t="shared" ref="S385:S422" si="73">ROUND(R385*B385/10000,0)</f>
        <v>0</v>
      </c>
    </row>
    <row r="386" spans="1:19">
      <c r="A386" s="159"/>
      <c r="B386" s="59"/>
      <c r="C386" s="24">
        <f t="shared" si="64"/>
        <v>1</v>
      </c>
      <c r="D386" s="717"/>
      <c r="E386" s="24">
        <f t="shared" si="65"/>
        <v>0</v>
      </c>
      <c r="F386" s="717"/>
      <c r="G386" s="24">
        <f t="shared" si="66"/>
        <v>1</v>
      </c>
      <c r="H386" s="717"/>
      <c r="I386" s="24">
        <f t="shared" si="67"/>
        <v>1</v>
      </c>
      <c r="J386" s="717"/>
      <c r="K386" s="24">
        <f t="shared" si="68"/>
        <v>1</v>
      </c>
      <c r="L386" s="717"/>
      <c r="M386" s="24">
        <f t="shared" si="69"/>
        <v>1</v>
      </c>
      <c r="N386" s="717"/>
      <c r="O386" s="24">
        <f t="shared" si="70"/>
        <v>1</v>
      </c>
      <c r="P386" s="717"/>
      <c r="Q386" s="24">
        <f t="shared" si="71"/>
        <v>0.04</v>
      </c>
      <c r="R386" s="713">
        <f t="shared" si="72"/>
        <v>0</v>
      </c>
      <c r="S386" s="361">
        <f t="shared" si="73"/>
        <v>0</v>
      </c>
    </row>
    <row r="387" spans="1:19">
      <c r="A387" s="159"/>
      <c r="B387" s="59"/>
      <c r="C387" s="24">
        <f t="shared" si="64"/>
        <v>1</v>
      </c>
      <c r="D387" s="717"/>
      <c r="E387" s="24">
        <f t="shared" si="65"/>
        <v>0</v>
      </c>
      <c r="F387" s="717"/>
      <c r="G387" s="24">
        <f t="shared" si="66"/>
        <v>1</v>
      </c>
      <c r="H387" s="717"/>
      <c r="I387" s="24">
        <f t="shared" si="67"/>
        <v>1</v>
      </c>
      <c r="J387" s="717"/>
      <c r="K387" s="24">
        <f t="shared" si="68"/>
        <v>1</v>
      </c>
      <c r="L387" s="717"/>
      <c r="M387" s="24">
        <f t="shared" si="69"/>
        <v>1</v>
      </c>
      <c r="N387" s="717"/>
      <c r="O387" s="24">
        <f t="shared" si="70"/>
        <v>1</v>
      </c>
      <c r="P387" s="717"/>
      <c r="Q387" s="24">
        <f t="shared" si="71"/>
        <v>0.04</v>
      </c>
      <c r="R387" s="713">
        <f t="shared" si="72"/>
        <v>0</v>
      </c>
      <c r="S387" s="361">
        <f t="shared" si="73"/>
        <v>0</v>
      </c>
    </row>
    <row r="388" spans="1:19">
      <c r="A388" s="159"/>
      <c r="B388" s="59"/>
      <c r="C388" s="24">
        <f t="shared" si="64"/>
        <v>1</v>
      </c>
      <c r="D388" s="717"/>
      <c r="E388" s="24">
        <f t="shared" si="65"/>
        <v>0</v>
      </c>
      <c r="F388" s="717"/>
      <c r="G388" s="24">
        <f t="shared" si="66"/>
        <v>1</v>
      </c>
      <c r="H388" s="717"/>
      <c r="I388" s="24">
        <f t="shared" si="67"/>
        <v>1</v>
      </c>
      <c r="J388" s="717"/>
      <c r="K388" s="24">
        <f t="shared" si="68"/>
        <v>1</v>
      </c>
      <c r="L388" s="717"/>
      <c r="M388" s="24">
        <f t="shared" si="69"/>
        <v>1</v>
      </c>
      <c r="N388" s="717"/>
      <c r="O388" s="24">
        <f t="shared" si="70"/>
        <v>1</v>
      </c>
      <c r="P388" s="717"/>
      <c r="Q388" s="24">
        <f t="shared" si="71"/>
        <v>0.04</v>
      </c>
      <c r="R388" s="713">
        <f t="shared" si="72"/>
        <v>0</v>
      </c>
      <c r="S388" s="361">
        <f t="shared" si="73"/>
        <v>0</v>
      </c>
    </row>
    <row r="389" spans="1:19">
      <c r="A389" s="159"/>
      <c r="B389" s="59"/>
      <c r="C389" s="24">
        <f t="shared" si="64"/>
        <v>1</v>
      </c>
      <c r="D389" s="717"/>
      <c r="E389" s="24">
        <f t="shared" si="65"/>
        <v>0</v>
      </c>
      <c r="F389" s="717"/>
      <c r="G389" s="24">
        <f t="shared" si="66"/>
        <v>1</v>
      </c>
      <c r="H389" s="717"/>
      <c r="I389" s="24">
        <f t="shared" si="67"/>
        <v>1</v>
      </c>
      <c r="J389" s="717"/>
      <c r="K389" s="24">
        <f t="shared" si="68"/>
        <v>1</v>
      </c>
      <c r="L389" s="717"/>
      <c r="M389" s="24">
        <f t="shared" si="69"/>
        <v>1</v>
      </c>
      <c r="N389" s="717"/>
      <c r="O389" s="24">
        <f t="shared" si="70"/>
        <v>1</v>
      </c>
      <c r="P389" s="717"/>
      <c r="Q389" s="24">
        <f t="shared" si="71"/>
        <v>0.04</v>
      </c>
      <c r="R389" s="713">
        <f t="shared" si="72"/>
        <v>0</v>
      </c>
      <c r="S389" s="361">
        <f t="shared" si="73"/>
        <v>0</v>
      </c>
    </row>
    <row r="390" spans="1:19">
      <c r="A390" s="159"/>
      <c r="B390" s="59"/>
      <c r="C390" s="24">
        <f t="shared" si="64"/>
        <v>1</v>
      </c>
      <c r="D390" s="717"/>
      <c r="E390" s="24">
        <f t="shared" si="65"/>
        <v>0</v>
      </c>
      <c r="F390" s="717"/>
      <c r="G390" s="24">
        <f t="shared" si="66"/>
        <v>1</v>
      </c>
      <c r="H390" s="717"/>
      <c r="I390" s="24">
        <f t="shared" si="67"/>
        <v>1</v>
      </c>
      <c r="J390" s="717"/>
      <c r="K390" s="24">
        <f t="shared" si="68"/>
        <v>1</v>
      </c>
      <c r="L390" s="717"/>
      <c r="M390" s="24">
        <f t="shared" si="69"/>
        <v>1</v>
      </c>
      <c r="N390" s="717"/>
      <c r="O390" s="24">
        <f t="shared" si="70"/>
        <v>1</v>
      </c>
      <c r="P390" s="717"/>
      <c r="Q390" s="24">
        <f t="shared" si="71"/>
        <v>0.04</v>
      </c>
      <c r="R390" s="713">
        <f t="shared" si="72"/>
        <v>0</v>
      </c>
      <c r="S390" s="361">
        <f t="shared" si="73"/>
        <v>0</v>
      </c>
    </row>
    <row r="391" spans="1:19">
      <c r="A391" s="159"/>
      <c r="B391" s="59"/>
      <c r="C391" s="24">
        <f t="shared" si="64"/>
        <v>1</v>
      </c>
      <c r="D391" s="717"/>
      <c r="E391" s="24">
        <f t="shared" si="65"/>
        <v>0</v>
      </c>
      <c r="F391" s="717"/>
      <c r="G391" s="24">
        <f t="shared" si="66"/>
        <v>1</v>
      </c>
      <c r="H391" s="717"/>
      <c r="I391" s="24">
        <f t="shared" si="67"/>
        <v>1</v>
      </c>
      <c r="J391" s="717"/>
      <c r="K391" s="24">
        <f t="shared" si="68"/>
        <v>1</v>
      </c>
      <c r="L391" s="717"/>
      <c r="M391" s="24">
        <f t="shared" si="69"/>
        <v>1</v>
      </c>
      <c r="N391" s="717"/>
      <c r="O391" s="24">
        <f t="shared" si="70"/>
        <v>1</v>
      </c>
      <c r="P391" s="717"/>
      <c r="Q391" s="24">
        <f t="shared" si="71"/>
        <v>0.04</v>
      </c>
      <c r="R391" s="713">
        <f t="shared" si="72"/>
        <v>0</v>
      </c>
      <c r="S391" s="361">
        <f t="shared" si="73"/>
        <v>0</v>
      </c>
    </row>
    <row r="392" spans="1:19">
      <c r="A392" s="159"/>
      <c r="B392" s="59"/>
      <c r="C392" s="24">
        <f t="shared" si="64"/>
        <v>1</v>
      </c>
      <c r="D392" s="717"/>
      <c r="E392" s="24">
        <f t="shared" si="65"/>
        <v>0</v>
      </c>
      <c r="F392" s="717"/>
      <c r="G392" s="24">
        <f t="shared" si="66"/>
        <v>1</v>
      </c>
      <c r="H392" s="717"/>
      <c r="I392" s="24">
        <f t="shared" si="67"/>
        <v>1</v>
      </c>
      <c r="J392" s="717"/>
      <c r="K392" s="24">
        <f t="shared" si="68"/>
        <v>1</v>
      </c>
      <c r="L392" s="717"/>
      <c r="M392" s="24">
        <f t="shared" si="69"/>
        <v>1</v>
      </c>
      <c r="N392" s="717"/>
      <c r="O392" s="24">
        <f t="shared" si="70"/>
        <v>1</v>
      </c>
      <c r="P392" s="717"/>
      <c r="Q392" s="24">
        <f t="shared" si="71"/>
        <v>0.04</v>
      </c>
      <c r="R392" s="713">
        <f t="shared" si="72"/>
        <v>0</v>
      </c>
      <c r="S392" s="361">
        <f t="shared" si="73"/>
        <v>0</v>
      </c>
    </row>
    <row r="393" spans="1:19">
      <c r="A393" s="159"/>
      <c r="B393" s="59"/>
      <c r="C393" s="24">
        <f t="shared" si="64"/>
        <v>1</v>
      </c>
      <c r="D393" s="717"/>
      <c r="E393" s="24">
        <f t="shared" si="65"/>
        <v>0</v>
      </c>
      <c r="F393" s="717"/>
      <c r="G393" s="24">
        <f t="shared" si="66"/>
        <v>1</v>
      </c>
      <c r="H393" s="717"/>
      <c r="I393" s="24">
        <f t="shared" si="67"/>
        <v>1</v>
      </c>
      <c r="J393" s="717"/>
      <c r="K393" s="24">
        <f t="shared" si="68"/>
        <v>1</v>
      </c>
      <c r="L393" s="717"/>
      <c r="M393" s="24">
        <f t="shared" si="69"/>
        <v>1</v>
      </c>
      <c r="N393" s="717"/>
      <c r="O393" s="24">
        <f t="shared" si="70"/>
        <v>1</v>
      </c>
      <c r="P393" s="717"/>
      <c r="Q393" s="24">
        <f t="shared" si="71"/>
        <v>0.04</v>
      </c>
      <c r="R393" s="713">
        <f t="shared" si="72"/>
        <v>0</v>
      </c>
      <c r="S393" s="361">
        <f t="shared" si="73"/>
        <v>0</v>
      </c>
    </row>
    <row r="394" spans="1:19">
      <c r="A394" s="159"/>
      <c r="B394" s="59"/>
      <c r="C394" s="24">
        <f t="shared" si="64"/>
        <v>1</v>
      </c>
      <c r="D394" s="717"/>
      <c r="E394" s="24">
        <f t="shared" si="65"/>
        <v>0</v>
      </c>
      <c r="F394" s="717"/>
      <c r="G394" s="24">
        <f t="shared" si="66"/>
        <v>1</v>
      </c>
      <c r="H394" s="717"/>
      <c r="I394" s="24">
        <f t="shared" si="67"/>
        <v>1</v>
      </c>
      <c r="J394" s="717"/>
      <c r="K394" s="24">
        <f t="shared" si="68"/>
        <v>1</v>
      </c>
      <c r="L394" s="717"/>
      <c r="M394" s="24">
        <f t="shared" si="69"/>
        <v>1</v>
      </c>
      <c r="N394" s="717"/>
      <c r="O394" s="24">
        <f t="shared" si="70"/>
        <v>1</v>
      </c>
      <c r="P394" s="717"/>
      <c r="Q394" s="24">
        <f t="shared" si="71"/>
        <v>0.04</v>
      </c>
      <c r="R394" s="713">
        <f t="shared" si="72"/>
        <v>0</v>
      </c>
      <c r="S394" s="361">
        <f t="shared" si="73"/>
        <v>0</v>
      </c>
    </row>
    <row r="395" spans="1:19">
      <c r="A395" s="159"/>
      <c r="B395" s="59"/>
      <c r="C395" s="24">
        <f t="shared" si="64"/>
        <v>1</v>
      </c>
      <c r="D395" s="717"/>
      <c r="E395" s="24">
        <f t="shared" si="65"/>
        <v>0</v>
      </c>
      <c r="F395" s="717"/>
      <c r="G395" s="24">
        <f t="shared" si="66"/>
        <v>1</v>
      </c>
      <c r="H395" s="717"/>
      <c r="I395" s="24">
        <f t="shared" si="67"/>
        <v>1</v>
      </c>
      <c r="J395" s="717"/>
      <c r="K395" s="24">
        <f t="shared" si="68"/>
        <v>1</v>
      </c>
      <c r="L395" s="717"/>
      <c r="M395" s="24">
        <f t="shared" si="69"/>
        <v>1</v>
      </c>
      <c r="N395" s="717"/>
      <c r="O395" s="24">
        <f t="shared" si="70"/>
        <v>1</v>
      </c>
      <c r="P395" s="717"/>
      <c r="Q395" s="24">
        <f t="shared" si="71"/>
        <v>0.04</v>
      </c>
      <c r="R395" s="713">
        <f t="shared" si="72"/>
        <v>0</v>
      </c>
      <c r="S395" s="361">
        <f t="shared" si="73"/>
        <v>0</v>
      </c>
    </row>
    <row r="396" spans="1:19">
      <c r="A396" s="159"/>
      <c r="B396" s="59"/>
      <c r="C396" s="24">
        <f t="shared" si="64"/>
        <v>1</v>
      </c>
      <c r="D396" s="717"/>
      <c r="E396" s="24">
        <f t="shared" si="65"/>
        <v>0</v>
      </c>
      <c r="F396" s="717"/>
      <c r="G396" s="24">
        <f t="shared" si="66"/>
        <v>1</v>
      </c>
      <c r="H396" s="717"/>
      <c r="I396" s="24">
        <f t="shared" si="67"/>
        <v>1</v>
      </c>
      <c r="J396" s="717"/>
      <c r="K396" s="24">
        <f t="shared" si="68"/>
        <v>1</v>
      </c>
      <c r="L396" s="717"/>
      <c r="M396" s="24">
        <f t="shared" si="69"/>
        <v>1</v>
      </c>
      <c r="N396" s="717"/>
      <c r="O396" s="24">
        <f t="shared" si="70"/>
        <v>1</v>
      </c>
      <c r="P396" s="717"/>
      <c r="Q396" s="24">
        <f t="shared" si="71"/>
        <v>0.04</v>
      </c>
      <c r="R396" s="713">
        <f t="shared" si="72"/>
        <v>0</v>
      </c>
      <c r="S396" s="361">
        <f t="shared" si="73"/>
        <v>0</v>
      </c>
    </row>
    <row r="397" spans="1:19">
      <c r="A397" s="159"/>
      <c r="B397" s="59"/>
      <c r="C397" s="24">
        <f t="shared" si="64"/>
        <v>1</v>
      </c>
      <c r="D397" s="717"/>
      <c r="E397" s="24">
        <f t="shared" si="65"/>
        <v>0</v>
      </c>
      <c r="F397" s="717"/>
      <c r="G397" s="24">
        <f t="shared" si="66"/>
        <v>1</v>
      </c>
      <c r="H397" s="717"/>
      <c r="I397" s="24">
        <f t="shared" si="67"/>
        <v>1</v>
      </c>
      <c r="J397" s="717"/>
      <c r="K397" s="24">
        <f t="shared" si="68"/>
        <v>1</v>
      </c>
      <c r="L397" s="717"/>
      <c r="M397" s="24">
        <f t="shared" si="69"/>
        <v>1</v>
      </c>
      <c r="N397" s="717"/>
      <c r="O397" s="24">
        <f t="shared" si="70"/>
        <v>1</v>
      </c>
      <c r="P397" s="717"/>
      <c r="Q397" s="24">
        <f t="shared" si="71"/>
        <v>0.04</v>
      </c>
      <c r="R397" s="713">
        <f t="shared" si="72"/>
        <v>0</v>
      </c>
      <c r="S397" s="361">
        <f t="shared" si="73"/>
        <v>0</v>
      </c>
    </row>
    <row r="398" spans="1:19">
      <c r="A398" s="159"/>
      <c r="B398" s="59"/>
      <c r="C398" s="24">
        <f t="shared" si="64"/>
        <v>1</v>
      </c>
      <c r="D398" s="717"/>
      <c r="E398" s="24">
        <f t="shared" si="65"/>
        <v>0</v>
      </c>
      <c r="F398" s="717"/>
      <c r="G398" s="24">
        <f t="shared" si="66"/>
        <v>1</v>
      </c>
      <c r="H398" s="717"/>
      <c r="I398" s="24">
        <f t="shared" si="67"/>
        <v>1</v>
      </c>
      <c r="J398" s="717"/>
      <c r="K398" s="24">
        <f t="shared" si="68"/>
        <v>1</v>
      </c>
      <c r="L398" s="717"/>
      <c r="M398" s="24">
        <f t="shared" si="69"/>
        <v>1</v>
      </c>
      <c r="N398" s="717"/>
      <c r="O398" s="24">
        <f t="shared" si="70"/>
        <v>1</v>
      </c>
      <c r="P398" s="717"/>
      <c r="Q398" s="24">
        <f t="shared" si="71"/>
        <v>0.04</v>
      </c>
      <c r="R398" s="713">
        <f t="shared" si="72"/>
        <v>0</v>
      </c>
      <c r="S398" s="361">
        <f t="shared" si="73"/>
        <v>0</v>
      </c>
    </row>
    <row r="399" spans="1:19">
      <c r="A399" s="159"/>
      <c r="B399" s="59"/>
      <c r="C399" s="24">
        <f t="shared" si="64"/>
        <v>1</v>
      </c>
      <c r="D399" s="717"/>
      <c r="E399" s="24">
        <f t="shared" si="65"/>
        <v>0</v>
      </c>
      <c r="F399" s="717"/>
      <c r="G399" s="24">
        <f t="shared" si="66"/>
        <v>1</v>
      </c>
      <c r="H399" s="717"/>
      <c r="I399" s="24">
        <f t="shared" si="67"/>
        <v>1</v>
      </c>
      <c r="J399" s="717"/>
      <c r="K399" s="24">
        <f t="shared" si="68"/>
        <v>1</v>
      </c>
      <c r="L399" s="717"/>
      <c r="M399" s="24">
        <f t="shared" si="69"/>
        <v>1</v>
      </c>
      <c r="N399" s="717"/>
      <c r="O399" s="24">
        <f t="shared" si="70"/>
        <v>1</v>
      </c>
      <c r="P399" s="717"/>
      <c r="Q399" s="24">
        <f t="shared" si="71"/>
        <v>0.04</v>
      </c>
      <c r="R399" s="713">
        <f t="shared" si="72"/>
        <v>0</v>
      </c>
      <c r="S399" s="361">
        <f t="shared" si="73"/>
        <v>0</v>
      </c>
    </row>
    <row r="400" spans="1:19">
      <c r="A400" s="159"/>
      <c r="B400" s="59"/>
      <c r="C400" s="24">
        <f t="shared" si="64"/>
        <v>1</v>
      </c>
      <c r="D400" s="717"/>
      <c r="E400" s="24">
        <f t="shared" si="65"/>
        <v>0</v>
      </c>
      <c r="F400" s="717"/>
      <c r="G400" s="24">
        <f t="shared" si="66"/>
        <v>1</v>
      </c>
      <c r="H400" s="717"/>
      <c r="I400" s="24">
        <f t="shared" si="67"/>
        <v>1</v>
      </c>
      <c r="J400" s="717"/>
      <c r="K400" s="24">
        <f t="shared" si="68"/>
        <v>1</v>
      </c>
      <c r="L400" s="717"/>
      <c r="M400" s="24">
        <f t="shared" si="69"/>
        <v>1</v>
      </c>
      <c r="N400" s="717"/>
      <c r="O400" s="24">
        <f t="shared" si="70"/>
        <v>1</v>
      </c>
      <c r="P400" s="717"/>
      <c r="Q400" s="24">
        <f t="shared" si="71"/>
        <v>0.04</v>
      </c>
      <c r="R400" s="713">
        <f t="shared" si="72"/>
        <v>0</v>
      </c>
      <c r="S400" s="361">
        <f t="shared" si="73"/>
        <v>0</v>
      </c>
    </row>
    <row r="401" spans="1:19">
      <c r="A401" s="159"/>
      <c r="B401" s="59"/>
      <c r="C401" s="24">
        <f t="shared" si="64"/>
        <v>1</v>
      </c>
      <c r="D401" s="717"/>
      <c r="E401" s="24">
        <f t="shared" si="65"/>
        <v>0</v>
      </c>
      <c r="F401" s="717"/>
      <c r="G401" s="24">
        <f t="shared" si="66"/>
        <v>1</v>
      </c>
      <c r="H401" s="717"/>
      <c r="I401" s="24">
        <f t="shared" si="67"/>
        <v>1</v>
      </c>
      <c r="J401" s="717"/>
      <c r="K401" s="24">
        <f t="shared" si="68"/>
        <v>1</v>
      </c>
      <c r="L401" s="717"/>
      <c r="M401" s="24">
        <f t="shared" si="69"/>
        <v>1</v>
      </c>
      <c r="N401" s="717"/>
      <c r="O401" s="24">
        <f t="shared" si="70"/>
        <v>1</v>
      </c>
      <c r="P401" s="717"/>
      <c r="Q401" s="24">
        <f t="shared" si="71"/>
        <v>0.04</v>
      </c>
      <c r="R401" s="713">
        <f t="shared" si="72"/>
        <v>0</v>
      </c>
      <c r="S401" s="361">
        <f t="shared" si="73"/>
        <v>0</v>
      </c>
    </row>
    <row r="402" spans="1:19">
      <c r="A402" s="159"/>
      <c r="B402" s="59"/>
      <c r="C402" s="24">
        <f t="shared" si="64"/>
        <v>1</v>
      </c>
      <c r="D402" s="717"/>
      <c r="E402" s="24">
        <f t="shared" si="65"/>
        <v>0</v>
      </c>
      <c r="F402" s="717"/>
      <c r="G402" s="24">
        <f t="shared" si="66"/>
        <v>1</v>
      </c>
      <c r="H402" s="717"/>
      <c r="I402" s="24">
        <f t="shared" si="67"/>
        <v>1</v>
      </c>
      <c r="J402" s="717"/>
      <c r="K402" s="24">
        <f t="shared" si="68"/>
        <v>1</v>
      </c>
      <c r="L402" s="717"/>
      <c r="M402" s="24">
        <f t="shared" si="69"/>
        <v>1</v>
      </c>
      <c r="N402" s="717"/>
      <c r="O402" s="24">
        <f t="shared" si="70"/>
        <v>1</v>
      </c>
      <c r="P402" s="717"/>
      <c r="Q402" s="24">
        <f t="shared" si="71"/>
        <v>0.04</v>
      </c>
      <c r="R402" s="713">
        <f t="shared" si="72"/>
        <v>0</v>
      </c>
      <c r="S402" s="361">
        <f t="shared" si="73"/>
        <v>0</v>
      </c>
    </row>
    <row r="403" spans="1:19">
      <c r="A403" s="159"/>
      <c r="B403" s="59"/>
      <c r="C403" s="24">
        <f t="shared" si="64"/>
        <v>1</v>
      </c>
      <c r="D403" s="717"/>
      <c r="E403" s="24">
        <f t="shared" si="65"/>
        <v>0</v>
      </c>
      <c r="F403" s="717"/>
      <c r="G403" s="24">
        <f t="shared" si="66"/>
        <v>1</v>
      </c>
      <c r="H403" s="717"/>
      <c r="I403" s="24">
        <f t="shared" si="67"/>
        <v>1</v>
      </c>
      <c r="J403" s="717"/>
      <c r="K403" s="24">
        <f t="shared" si="68"/>
        <v>1</v>
      </c>
      <c r="L403" s="717"/>
      <c r="M403" s="24">
        <f t="shared" si="69"/>
        <v>1</v>
      </c>
      <c r="N403" s="717"/>
      <c r="O403" s="24">
        <f t="shared" si="70"/>
        <v>1</v>
      </c>
      <c r="P403" s="717"/>
      <c r="Q403" s="24">
        <f t="shared" si="71"/>
        <v>0.04</v>
      </c>
      <c r="R403" s="713">
        <f t="shared" si="72"/>
        <v>0</v>
      </c>
      <c r="S403" s="361">
        <f t="shared" si="73"/>
        <v>0</v>
      </c>
    </row>
    <row r="404" spans="1:19">
      <c r="A404" s="159"/>
      <c r="B404" s="59"/>
      <c r="C404" s="24">
        <f t="shared" si="64"/>
        <v>1</v>
      </c>
      <c r="D404" s="717"/>
      <c r="E404" s="24">
        <f t="shared" si="65"/>
        <v>0</v>
      </c>
      <c r="F404" s="717"/>
      <c r="G404" s="24">
        <f t="shared" si="66"/>
        <v>1</v>
      </c>
      <c r="H404" s="717"/>
      <c r="I404" s="24">
        <f t="shared" si="67"/>
        <v>1</v>
      </c>
      <c r="J404" s="717"/>
      <c r="K404" s="24">
        <f t="shared" si="68"/>
        <v>1</v>
      </c>
      <c r="L404" s="717"/>
      <c r="M404" s="24">
        <f t="shared" si="69"/>
        <v>1</v>
      </c>
      <c r="N404" s="717"/>
      <c r="O404" s="24">
        <f t="shared" si="70"/>
        <v>1</v>
      </c>
      <c r="P404" s="717"/>
      <c r="Q404" s="24">
        <f t="shared" si="71"/>
        <v>0.04</v>
      </c>
      <c r="R404" s="713">
        <f t="shared" si="72"/>
        <v>0</v>
      </c>
      <c r="S404" s="361">
        <f t="shared" si="73"/>
        <v>0</v>
      </c>
    </row>
    <row r="405" spans="1:19">
      <c r="A405" s="159"/>
      <c r="B405" s="59"/>
      <c r="C405" s="24">
        <f t="shared" si="64"/>
        <v>1</v>
      </c>
      <c r="D405" s="717"/>
      <c r="E405" s="24">
        <f t="shared" si="65"/>
        <v>0</v>
      </c>
      <c r="F405" s="717"/>
      <c r="G405" s="24">
        <f t="shared" si="66"/>
        <v>1</v>
      </c>
      <c r="H405" s="717"/>
      <c r="I405" s="24">
        <f t="shared" si="67"/>
        <v>1</v>
      </c>
      <c r="J405" s="717"/>
      <c r="K405" s="24">
        <f t="shared" si="68"/>
        <v>1</v>
      </c>
      <c r="L405" s="717"/>
      <c r="M405" s="24">
        <f t="shared" si="69"/>
        <v>1</v>
      </c>
      <c r="N405" s="717"/>
      <c r="O405" s="24">
        <f t="shared" si="70"/>
        <v>1</v>
      </c>
      <c r="P405" s="717"/>
      <c r="Q405" s="24">
        <f t="shared" si="71"/>
        <v>0.04</v>
      </c>
      <c r="R405" s="713">
        <f t="shared" si="72"/>
        <v>0</v>
      </c>
      <c r="S405" s="361">
        <f t="shared" si="73"/>
        <v>0</v>
      </c>
    </row>
    <row r="406" spans="1:19">
      <c r="A406" s="159"/>
      <c r="B406" s="59"/>
      <c r="C406" s="24">
        <f t="shared" si="64"/>
        <v>1</v>
      </c>
      <c r="D406" s="717"/>
      <c r="E406" s="24">
        <f t="shared" si="65"/>
        <v>0</v>
      </c>
      <c r="F406" s="717"/>
      <c r="G406" s="24">
        <f t="shared" si="66"/>
        <v>1</v>
      </c>
      <c r="H406" s="717"/>
      <c r="I406" s="24">
        <f t="shared" si="67"/>
        <v>1</v>
      </c>
      <c r="J406" s="717"/>
      <c r="K406" s="24">
        <f t="shared" si="68"/>
        <v>1</v>
      </c>
      <c r="L406" s="717"/>
      <c r="M406" s="24">
        <f t="shared" si="69"/>
        <v>1</v>
      </c>
      <c r="N406" s="717"/>
      <c r="O406" s="24">
        <f t="shared" si="70"/>
        <v>1</v>
      </c>
      <c r="P406" s="717"/>
      <c r="Q406" s="24">
        <f t="shared" si="71"/>
        <v>0.04</v>
      </c>
      <c r="R406" s="713">
        <f t="shared" si="72"/>
        <v>0</v>
      </c>
      <c r="S406" s="361">
        <f t="shared" si="73"/>
        <v>0</v>
      </c>
    </row>
    <row r="407" spans="1:19">
      <c r="A407" s="159"/>
      <c r="B407" s="59"/>
      <c r="C407" s="24">
        <f t="shared" si="64"/>
        <v>1</v>
      </c>
      <c r="D407" s="717"/>
      <c r="E407" s="24">
        <f t="shared" si="65"/>
        <v>0</v>
      </c>
      <c r="F407" s="717"/>
      <c r="G407" s="24">
        <f t="shared" si="66"/>
        <v>1</v>
      </c>
      <c r="H407" s="717"/>
      <c r="I407" s="24">
        <f t="shared" si="67"/>
        <v>1</v>
      </c>
      <c r="J407" s="717"/>
      <c r="K407" s="24">
        <f t="shared" si="68"/>
        <v>1</v>
      </c>
      <c r="L407" s="717"/>
      <c r="M407" s="24">
        <f t="shared" si="69"/>
        <v>1</v>
      </c>
      <c r="N407" s="717"/>
      <c r="O407" s="24">
        <f t="shared" si="70"/>
        <v>1</v>
      </c>
      <c r="P407" s="717"/>
      <c r="Q407" s="24">
        <f t="shared" si="71"/>
        <v>0.04</v>
      </c>
      <c r="R407" s="713">
        <f t="shared" si="72"/>
        <v>0</v>
      </c>
      <c r="S407" s="361">
        <f t="shared" si="73"/>
        <v>0</v>
      </c>
    </row>
    <row r="408" spans="1:19">
      <c r="A408" s="159"/>
      <c r="B408" s="59"/>
      <c r="C408" s="24">
        <f t="shared" si="64"/>
        <v>1</v>
      </c>
      <c r="D408" s="717"/>
      <c r="E408" s="24">
        <f t="shared" si="65"/>
        <v>0</v>
      </c>
      <c r="F408" s="717"/>
      <c r="G408" s="24">
        <f t="shared" si="66"/>
        <v>1</v>
      </c>
      <c r="H408" s="717"/>
      <c r="I408" s="24">
        <f t="shared" si="67"/>
        <v>1</v>
      </c>
      <c r="J408" s="717"/>
      <c r="K408" s="24">
        <f t="shared" si="68"/>
        <v>1</v>
      </c>
      <c r="L408" s="717"/>
      <c r="M408" s="24">
        <f t="shared" si="69"/>
        <v>1</v>
      </c>
      <c r="N408" s="717"/>
      <c r="O408" s="24">
        <f t="shared" si="70"/>
        <v>1</v>
      </c>
      <c r="P408" s="717"/>
      <c r="Q408" s="24">
        <f t="shared" si="71"/>
        <v>0.04</v>
      </c>
      <c r="R408" s="713">
        <f t="shared" si="72"/>
        <v>0</v>
      </c>
      <c r="S408" s="361">
        <f t="shared" si="73"/>
        <v>0</v>
      </c>
    </row>
    <row r="409" spans="1:19">
      <c r="A409" s="159"/>
      <c r="B409" s="59"/>
      <c r="C409" s="24">
        <f t="shared" si="64"/>
        <v>1</v>
      </c>
      <c r="D409" s="717"/>
      <c r="E409" s="24">
        <f t="shared" si="65"/>
        <v>0</v>
      </c>
      <c r="F409" s="717"/>
      <c r="G409" s="24">
        <f t="shared" si="66"/>
        <v>1</v>
      </c>
      <c r="H409" s="717"/>
      <c r="I409" s="24">
        <f t="shared" si="67"/>
        <v>1</v>
      </c>
      <c r="J409" s="717"/>
      <c r="K409" s="24">
        <f t="shared" si="68"/>
        <v>1</v>
      </c>
      <c r="L409" s="717"/>
      <c r="M409" s="24">
        <f t="shared" si="69"/>
        <v>1</v>
      </c>
      <c r="N409" s="717"/>
      <c r="O409" s="24">
        <f t="shared" si="70"/>
        <v>1</v>
      </c>
      <c r="P409" s="717"/>
      <c r="Q409" s="24">
        <f t="shared" si="71"/>
        <v>0.04</v>
      </c>
      <c r="R409" s="713">
        <f t="shared" si="72"/>
        <v>0</v>
      </c>
      <c r="S409" s="361">
        <f t="shared" si="73"/>
        <v>0</v>
      </c>
    </row>
    <row r="410" spans="1:19">
      <c r="A410" s="159"/>
      <c r="B410" s="59"/>
      <c r="C410" s="24">
        <f t="shared" ref="C410:C473" si="74">IF(B410="",1,(LOOKUP(B410,$3:$3,$4:$4)-LOOKUP($B$24,$3:$3,$4:$4)+100)/100)</f>
        <v>1</v>
      </c>
      <c r="D410" s="717"/>
      <c r="E410" s="24">
        <f t="shared" ref="E410:E473" si="75">(SUMIF($5:$5,D410,$6:$6)-SUMIF($5:$5,$D$24,$6:$6)+100)/100</f>
        <v>0</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0.04</v>
      </c>
      <c r="R410" s="713">
        <f t="shared" ref="R410:R473" si="82">IF(B410="",0,ROUND($R$24*C410*E410*G410*I410*K410*M410*O410*Q410,0))</f>
        <v>0</v>
      </c>
      <c r="S410" s="361">
        <f t="shared" si="73"/>
        <v>0</v>
      </c>
    </row>
    <row r="411" spans="1:19">
      <c r="A411" s="159"/>
      <c r="B411" s="59"/>
      <c r="C411" s="24">
        <f t="shared" si="74"/>
        <v>1</v>
      </c>
      <c r="D411" s="717"/>
      <c r="E411" s="24">
        <f t="shared" si="75"/>
        <v>0</v>
      </c>
      <c r="F411" s="717"/>
      <c r="G411" s="24">
        <f t="shared" si="76"/>
        <v>1</v>
      </c>
      <c r="H411" s="717"/>
      <c r="I411" s="24">
        <f t="shared" si="77"/>
        <v>1</v>
      </c>
      <c r="J411" s="717"/>
      <c r="K411" s="24">
        <f t="shared" si="78"/>
        <v>1</v>
      </c>
      <c r="L411" s="717"/>
      <c r="M411" s="24">
        <f t="shared" si="79"/>
        <v>1</v>
      </c>
      <c r="N411" s="717"/>
      <c r="O411" s="24">
        <f t="shared" si="80"/>
        <v>1</v>
      </c>
      <c r="P411" s="717"/>
      <c r="Q411" s="24">
        <f t="shared" si="81"/>
        <v>0.04</v>
      </c>
      <c r="R411" s="713">
        <f t="shared" si="82"/>
        <v>0</v>
      </c>
      <c r="S411" s="361">
        <f t="shared" si="73"/>
        <v>0</v>
      </c>
    </row>
    <row r="412" spans="1:19">
      <c r="A412" s="159"/>
      <c r="B412" s="59"/>
      <c r="C412" s="24">
        <f t="shared" si="74"/>
        <v>1</v>
      </c>
      <c r="D412" s="717"/>
      <c r="E412" s="24">
        <f t="shared" si="75"/>
        <v>0</v>
      </c>
      <c r="F412" s="717"/>
      <c r="G412" s="24">
        <f t="shared" si="76"/>
        <v>1</v>
      </c>
      <c r="H412" s="717"/>
      <c r="I412" s="24">
        <f t="shared" si="77"/>
        <v>1</v>
      </c>
      <c r="J412" s="717"/>
      <c r="K412" s="24">
        <f t="shared" si="78"/>
        <v>1</v>
      </c>
      <c r="L412" s="717"/>
      <c r="M412" s="24">
        <f t="shared" si="79"/>
        <v>1</v>
      </c>
      <c r="N412" s="717"/>
      <c r="O412" s="24">
        <f t="shared" si="80"/>
        <v>1</v>
      </c>
      <c r="P412" s="717"/>
      <c r="Q412" s="24">
        <f t="shared" si="81"/>
        <v>0.04</v>
      </c>
      <c r="R412" s="713">
        <f t="shared" si="82"/>
        <v>0</v>
      </c>
      <c r="S412" s="361">
        <f t="shared" si="73"/>
        <v>0</v>
      </c>
    </row>
    <row r="413" spans="1:19">
      <c r="A413" s="159"/>
      <c r="B413" s="59"/>
      <c r="C413" s="24">
        <f t="shared" si="74"/>
        <v>1</v>
      </c>
      <c r="D413" s="717"/>
      <c r="E413" s="24">
        <f t="shared" si="75"/>
        <v>0</v>
      </c>
      <c r="F413" s="717"/>
      <c r="G413" s="24">
        <f t="shared" si="76"/>
        <v>1</v>
      </c>
      <c r="H413" s="717"/>
      <c r="I413" s="24">
        <f t="shared" si="77"/>
        <v>1</v>
      </c>
      <c r="J413" s="717"/>
      <c r="K413" s="24">
        <f t="shared" si="78"/>
        <v>1</v>
      </c>
      <c r="L413" s="717"/>
      <c r="M413" s="24">
        <f t="shared" si="79"/>
        <v>1</v>
      </c>
      <c r="N413" s="717"/>
      <c r="O413" s="24">
        <f t="shared" si="80"/>
        <v>1</v>
      </c>
      <c r="P413" s="717"/>
      <c r="Q413" s="24">
        <f t="shared" si="81"/>
        <v>0.04</v>
      </c>
      <c r="R413" s="713">
        <f t="shared" si="82"/>
        <v>0</v>
      </c>
      <c r="S413" s="361">
        <f t="shared" si="73"/>
        <v>0</v>
      </c>
    </row>
    <row r="414" spans="1:19">
      <c r="A414" s="159"/>
      <c r="B414" s="59"/>
      <c r="C414" s="24">
        <f t="shared" si="74"/>
        <v>1</v>
      </c>
      <c r="D414" s="717"/>
      <c r="E414" s="24">
        <f t="shared" si="75"/>
        <v>0</v>
      </c>
      <c r="F414" s="717"/>
      <c r="G414" s="24">
        <f t="shared" si="76"/>
        <v>1</v>
      </c>
      <c r="H414" s="717"/>
      <c r="I414" s="24">
        <f t="shared" si="77"/>
        <v>1</v>
      </c>
      <c r="J414" s="717"/>
      <c r="K414" s="24">
        <f t="shared" si="78"/>
        <v>1</v>
      </c>
      <c r="L414" s="717"/>
      <c r="M414" s="24">
        <f t="shared" si="79"/>
        <v>1</v>
      </c>
      <c r="N414" s="717"/>
      <c r="O414" s="24">
        <f t="shared" si="80"/>
        <v>1</v>
      </c>
      <c r="P414" s="717"/>
      <c r="Q414" s="24">
        <f t="shared" si="81"/>
        <v>0.04</v>
      </c>
      <c r="R414" s="713">
        <f t="shared" si="82"/>
        <v>0</v>
      </c>
      <c r="S414" s="361">
        <f t="shared" si="73"/>
        <v>0</v>
      </c>
    </row>
    <row r="415" spans="1:19">
      <c r="A415" s="159"/>
      <c r="B415" s="59"/>
      <c r="C415" s="24">
        <f t="shared" si="74"/>
        <v>1</v>
      </c>
      <c r="D415" s="717"/>
      <c r="E415" s="24">
        <f t="shared" si="75"/>
        <v>0</v>
      </c>
      <c r="F415" s="717"/>
      <c r="G415" s="24">
        <f t="shared" si="76"/>
        <v>1</v>
      </c>
      <c r="H415" s="717"/>
      <c r="I415" s="24">
        <f t="shared" si="77"/>
        <v>1</v>
      </c>
      <c r="J415" s="717"/>
      <c r="K415" s="24">
        <f t="shared" si="78"/>
        <v>1</v>
      </c>
      <c r="L415" s="717"/>
      <c r="M415" s="24">
        <f t="shared" si="79"/>
        <v>1</v>
      </c>
      <c r="N415" s="717"/>
      <c r="O415" s="24">
        <f t="shared" si="80"/>
        <v>1</v>
      </c>
      <c r="P415" s="717"/>
      <c r="Q415" s="24">
        <f t="shared" si="81"/>
        <v>0.04</v>
      </c>
      <c r="R415" s="713">
        <f t="shared" si="82"/>
        <v>0</v>
      </c>
      <c r="S415" s="361">
        <f t="shared" si="73"/>
        <v>0</v>
      </c>
    </row>
    <row r="416" spans="1:19">
      <c r="A416" s="159"/>
      <c r="B416" s="59"/>
      <c r="C416" s="24">
        <f t="shared" si="74"/>
        <v>1</v>
      </c>
      <c r="D416" s="717"/>
      <c r="E416" s="24">
        <f t="shared" si="75"/>
        <v>0</v>
      </c>
      <c r="F416" s="717"/>
      <c r="G416" s="24">
        <f t="shared" si="76"/>
        <v>1</v>
      </c>
      <c r="H416" s="717"/>
      <c r="I416" s="24">
        <f t="shared" si="77"/>
        <v>1</v>
      </c>
      <c r="J416" s="717"/>
      <c r="K416" s="24">
        <f t="shared" si="78"/>
        <v>1</v>
      </c>
      <c r="L416" s="717"/>
      <c r="M416" s="24">
        <f t="shared" si="79"/>
        <v>1</v>
      </c>
      <c r="N416" s="717"/>
      <c r="O416" s="24">
        <f t="shared" si="80"/>
        <v>1</v>
      </c>
      <c r="P416" s="717"/>
      <c r="Q416" s="24">
        <f t="shared" si="81"/>
        <v>0.04</v>
      </c>
      <c r="R416" s="713">
        <f t="shared" si="82"/>
        <v>0</v>
      </c>
      <c r="S416" s="361">
        <f t="shared" si="73"/>
        <v>0</v>
      </c>
    </row>
    <row r="417" spans="1:19">
      <c r="A417" s="159"/>
      <c r="B417" s="59"/>
      <c r="C417" s="24">
        <f t="shared" si="74"/>
        <v>1</v>
      </c>
      <c r="D417" s="717"/>
      <c r="E417" s="24">
        <f t="shared" si="75"/>
        <v>0</v>
      </c>
      <c r="F417" s="717"/>
      <c r="G417" s="24">
        <f t="shared" si="76"/>
        <v>1</v>
      </c>
      <c r="H417" s="717"/>
      <c r="I417" s="24">
        <f t="shared" si="77"/>
        <v>1</v>
      </c>
      <c r="J417" s="717"/>
      <c r="K417" s="24">
        <f t="shared" si="78"/>
        <v>1</v>
      </c>
      <c r="L417" s="717"/>
      <c r="M417" s="24">
        <f t="shared" si="79"/>
        <v>1</v>
      </c>
      <c r="N417" s="717"/>
      <c r="O417" s="24">
        <f t="shared" si="80"/>
        <v>1</v>
      </c>
      <c r="P417" s="717"/>
      <c r="Q417" s="24">
        <f t="shared" si="81"/>
        <v>0.04</v>
      </c>
      <c r="R417" s="713">
        <f t="shared" si="82"/>
        <v>0</v>
      </c>
      <c r="S417" s="361">
        <f t="shared" si="73"/>
        <v>0</v>
      </c>
    </row>
    <row r="418" spans="1:19">
      <c r="A418" s="159"/>
      <c r="B418" s="59"/>
      <c r="C418" s="24">
        <f t="shared" si="74"/>
        <v>1</v>
      </c>
      <c r="D418" s="717"/>
      <c r="E418" s="24">
        <f t="shared" si="75"/>
        <v>0</v>
      </c>
      <c r="F418" s="717"/>
      <c r="G418" s="24">
        <f t="shared" si="76"/>
        <v>1</v>
      </c>
      <c r="H418" s="717"/>
      <c r="I418" s="24">
        <f t="shared" si="77"/>
        <v>1</v>
      </c>
      <c r="J418" s="717"/>
      <c r="K418" s="24">
        <f t="shared" si="78"/>
        <v>1</v>
      </c>
      <c r="L418" s="717"/>
      <c r="M418" s="24">
        <f t="shared" si="79"/>
        <v>1</v>
      </c>
      <c r="N418" s="717"/>
      <c r="O418" s="24">
        <f t="shared" si="80"/>
        <v>1</v>
      </c>
      <c r="P418" s="717"/>
      <c r="Q418" s="24">
        <f t="shared" si="81"/>
        <v>0.04</v>
      </c>
      <c r="R418" s="713">
        <f t="shared" si="82"/>
        <v>0</v>
      </c>
      <c r="S418" s="361">
        <f t="shared" si="73"/>
        <v>0</v>
      </c>
    </row>
    <row r="419" spans="1:19">
      <c r="A419" s="159"/>
      <c r="B419" s="59"/>
      <c r="C419" s="24">
        <f t="shared" si="74"/>
        <v>1</v>
      </c>
      <c r="D419" s="717"/>
      <c r="E419" s="24">
        <f t="shared" si="75"/>
        <v>0</v>
      </c>
      <c r="F419" s="717"/>
      <c r="G419" s="24">
        <f t="shared" si="76"/>
        <v>1</v>
      </c>
      <c r="H419" s="717"/>
      <c r="I419" s="24">
        <f t="shared" si="77"/>
        <v>1</v>
      </c>
      <c r="J419" s="717"/>
      <c r="K419" s="24">
        <f t="shared" si="78"/>
        <v>1</v>
      </c>
      <c r="L419" s="717"/>
      <c r="M419" s="24">
        <f t="shared" si="79"/>
        <v>1</v>
      </c>
      <c r="N419" s="717"/>
      <c r="O419" s="24">
        <f t="shared" si="80"/>
        <v>1</v>
      </c>
      <c r="P419" s="717"/>
      <c r="Q419" s="24">
        <f t="shared" si="81"/>
        <v>0.04</v>
      </c>
      <c r="R419" s="713">
        <f t="shared" si="82"/>
        <v>0</v>
      </c>
      <c r="S419" s="361">
        <f t="shared" si="73"/>
        <v>0</v>
      </c>
    </row>
    <row r="420" spans="1:19">
      <c r="A420" s="159"/>
      <c r="B420" s="59"/>
      <c r="C420" s="24">
        <f t="shared" si="74"/>
        <v>1</v>
      </c>
      <c r="D420" s="717"/>
      <c r="E420" s="24">
        <f t="shared" si="75"/>
        <v>0</v>
      </c>
      <c r="F420" s="717"/>
      <c r="G420" s="24">
        <f t="shared" si="76"/>
        <v>1</v>
      </c>
      <c r="H420" s="717"/>
      <c r="I420" s="24">
        <f t="shared" si="77"/>
        <v>1</v>
      </c>
      <c r="J420" s="717"/>
      <c r="K420" s="24">
        <f t="shared" si="78"/>
        <v>1</v>
      </c>
      <c r="L420" s="717"/>
      <c r="M420" s="24">
        <f t="shared" si="79"/>
        <v>1</v>
      </c>
      <c r="N420" s="717"/>
      <c r="O420" s="24">
        <f t="shared" si="80"/>
        <v>1</v>
      </c>
      <c r="P420" s="717"/>
      <c r="Q420" s="24">
        <f t="shared" si="81"/>
        <v>0.04</v>
      </c>
      <c r="R420" s="713">
        <f t="shared" si="82"/>
        <v>0</v>
      </c>
      <c r="S420" s="361">
        <f t="shared" si="73"/>
        <v>0</v>
      </c>
    </row>
    <row r="421" spans="1:19">
      <c r="A421" s="159"/>
      <c r="B421" s="59"/>
      <c r="C421" s="24">
        <f t="shared" si="74"/>
        <v>1</v>
      </c>
      <c r="D421" s="717"/>
      <c r="E421" s="24">
        <f t="shared" si="75"/>
        <v>0</v>
      </c>
      <c r="F421" s="717"/>
      <c r="G421" s="24">
        <f t="shared" si="76"/>
        <v>1</v>
      </c>
      <c r="H421" s="717"/>
      <c r="I421" s="24">
        <f t="shared" si="77"/>
        <v>1</v>
      </c>
      <c r="J421" s="717"/>
      <c r="K421" s="24">
        <f t="shared" si="78"/>
        <v>1</v>
      </c>
      <c r="L421" s="717"/>
      <c r="M421" s="24">
        <f t="shared" si="79"/>
        <v>1</v>
      </c>
      <c r="N421" s="717"/>
      <c r="O421" s="24">
        <f t="shared" si="80"/>
        <v>1</v>
      </c>
      <c r="P421" s="717"/>
      <c r="Q421" s="24">
        <f t="shared" si="81"/>
        <v>0.04</v>
      </c>
      <c r="R421" s="713">
        <f t="shared" si="82"/>
        <v>0</v>
      </c>
      <c r="S421" s="361">
        <f t="shared" si="73"/>
        <v>0</v>
      </c>
    </row>
    <row r="422" spans="1:19">
      <c r="A422" s="159"/>
      <c r="B422" s="59"/>
      <c r="C422" s="24">
        <f t="shared" si="74"/>
        <v>1</v>
      </c>
      <c r="D422" s="717"/>
      <c r="E422" s="24">
        <f t="shared" si="75"/>
        <v>0</v>
      </c>
      <c r="F422" s="717"/>
      <c r="G422" s="24">
        <f t="shared" si="76"/>
        <v>1</v>
      </c>
      <c r="H422" s="717"/>
      <c r="I422" s="24">
        <f t="shared" si="77"/>
        <v>1</v>
      </c>
      <c r="J422" s="717"/>
      <c r="K422" s="24">
        <f t="shared" si="78"/>
        <v>1</v>
      </c>
      <c r="L422" s="717"/>
      <c r="M422" s="24">
        <f t="shared" si="79"/>
        <v>1</v>
      </c>
      <c r="N422" s="717"/>
      <c r="O422" s="24">
        <f t="shared" si="80"/>
        <v>1</v>
      </c>
      <c r="P422" s="717"/>
      <c r="Q422" s="24">
        <f t="shared" si="81"/>
        <v>0.04</v>
      </c>
      <c r="R422" s="713">
        <f t="shared" si="82"/>
        <v>0</v>
      </c>
      <c r="S422" s="361">
        <f t="shared" si="73"/>
        <v>0</v>
      </c>
    </row>
    <row r="423" spans="1:19">
      <c r="A423" s="159"/>
      <c r="B423" s="59"/>
      <c r="C423" s="24">
        <f t="shared" si="74"/>
        <v>1</v>
      </c>
      <c r="D423" s="717"/>
      <c r="E423" s="24">
        <f t="shared" si="75"/>
        <v>0</v>
      </c>
      <c r="F423" s="717"/>
      <c r="G423" s="24">
        <f t="shared" si="76"/>
        <v>1</v>
      </c>
      <c r="H423" s="717"/>
      <c r="I423" s="24">
        <f t="shared" si="77"/>
        <v>1</v>
      </c>
      <c r="J423" s="717"/>
      <c r="K423" s="24">
        <f t="shared" si="78"/>
        <v>1</v>
      </c>
      <c r="L423" s="717"/>
      <c r="M423" s="24">
        <f t="shared" si="79"/>
        <v>1</v>
      </c>
      <c r="N423" s="717"/>
      <c r="O423" s="24">
        <f t="shared" si="80"/>
        <v>1</v>
      </c>
      <c r="P423" s="717"/>
      <c r="Q423" s="24">
        <f t="shared" si="81"/>
        <v>0.04</v>
      </c>
      <c r="R423" s="713">
        <f t="shared" si="82"/>
        <v>0</v>
      </c>
      <c r="S423" s="361">
        <f t="shared" ref="S423:S467" si="83">ROUND(R423*B423/10000,0)</f>
        <v>0</v>
      </c>
    </row>
    <row r="424" spans="1:19">
      <c r="A424" s="159"/>
      <c r="B424" s="59"/>
      <c r="C424" s="24">
        <f t="shared" si="74"/>
        <v>1</v>
      </c>
      <c r="D424" s="717"/>
      <c r="E424" s="24">
        <f t="shared" si="75"/>
        <v>0</v>
      </c>
      <c r="F424" s="717"/>
      <c r="G424" s="24">
        <f t="shared" si="76"/>
        <v>1</v>
      </c>
      <c r="H424" s="717"/>
      <c r="I424" s="24">
        <f t="shared" si="77"/>
        <v>1</v>
      </c>
      <c r="J424" s="717"/>
      <c r="K424" s="24">
        <f t="shared" si="78"/>
        <v>1</v>
      </c>
      <c r="L424" s="717"/>
      <c r="M424" s="24">
        <f t="shared" si="79"/>
        <v>1</v>
      </c>
      <c r="N424" s="717"/>
      <c r="O424" s="24">
        <f t="shared" si="80"/>
        <v>1</v>
      </c>
      <c r="P424" s="717"/>
      <c r="Q424" s="24">
        <f t="shared" si="81"/>
        <v>0.04</v>
      </c>
      <c r="R424" s="713">
        <f t="shared" si="82"/>
        <v>0</v>
      </c>
      <c r="S424" s="361">
        <f t="shared" si="83"/>
        <v>0</v>
      </c>
    </row>
    <row r="425" spans="1:19">
      <c r="A425" s="159"/>
      <c r="B425" s="59"/>
      <c r="C425" s="24">
        <f t="shared" si="74"/>
        <v>1</v>
      </c>
      <c r="D425" s="717"/>
      <c r="E425" s="24">
        <f t="shared" si="75"/>
        <v>0</v>
      </c>
      <c r="F425" s="717"/>
      <c r="G425" s="24">
        <f t="shared" si="76"/>
        <v>1</v>
      </c>
      <c r="H425" s="717"/>
      <c r="I425" s="24">
        <f t="shared" si="77"/>
        <v>1</v>
      </c>
      <c r="J425" s="717"/>
      <c r="K425" s="24">
        <f t="shared" si="78"/>
        <v>1</v>
      </c>
      <c r="L425" s="717"/>
      <c r="M425" s="24">
        <f t="shared" si="79"/>
        <v>1</v>
      </c>
      <c r="N425" s="717"/>
      <c r="O425" s="24">
        <f t="shared" si="80"/>
        <v>1</v>
      </c>
      <c r="P425" s="717"/>
      <c r="Q425" s="24">
        <f t="shared" si="81"/>
        <v>0.04</v>
      </c>
      <c r="R425" s="713">
        <f t="shared" si="82"/>
        <v>0</v>
      </c>
      <c r="S425" s="361">
        <f t="shared" si="83"/>
        <v>0</v>
      </c>
    </row>
    <row r="426" spans="1:19">
      <c r="A426" s="159"/>
      <c r="B426" s="59"/>
      <c r="C426" s="24">
        <f t="shared" si="74"/>
        <v>1</v>
      </c>
      <c r="D426" s="717"/>
      <c r="E426" s="24">
        <f t="shared" si="75"/>
        <v>0</v>
      </c>
      <c r="F426" s="717"/>
      <c r="G426" s="24">
        <f t="shared" si="76"/>
        <v>1</v>
      </c>
      <c r="H426" s="717"/>
      <c r="I426" s="24">
        <f t="shared" si="77"/>
        <v>1</v>
      </c>
      <c r="J426" s="717"/>
      <c r="K426" s="24">
        <f t="shared" si="78"/>
        <v>1</v>
      </c>
      <c r="L426" s="717"/>
      <c r="M426" s="24">
        <f t="shared" si="79"/>
        <v>1</v>
      </c>
      <c r="N426" s="717"/>
      <c r="O426" s="24">
        <f t="shared" si="80"/>
        <v>1</v>
      </c>
      <c r="P426" s="717"/>
      <c r="Q426" s="24">
        <f t="shared" si="81"/>
        <v>0.04</v>
      </c>
      <c r="R426" s="713">
        <f t="shared" si="82"/>
        <v>0</v>
      </c>
      <c r="S426" s="361">
        <f t="shared" si="83"/>
        <v>0</v>
      </c>
    </row>
    <row r="427" spans="1:19">
      <c r="A427" s="159"/>
      <c r="B427" s="59"/>
      <c r="C427" s="24">
        <f t="shared" si="74"/>
        <v>1</v>
      </c>
      <c r="D427" s="717"/>
      <c r="E427" s="24">
        <f t="shared" si="75"/>
        <v>0</v>
      </c>
      <c r="F427" s="717"/>
      <c r="G427" s="24">
        <f t="shared" si="76"/>
        <v>1</v>
      </c>
      <c r="H427" s="717"/>
      <c r="I427" s="24">
        <f t="shared" si="77"/>
        <v>1</v>
      </c>
      <c r="J427" s="717"/>
      <c r="K427" s="24">
        <f t="shared" si="78"/>
        <v>1</v>
      </c>
      <c r="L427" s="717"/>
      <c r="M427" s="24">
        <f t="shared" si="79"/>
        <v>1</v>
      </c>
      <c r="N427" s="717"/>
      <c r="O427" s="24">
        <f t="shared" si="80"/>
        <v>1</v>
      </c>
      <c r="P427" s="717"/>
      <c r="Q427" s="24">
        <f t="shared" si="81"/>
        <v>0.04</v>
      </c>
      <c r="R427" s="713">
        <f t="shared" si="82"/>
        <v>0</v>
      </c>
      <c r="S427" s="361">
        <f t="shared" si="83"/>
        <v>0</v>
      </c>
    </row>
    <row r="428" spans="1:19">
      <c r="A428" s="159"/>
      <c r="B428" s="59"/>
      <c r="C428" s="24">
        <f t="shared" si="74"/>
        <v>1</v>
      </c>
      <c r="D428" s="717"/>
      <c r="E428" s="24">
        <f t="shared" si="75"/>
        <v>0</v>
      </c>
      <c r="F428" s="717"/>
      <c r="G428" s="24">
        <f t="shared" si="76"/>
        <v>1</v>
      </c>
      <c r="H428" s="717"/>
      <c r="I428" s="24">
        <f t="shared" si="77"/>
        <v>1</v>
      </c>
      <c r="J428" s="717"/>
      <c r="K428" s="24">
        <f t="shared" si="78"/>
        <v>1</v>
      </c>
      <c r="L428" s="717"/>
      <c r="M428" s="24">
        <f t="shared" si="79"/>
        <v>1</v>
      </c>
      <c r="N428" s="717"/>
      <c r="O428" s="24">
        <f t="shared" si="80"/>
        <v>1</v>
      </c>
      <c r="P428" s="717"/>
      <c r="Q428" s="24">
        <f t="shared" si="81"/>
        <v>0.04</v>
      </c>
      <c r="R428" s="713">
        <f t="shared" si="82"/>
        <v>0</v>
      </c>
      <c r="S428" s="361">
        <f t="shared" si="83"/>
        <v>0</v>
      </c>
    </row>
    <row r="429" spans="1:19">
      <c r="A429" s="159"/>
      <c r="B429" s="59"/>
      <c r="C429" s="24">
        <f t="shared" si="74"/>
        <v>1</v>
      </c>
      <c r="D429" s="717"/>
      <c r="E429" s="24">
        <f t="shared" si="75"/>
        <v>0</v>
      </c>
      <c r="F429" s="717"/>
      <c r="G429" s="24">
        <f t="shared" si="76"/>
        <v>1</v>
      </c>
      <c r="H429" s="717"/>
      <c r="I429" s="24">
        <f t="shared" si="77"/>
        <v>1</v>
      </c>
      <c r="J429" s="717"/>
      <c r="K429" s="24">
        <f t="shared" si="78"/>
        <v>1</v>
      </c>
      <c r="L429" s="717"/>
      <c r="M429" s="24">
        <f t="shared" si="79"/>
        <v>1</v>
      </c>
      <c r="N429" s="717"/>
      <c r="O429" s="24">
        <f t="shared" si="80"/>
        <v>1</v>
      </c>
      <c r="P429" s="717"/>
      <c r="Q429" s="24">
        <f t="shared" si="81"/>
        <v>0.04</v>
      </c>
      <c r="R429" s="713">
        <f t="shared" si="82"/>
        <v>0</v>
      </c>
      <c r="S429" s="361">
        <f t="shared" si="83"/>
        <v>0</v>
      </c>
    </row>
    <row r="430" spans="1:19">
      <c r="A430" s="159"/>
      <c r="B430" s="59"/>
      <c r="C430" s="24">
        <f t="shared" si="74"/>
        <v>1</v>
      </c>
      <c r="D430" s="717"/>
      <c r="E430" s="24">
        <f t="shared" si="75"/>
        <v>0</v>
      </c>
      <c r="F430" s="717"/>
      <c r="G430" s="24">
        <f t="shared" si="76"/>
        <v>1</v>
      </c>
      <c r="H430" s="717"/>
      <c r="I430" s="24">
        <f t="shared" si="77"/>
        <v>1</v>
      </c>
      <c r="J430" s="717"/>
      <c r="K430" s="24">
        <f t="shared" si="78"/>
        <v>1</v>
      </c>
      <c r="L430" s="717"/>
      <c r="M430" s="24">
        <f t="shared" si="79"/>
        <v>1</v>
      </c>
      <c r="N430" s="717"/>
      <c r="O430" s="24">
        <f t="shared" si="80"/>
        <v>1</v>
      </c>
      <c r="P430" s="717"/>
      <c r="Q430" s="24">
        <f t="shared" si="81"/>
        <v>0.04</v>
      </c>
      <c r="R430" s="713">
        <f t="shared" si="82"/>
        <v>0</v>
      </c>
      <c r="S430" s="361">
        <f t="shared" si="83"/>
        <v>0</v>
      </c>
    </row>
    <row r="431" spans="1:19">
      <c r="A431" s="159"/>
      <c r="B431" s="59"/>
      <c r="C431" s="24">
        <f t="shared" si="74"/>
        <v>1</v>
      </c>
      <c r="D431" s="717"/>
      <c r="E431" s="24">
        <f t="shared" si="75"/>
        <v>0</v>
      </c>
      <c r="F431" s="717"/>
      <c r="G431" s="24">
        <f t="shared" si="76"/>
        <v>1</v>
      </c>
      <c r="H431" s="717"/>
      <c r="I431" s="24">
        <f t="shared" si="77"/>
        <v>1</v>
      </c>
      <c r="J431" s="717"/>
      <c r="K431" s="24">
        <f t="shared" si="78"/>
        <v>1</v>
      </c>
      <c r="L431" s="717"/>
      <c r="M431" s="24">
        <f t="shared" si="79"/>
        <v>1</v>
      </c>
      <c r="N431" s="717"/>
      <c r="O431" s="24">
        <f t="shared" si="80"/>
        <v>1</v>
      </c>
      <c r="P431" s="717"/>
      <c r="Q431" s="24">
        <f t="shared" si="81"/>
        <v>0.04</v>
      </c>
      <c r="R431" s="713">
        <f t="shared" si="82"/>
        <v>0</v>
      </c>
      <c r="S431" s="361">
        <f t="shared" si="83"/>
        <v>0</v>
      </c>
    </row>
    <row r="432" spans="1:19">
      <c r="A432" s="159"/>
      <c r="B432" s="59"/>
      <c r="C432" s="24">
        <f t="shared" si="74"/>
        <v>1</v>
      </c>
      <c r="D432" s="717"/>
      <c r="E432" s="24">
        <f t="shared" si="75"/>
        <v>0</v>
      </c>
      <c r="F432" s="717"/>
      <c r="G432" s="24">
        <f t="shared" si="76"/>
        <v>1</v>
      </c>
      <c r="H432" s="717"/>
      <c r="I432" s="24">
        <f t="shared" si="77"/>
        <v>1</v>
      </c>
      <c r="J432" s="717"/>
      <c r="K432" s="24">
        <f t="shared" si="78"/>
        <v>1</v>
      </c>
      <c r="L432" s="717"/>
      <c r="M432" s="24">
        <f t="shared" si="79"/>
        <v>1</v>
      </c>
      <c r="N432" s="717"/>
      <c r="O432" s="24">
        <f t="shared" si="80"/>
        <v>1</v>
      </c>
      <c r="P432" s="717"/>
      <c r="Q432" s="24">
        <f t="shared" si="81"/>
        <v>0.04</v>
      </c>
      <c r="R432" s="713">
        <f t="shared" si="82"/>
        <v>0</v>
      </c>
      <c r="S432" s="361">
        <f t="shared" si="83"/>
        <v>0</v>
      </c>
    </row>
    <row r="433" spans="1:19">
      <c r="A433" s="159"/>
      <c r="B433" s="59"/>
      <c r="C433" s="24">
        <f t="shared" si="74"/>
        <v>1</v>
      </c>
      <c r="D433" s="717"/>
      <c r="E433" s="24">
        <f t="shared" si="75"/>
        <v>0</v>
      </c>
      <c r="F433" s="717"/>
      <c r="G433" s="24">
        <f t="shared" si="76"/>
        <v>1</v>
      </c>
      <c r="H433" s="717"/>
      <c r="I433" s="24">
        <f t="shared" si="77"/>
        <v>1</v>
      </c>
      <c r="J433" s="717"/>
      <c r="K433" s="24">
        <f t="shared" si="78"/>
        <v>1</v>
      </c>
      <c r="L433" s="717"/>
      <c r="M433" s="24">
        <f t="shared" si="79"/>
        <v>1</v>
      </c>
      <c r="N433" s="717"/>
      <c r="O433" s="24">
        <f t="shared" si="80"/>
        <v>1</v>
      </c>
      <c r="P433" s="717"/>
      <c r="Q433" s="24">
        <f t="shared" si="81"/>
        <v>0.04</v>
      </c>
      <c r="R433" s="713">
        <f t="shared" si="82"/>
        <v>0</v>
      </c>
      <c r="S433" s="361">
        <f t="shared" si="83"/>
        <v>0</v>
      </c>
    </row>
    <row r="434" spans="1:19">
      <c r="A434" s="159"/>
      <c r="B434" s="59"/>
      <c r="C434" s="24">
        <f t="shared" si="74"/>
        <v>1</v>
      </c>
      <c r="D434" s="717"/>
      <c r="E434" s="24">
        <f t="shared" si="75"/>
        <v>0</v>
      </c>
      <c r="F434" s="717"/>
      <c r="G434" s="24">
        <f t="shared" si="76"/>
        <v>1</v>
      </c>
      <c r="H434" s="717"/>
      <c r="I434" s="24">
        <f t="shared" si="77"/>
        <v>1</v>
      </c>
      <c r="J434" s="717"/>
      <c r="K434" s="24">
        <f t="shared" si="78"/>
        <v>1</v>
      </c>
      <c r="L434" s="717"/>
      <c r="M434" s="24">
        <f t="shared" si="79"/>
        <v>1</v>
      </c>
      <c r="N434" s="717"/>
      <c r="O434" s="24">
        <f t="shared" si="80"/>
        <v>1</v>
      </c>
      <c r="P434" s="717"/>
      <c r="Q434" s="24">
        <f t="shared" si="81"/>
        <v>0.04</v>
      </c>
      <c r="R434" s="713">
        <f t="shared" si="82"/>
        <v>0</v>
      </c>
      <c r="S434" s="361">
        <f t="shared" si="83"/>
        <v>0</v>
      </c>
    </row>
    <row r="435" spans="1:19">
      <c r="A435" s="159"/>
      <c r="B435" s="59"/>
      <c r="C435" s="24">
        <f t="shared" si="74"/>
        <v>1</v>
      </c>
      <c r="D435" s="717"/>
      <c r="E435" s="24">
        <f t="shared" si="75"/>
        <v>0</v>
      </c>
      <c r="F435" s="717"/>
      <c r="G435" s="24">
        <f t="shared" si="76"/>
        <v>1</v>
      </c>
      <c r="H435" s="717"/>
      <c r="I435" s="24">
        <f t="shared" si="77"/>
        <v>1</v>
      </c>
      <c r="J435" s="717"/>
      <c r="K435" s="24">
        <f t="shared" si="78"/>
        <v>1</v>
      </c>
      <c r="L435" s="717"/>
      <c r="M435" s="24">
        <f t="shared" si="79"/>
        <v>1</v>
      </c>
      <c r="N435" s="717"/>
      <c r="O435" s="24">
        <f t="shared" si="80"/>
        <v>1</v>
      </c>
      <c r="P435" s="717"/>
      <c r="Q435" s="24">
        <f t="shared" si="81"/>
        <v>0.04</v>
      </c>
      <c r="R435" s="713">
        <f t="shared" si="82"/>
        <v>0</v>
      </c>
      <c r="S435" s="361">
        <f t="shared" si="83"/>
        <v>0</v>
      </c>
    </row>
    <row r="436" spans="1:19">
      <c r="A436" s="159"/>
      <c r="B436" s="59"/>
      <c r="C436" s="24">
        <f t="shared" si="74"/>
        <v>1</v>
      </c>
      <c r="D436" s="717"/>
      <c r="E436" s="24">
        <f t="shared" si="75"/>
        <v>0</v>
      </c>
      <c r="F436" s="717"/>
      <c r="G436" s="24">
        <f t="shared" si="76"/>
        <v>1</v>
      </c>
      <c r="H436" s="717"/>
      <c r="I436" s="24">
        <f t="shared" si="77"/>
        <v>1</v>
      </c>
      <c r="J436" s="717"/>
      <c r="K436" s="24">
        <f t="shared" si="78"/>
        <v>1</v>
      </c>
      <c r="L436" s="717"/>
      <c r="M436" s="24">
        <f t="shared" si="79"/>
        <v>1</v>
      </c>
      <c r="N436" s="717"/>
      <c r="O436" s="24">
        <f t="shared" si="80"/>
        <v>1</v>
      </c>
      <c r="P436" s="717"/>
      <c r="Q436" s="24">
        <f t="shared" si="81"/>
        <v>0.04</v>
      </c>
      <c r="R436" s="713">
        <f t="shared" si="82"/>
        <v>0</v>
      </c>
      <c r="S436" s="361">
        <f t="shared" si="83"/>
        <v>0</v>
      </c>
    </row>
    <row r="437" spans="1:19">
      <c r="A437" s="159"/>
      <c r="B437" s="59"/>
      <c r="C437" s="24">
        <f t="shared" si="74"/>
        <v>1</v>
      </c>
      <c r="D437" s="717"/>
      <c r="E437" s="24">
        <f t="shared" si="75"/>
        <v>0</v>
      </c>
      <c r="F437" s="717"/>
      <c r="G437" s="24">
        <f t="shared" si="76"/>
        <v>1</v>
      </c>
      <c r="H437" s="717"/>
      <c r="I437" s="24">
        <f t="shared" si="77"/>
        <v>1</v>
      </c>
      <c r="J437" s="717"/>
      <c r="K437" s="24">
        <f t="shared" si="78"/>
        <v>1</v>
      </c>
      <c r="L437" s="717"/>
      <c r="M437" s="24">
        <f t="shared" si="79"/>
        <v>1</v>
      </c>
      <c r="N437" s="717"/>
      <c r="O437" s="24">
        <f t="shared" si="80"/>
        <v>1</v>
      </c>
      <c r="P437" s="717"/>
      <c r="Q437" s="24">
        <f t="shared" si="81"/>
        <v>0.04</v>
      </c>
      <c r="R437" s="713">
        <f t="shared" si="82"/>
        <v>0</v>
      </c>
      <c r="S437" s="361">
        <f t="shared" si="83"/>
        <v>0</v>
      </c>
    </row>
    <row r="438" spans="1:19">
      <c r="A438" s="159"/>
      <c r="B438" s="59"/>
      <c r="C438" s="24">
        <f t="shared" si="74"/>
        <v>1</v>
      </c>
      <c r="D438" s="717"/>
      <c r="E438" s="24">
        <f t="shared" si="75"/>
        <v>0</v>
      </c>
      <c r="F438" s="717"/>
      <c r="G438" s="24">
        <f t="shared" si="76"/>
        <v>1</v>
      </c>
      <c r="H438" s="717"/>
      <c r="I438" s="24">
        <f t="shared" si="77"/>
        <v>1</v>
      </c>
      <c r="J438" s="717"/>
      <c r="K438" s="24">
        <f t="shared" si="78"/>
        <v>1</v>
      </c>
      <c r="L438" s="717"/>
      <c r="M438" s="24">
        <f t="shared" si="79"/>
        <v>1</v>
      </c>
      <c r="N438" s="717"/>
      <c r="O438" s="24">
        <f t="shared" si="80"/>
        <v>1</v>
      </c>
      <c r="P438" s="717"/>
      <c r="Q438" s="24">
        <f t="shared" si="81"/>
        <v>0.04</v>
      </c>
      <c r="R438" s="713">
        <f t="shared" si="82"/>
        <v>0</v>
      </c>
      <c r="S438" s="361">
        <f t="shared" si="83"/>
        <v>0</v>
      </c>
    </row>
    <row r="439" spans="1:19">
      <c r="A439" s="159"/>
      <c r="B439" s="59"/>
      <c r="C439" s="24">
        <f t="shared" si="74"/>
        <v>1</v>
      </c>
      <c r="D439" s="717"/>
      <c r="E439" s="24">
        <f t="shared" si="75"/>
        <v>0</v>
      </c>
      <c r="F439" s="717"/>
      <c r="G439" s="24">
        <f t="shared" si="76"/>
        <v>1</v>
      </c>
      <c r="H439" s="717"/>
      <c r="I439" s="24">
        <f t="shared" si="77"/>
        <v>1</v>
      </c>
      <c r="J439" s="717"/>
      <c r="K439" s="24">
        <f t="shared" si="78"/>
        <v>1</v>
      </c>
      <c r="L439" s="717"/>
      <c r="M439" s="24">
        <f t="shared" si="79"/>
        <v>1</v>
      </c>
      <c r="N439" s="717"/>
      <c r="O439" s="24">
        <f t="shared" si="80"/>
        <v>1</v>
      </c>
      <c r="P439" s="717"/>
      <c r="Q439" s="24">
        <f t="shared" si="81"/>
        <v>0.04</v>
      </c>
      <c r="R439" s="713">
        <f t="shared" si="82"/>
        <v>0</v>
      </c>
      <c r="S439" s="361">
        <f t="shared" si="83"/>
        <v>0</v>
      </c>
    </row>
    <row r="440" spans="1:19">
      <c r="A440" s="159"/>
      <c r="B440" s="59"/>
      <c r="C440" s="24">
        <f t="shared" si="74"/>
        <v>1</v>
      </c>
      <c r="D440" s="717"/>
      <c r="E440" s="24">
        <f t="shared" si="75"/>
        <v>0</v>
      </c>
      <c r="F440" s="717"/>
      <c r="G440" s="24">
        <f t="shared" si="76"/>
        <v>1</v>
      </c>
      <c r="H440" s="717"/>
      <c r="I440" s="24">
        <f t="shared" si="77"/>
        <v>1</v>
      </c>
      <c r="J440" s="717"/>
      <c r="K440" s="24">
        <f t="shared" si="78"/>
        <v>1</v>
      </c>
      <c r="L440" s="717"/>
      <c r="M440" s="24">
        <f t="shared" si="79"/>
        <v>1</v>
      </c>
      <c r="N440" s="717"/>
      <c r="O440" s="24">
        <f t="shared" si="80"/>
        <v>1</v>
      </c>
      <c r="P440" s="717"/>
      <c r="Q440" s="24">
        <f t="shared" si="81"/>
        <v>0.04</v>
      </c>
      <c r="R440" s="713">
        <f t="shared" si="82"/>
        <v>0</v>
      </c>
      <c r="S440" s="361">
        <f t="shared" si="83"/>
        <v>0</v>
      </c>
    </row>
    <row r="441" spans="1:19">
      <c r="A441" s="159"/>
      <c r="B441" s="59"/>
      <c r="C441" s="24">
        <f t="shared" si="74"/>
        <v>1</v>
      </c>
      <c r="D441" s="717"/>
      <c r="E441" s="24">
        <f t="shared" si="75"/>
        <v>0</v>
      </c>
      <c r="F441" s="717"/>
      <c r="G441" s="24">
        <f t="shared" si="76"/>
        <v>1</v>
      </c>
      <c r="H441" s="717"/>
      <c r="I441" s="24">
        <f t="shared" si="77"/>
        <v>1</v>
      </c>
      <c r="J441" s="717"/>
      <c r="K441" s="24">
        <f t="shared" si="78"/>
        <v>1</v>
      </c>
      <c r="L441" s="717"/>
      <c r="M441" s="24">
        <f t="shared" si="79"/>
        <v>1</v>
      </c>
      <c r="N441" s="717"/>
      <c r="O441" s="24">
        <f t="shared" si="80"/>
        <v>1</v>
      </c>
      <c r="P441" s="717"/>
      <c r="Q441" s="24">
        <f t="shared" si="81"/>
        <v>0.04</v>
      </c>
      <c r="R441" s="713">
        <f t="shared" si="82"/>
        <v>0</v>
      </c>
      <c r="S441" s="361">
        <f t="shared" si="83"/>
        <v>0</v>
      </c>
    </row>
    <row r="442" spans="1:19">
      <c r="A442" s="159"/>
      <c r="B442" s="59"/>
      <c r="C442" s="24">
        <f t="shared" si="74"/>
        <v>1</v>
      </c>
      <c r="D442" s="717"/>
      <c r="E442" s="24">
        <f t="shared" si="75"/>
        <v>0</v>
      </c>
      <c r="F442" s="717"/>
      <c r="G442" s="24">
        <f t="shared" si="76"/>
        <v>1</v>
      </c>
      <c r="H442" s="717"/>
      <c r="I442" s="24">
        <f t="shared" si="77"/>
        <v>1</v>
      </c>
      <c r="J442" s="717"/>
      <c r="K442" s="24">
        <f t="shared" si="78"/>
        <v>1</v>
      </c>
      <c r="L442" s="717"/>
      <c r="M442" s="24">
        <f t="shared" si="79"/>
        <v>1</v>
      </c>
      <c r="N442" s="717"/>
      <c r="O442" s="24">
        <f t="shared" si="80"/>
        <v>1</v>
      </c>
      <c r="P442" s="717"/>
      <c r="Q442" s="24">
        <f t="shared" si="81"/>
        <v>0.04</v>
      </c>
      <c r="R442" s="713">
        <f t="shared" si="82"/>
        <v>0</v>
      </c>
      <c r="S442" s="361">
        <f t="shared" si="83"/>
        <v>0</v>
      </c>
    </row>
    <row r="443" spans="1:19">
      <c r="A443" s="159"/>
      <c r="B443" s="59"/>
      <c r="C443" s="24">
        <f t="shared" si="74"/>
        <v>1</v>
      </c>
      <c r="D443" s="717"/>
      <c r="E443" s="24">
        <f t="shared" si="75"/>
        <v>0</v>
      </c>
      <c r="F443" s="717"/>
      <c r="G443" s="24">
        <f t="shared" si="76"/>
        <v>1</v>
      </c>
      <c r="H443" s="717"/>
      <c r="I443" s="24">
        <f t="shared" si="77"/>
        <v>1</v>
      </c>
      <c r="J443" s="717"/>
      <c r="K443" s="24">
        <f t="shared" si="78"/>
        <v>1</v>
      </c>
      <c r="L443" s="717"/>
      <c r="M443" s="24">
        <f t="shared" si="79"/>
        <v>1</v>
      </c>
      <c r="N443" s="717"/>
      <c r="O443" s="24">
        <f t="shared" si="80"/>
        <v>1</v>
      </c>
      <c r="P443" s="717"/>
      <c r="Q443" s="24">
        <f t="shared" si="81"/>
        <v>0.04</v>
      </c>
      <c r="R443" s="713">
        <f t="shared" si="82"/>
        <v>0</v>
      </c>
      <c r="S443" s="361">
        <f t="shared" si="83"/>
        <v>0</v>
      </c>
    </row>
    <row r="444" spans="1:19">
      <c r="A444" s="159"/>
      <c r="B444" s="59"/>
      <c r="C444" s="24">
        <f t="shared" si="74"/>
        <v>1</v>
      </c>
      <c r="D444" s="717"/>
      <c r="E444" s="24">
        <f t="shared" si="75"/>
        <v>0</v>
      </c>
      <c r="F444" s="717"/>
      <c r="G444" s="24">
        <f t="shared" si="76"/>
        <v>1</v>
      </c>
      <c r="H444" s="717"/>
      <c r="I444" s="24">
        <f t="shared" si="77"/>
        <v>1</v>
      </c>
      <c r="J444" s="717"/>
      <c r="K444" s="24">
        <f t="shared" si="78"/>
        <v>1</v>
      </c>
      <c r="L444" s="717"/>
      <c r="M444" s="24">
        <f t="shared" si="79"/>
        <v>1</v>
      </c>
      <c r="N444" s="717"/>
      <c r="O444" s="24">
        <f t="shared" si="80"/>
        <v>1</v>
      </c>
      <c r="P444" s="717"/>
      <c r="Q444" s="24">
        <f t="shared" si="81"/>
        <v>0.04</v>
      </c>
      <c r="R444" s="713">
        <f t="shared" si="82"/>
        <v>0</v>
      </c>
      <c r="S444" s="361">
        <f t="shared" si="83"/>
        <v>0</v>
      </c>
    </row>
    <row r="445" spans="1:19">
      <c r="A445" s="159"/>
      <c r="B445" s="59"/>
      <c r="C445" s="24">
        <f t="shared" si="74"/>
        <v>1</v>
      </c>
      <c r="D445" s="717"/>
      <c r="E445" s="24">
        <f t="shared" si="75"/>
        <v>0</v>
      </c>
      <c r="F445" s="717"/>
      <c r="G445" s="24">
        <f t="shared" si="76"/>
        <v>1</v>
      </c>
      <c r="H445" s="717"/>
      <c r="I445" s="24">
        <f t="shared" si="77"/>
        <v>1</v>
      </c>
      <c r="J445" s="717"/>
      <c r="K445" s="24">
        <f t="shared" si="78"/>
        <v>1</v>
      </c>
      <c r="L445" s="717"/>
      <c r="M445" s="24">
        <f t="shared" si="79"/>
        <v>1</v>
      </c>
      <c r="N445" s="717"/>
      <c r="O445" s="24">
        <f t="shared" si="80"/>
        <v>1</v>
      </c>
      <c r="P445" s="717"/>
      <c r="Q445" s="24">
        <f t="shared" si="81"/>
        <v>0.04</v>
      </c>
      <c r="R445" s="713">
        <f t="shared" si="82"/>
        <v>0</v>
      </c>
      <c r="S445" s="361">
        <f t="shared" si="83"/>
        <v>0</v>
      </c>
    </row>
    <row r="446" spans="1:19">
      <c r="A446" s="159"/>
      <c r="B446" s="59"/>
      <c r="C446" s="24">
        <f t="shared" si="74"/>
        <v>1</v>
      </c>
      <c r="D446" s="717"/>
      <c r="E446" s="24">
        <f t="shared" si="75"/>
        <v>0</v>
      </c>
      <c r="F446" s="717"/>
      <c r="G446" s="24">
        <f t="shared" si="76"/>
        <v>1</v>
      </c>
      <c r="H446" s="717"/>
      <c r="I446" s="24">
        <f t="shared" si="77"/>
        <v>1</v>
      </c>
      <c r="J446" s="717"/>
      <c r="K446" s="24">
        <f t="shared" si="78"/>
        <v>1</v>
      </c>
      <c r="L446" s="717"/>
      <c r="M446" s="24">
        <f t="shared" si="79"/>
        <v>1</v>
      </c>
      <c r="N446" s="717"/>
      <c r="O446" s="24">
        <f t="shared" si="80"/>
        <v>1</v>
      </c>
      <c r="P446" s="717"/>
      <c r="Q446" s="24">
        <f t="shared" si="81"/>
        <v>0.04</v>
      </c>
      <c r="R446" s="713">
        <f t="shared" si="82"/>
        <v>0</v>
      </c>
      <c r="S446" s="361">
        <f t="shared" si="83"/>
        <v>0</v>
      </c>
    </row>
    <row r="447" spans="1:19">
      <c r="A447" s="159"/>
      <c r="B447" s="59"/>
      <c r="C447" s="24">
        <f t="shared" si="74"/>
        <v>1</v>
      </c>
      <c r="D447" s="717"/>
      <c r="E447" s="24">
        <f t="shared" si="75"/>
        <v>0</v>
      </c>
      <c r="F447" s="717"/>
      <c r="G447" s="24">
        <f t="shared" si="76"/>
        <v>1</v>
      </c>
      <c r="H447" s="717"/>
      <c r="I447" s="24">
        <f t="shared" si="77"/>
        <v>1</v>
      </c>
      <c r="J447" s="717"/>
      <c r="K447" s="24">
        <f t="shared" si="78"/>
        <v>1</v>
      </c>
      <c r="L447" s="717"/>
      <c r="M447" s="24">
        <f t="shared" si="79"/>
        <v>1</v>
      </c>
      <c r="N447" s="717"/>
      <c r="O447" s="24">
        <f t="shared" si="80"/>
        <v>1</v>
      </c>
      <c r="P447" s="717"/>
      <c r="Q447" s="24">
        <f t="shared" si="81"/>
        <v>0.04</v>
      </c>
      <c r="R447" s="713">
        <f t="shared" si="82"/>
        <v>0</v>
      </c>
      <c r="S447" s="361">
        <f t="shared" si="83"/>
        <v>0</v>
      </c>
    </row>
    <row r="448" spans="1:19">
      <c r="A448" s="159"/>
      <c r="B448" s="59"/>
      <c r="C448" s="24">
        <f t="shared" si="74"/>
        <v>1</v>
      </c>
      <c r="D448" s="717"/>
      <c r="E448" s="24">
        <f t="shared" si="75"/>
        <v>0</v>
      </c>
      <c r="F448" s="717"/>
      <c r="G448" s="24">
        <f t="shared" si="76"/>
        <v>1</v>
      </c>
      <c r="H448" s="717"/>
      <c r="I448" s="24">
        <f t="shared" si="77"/>
        <v>1</v>
      </c>
      <c r="J448" s="717"/>
      <c r="K448" s="24">
        <f t="shared" si="78"/>
        <v>1</v>
      </c>
      <c r="L448" s="717"/>
      <c r="M448" s="24">
        <f t="shared" si="79"/>
        <v>1</v>
      </c>
      <c r="N448" s="717"/>
      <c r="O448" s="24">
        <f t="shared" si="80"/>
        <v>1</v>
      </c>
      <c r="P448" s="717"/>
      <c r="Q448" s="24">
        <f t="shared" si="81"/>
        <v>0.04</v>
      </c>
      <c r="R448" s="713">
        <f t="shared" si="82"/>
        <v>0</v>
      </c>
      <c r="S448" s="361">
        <f t="shared" si="83"/>
        <v>0</v>
      </c>
    </row>
    <row r="449" spans="1:19">
      <c r="A449" s="159"/>
      <c r="B449" s="59"/>
      <c r="C449" s="24">
        <f t="shared" si="74"/>
        <v>1</v>
      </c>
      <c r="D449" s="717"/>
      <c r="E449" s="24">
        <f t="shared" si="75"/>
        <v>0</v>
      </c>
      <c r="F449" s="717"/>
      <c r="G449" s="24">
        <f t="shared" si="76"/>
        <v>1</v>
      </c>
      <c r="H449" s="717"/>
      <c r="I449" s="24">
        <f t="shared" si="77"/>
        <v>1</v>
      </c>
      <c r="J449" s="717"/>
      <c r="K449" s="24">
        <f t="shared" si="78"/>
        <v>1</v>
      </c>
      <c r="L449" s="717"/>
      <c r="M449" s="24">
        <f t="shared" si="79"/>
        <v>1</v>
      </c>
      <c r="N449" s="717"/>
      <c r="O449" s="24">
        <f t="shared" si="80"/>
        <v>1</v>
      </c>
      <c r="P449" s="717"/>
      <c r="Q449" s="24">
        <f t="shared" si="81"/>
        <v>0.04</v>
      </c>
      <c r="R449" s="713">
        <f t="shared" si="82"/>
        <v>0</v>
      </c>
      <c r="S449" s="361">
        <f t="shared" si="83"/>
        <v>0</v>
      </c>
    </row>
    <row r="450" spans="1:19">
      <c r="A450" s="159"/>
      <c r="B450" s="59"/>
      <c r="C450" s="24">
        <f t="shared" si="74"/>
        <v>1</v>
      </c>
      <c r="D450" s="717"/>
      <c r="E450" s="24">
        <f t="shared" si="75"/>
        <v>0</v>
      </c>
      <c r="F450" s="717"/>
      <c r="G450" s="24">
        <f t="shared" si="76"/>
        <v>1</v>
      </c>
      <c r="H450" s="717"/>
      <c r="I450" s="24">
        <f t="shared" si="77"/>
        <v>1</v>
      </c>
      <c r="J450" s="717"/>
      <c r="K450" s="24">
        <f t="shared" si="78"/>
        <v>1</v>
      </c>
      <c r="L450" s="717"/>
      <c r="M450" s="24">
        <f t="shared" si="79"/>
        <v>1</v>
      </c>
      <c r="N450" s="717"/>
      <c r="O450" s="24">
        <f t="shared" si="80"/>
        <v>1</v>
      </c>
      <c r="P450" s="717"/>
      <c r="Q450" s="24">
        <f t="shared" si="81"/>
        <v>0.04</v>
      </c>
      <c r="R450" s="713">
        <f t="shared" si="82"/>
        <v>0</v>
      </c>
      <c r="S450" s="361">
        <f t="shared" si="83"/>
        <v>0</v>
      </c>
    </row>
    <row r="451" spans="1:19">
      <c r="A451" s="159"/>
      <c r="B451" s="59"/>
      <c r="C451" s="24">
        <f t="shared" si="74"/>
        <v>1</v>
      </c>
      <c r="D451" s="717"/>
      <c r="E451" s="24">
        <f t="shared" si="75"/>
        <v>0</v>
      </c>
      <c r="F451" s="717"/>
      <c r="G451" s="24">
        <f t="shared" si="76"/>
        <v>1</v>
      </c>
      <c r="H451" s="717"/>
      <c r="I451" s="24">
        <f t="shared" si="77"/>
        <v>1</v>
      </c>
      <c r="J451" s="717"/>
      <c r="K451" s="24">
        <f t="shared" si="78"/>
        <v>1</v>
      </c>
      <c r="L451" s="717"/>
      <c r="M451" s="24">
        <f t="shared" si="79"/>
        <v>1</v>
      </c>
      <c r="N451" s="717"/>
      <c r="O451" s="24">
        <f t="shared" si="80"/>
        <v>1</v>
      </c>
      <c r="P451" s="717"/>
      <c r="Q451" s="24">
        <f t="shared" si="81"/>
        <v>0.04</v>
      </c>
      <c r="R451" s="713">
        <f t="shared" si="82"/>
        <v>0</v>
      </c>
      <c r="S451" s="361">
        <f t="shared" si="83"/>
        <v>0</v>
      </c>
    </row>
    <row r="452" spans="1:19">
      <c r="A452" s="159"/>
      <c r="B452" s="59"/>
      <c r="C452" s="24">
        <f t="shared" si="74"/>
        <v>1</v>
      </c>
      <c r="D452" s="717"/>
      <c r="E452" s="24">
        <f t="shared" si="75"/>
        <v>0</v>
      </c>
      <c r="F452" s="717"/>
      <c r="G452" s="24">
        <f t="shared" si="76"/>
        <v>1</v>
      </c>
      <c r="H452" s="717"/>
      <c r="I452" s="24">
        <f t="shared" si="77"/>
        <v>1</v>
      </c>
      <c r="J452" s="717"/>
      <c r="K452" s="24">
        <f t="shared" si="78"/>
        <v>1</v>
      </c>
      <c r="L452" s="717"/>
      <c r="M452" s="24">
        <f t="shared" si="79"/>
        <v>1</v>
      </c>
      <c r="N452" s="717"/>
      <c r="O452" s="24">
        <f t="shared" si="80"/>
        <v>1</v>
      </c>
      <c r="P452" s="717"/>
      <c r="Q452" s="24">
        <f t="shared" si="81"/>
        <v>0.04</v>
      </c>
      <c r="R452" s="713">
        <f t="shared" si="82"/>
        <v>0</v>
      </c>
      <c r="S452" s="361">
        <f t="shared" si="83"/>
        <v>0</v>
      </c>
    </row>
    <row r="453" spans="1:19">
      <c r="A453" s="159"/>
      <c r="B453" s="59"/>
      <c r="C453" s="24">
        <f t="shared" si="74"/>
        <v>1</v>
      </c>
      <c r="D453" s="717"/>
      <c r="E453" s="24">
        <f t="shared" si="75"/>
        <v>0</v>
      </c>
      <c r="F453" s="717"/>
      <c r="G453" s="24">
        <f t="shared" si="76"/>
        <v>1</v>
      </c>
      <c r="H453" s="717"/>
      <c r="I453" s="24">
        <f t="shared" si="77"/>
        <v>1</v>
      </c>
      <c r="J453" s="717"/>
      <c r="K453" s="24">
        <f t="shared" si="78"/>
        <v>1</v>
      </c>
      <c r="L453" s="717"/>
      <c r="M453" s="24">
        <f t="shared" si="79"/>
        <v>1</v>
      </c>
      <c r="N453" s="717"/>
      <c r="O453" s="24">
        <f t="shared" si="80"/>
        <v>1</v>
      </c>
      <c r="P453" s="717"/>
      <c r="Q453" s="24">
        <f t="shared" si="81"/>
        <v>0.04</v>
      </c>
      <c r="R453" s="713">
        <f t="shared" si="82"/>
        <v>0</v>
      </c>
      <c r="S453" s="361">
        <f t="shared" si="83"/>
        <v>0</v>
      </c>
    </row>
    <row r="454" spans="1:19">
      <c r="A454" s="159"/>
      <c r="B454" s="59"/>
      <c r="C454" s="24">
        <f t="shared" si="74"/>
        <v>1</v>
      </c>
      <c r="D454" s="717"/>
      <c r="E454" s="24">
        <f t="shared" si="75"/>
        <v>0</v>
      </c>
      <c r="F454" s="717"/>
      <c r="G454" s="24">
        <f t="shared" si="76"/>
        <v>1</v>
      </c>
      <c r="H454" s="717"/>
      <c r="I454" s="24">
        <f t="shared" si="77"/>
        <v>1</v>
      </c>
      <c r="J454" s="717"/>
      <c r="K454" s="24">
        <f t="shared" si="78"/>
        <v>1</v>
      </c>
      <c r="L454" s="717"/>
      <c r="M454" s="24">
        <f t="shared" si="79"/>
        <v>1</v>
      </c>
      <c r="N454" s="717"/>
      <c r="O454" s="24">
        <f t="shared" si="80"/>
        <v>1</v>
      </c>
      <c r="P454" s="717"/>
      <c r="Q454" s="24">
        <f t="shared" si="81"/>
        <v>0.04</v>
      </c>
      <c r="R454" s="713">
        <f t="shared" si="82"/>
        <v>0</v>
      </c>
      <c r="S454" s="361">
        <f t="shared" si="83"/>
        <v>0</v>
      </c>
    </row>
    <row r="455" spans="1:19">
      <c r="A455" s="159"/>
      <c r="B455" s="59"/>
      <c r="C455" s="24">
        <f t="shared" si="74"/>
        <v>1</v>
      </c>
      <c r="D455" s="717"/>
      <c r="E455" s="24">
        <f t="shared" si="75"/>
        <v>0</v>
      </c>
      <c r="F455" s="717"/>
      <c r="G455" s="24">
        <f t="shared" si="76"/>
        <v>1</v>
      </c>
      <c r="H455" s="717"/>
      <c r="I455" s="24">
        <f t="shared" si="77"/>
        <v>1</v>
      </c>
      <c r="J455" s="717"/>
      <c r="K455" s="24">
        <f t="shared" si="78"/>
        <v>1</v>
      </c>
      <c r="L455" s="717"/>
      <c r="M455" s="24">
        <f t="shared" si="79"/>
        <v>1</v>
      </c>
      <c r="N455" s="717"/>
      <c r="O455" s="24">
        <f t="shared" si="80"/>
        <v>1</v>
      </c>
      <c r="P455" s="717"/>
      <c r="Q455" s="24">
        <f t="shared" si="81"/>
        <v>0.04</v>
      </c>
      <c r="R455" s="713">
        <f t="shared" si="82"/>
        <v>0</v>
      </c>
      <c r="S455" s="361">
        <f t="shared" si="83"/>
        <v>0</v>
      </c>
    </row>
    <row r="456" spans="1:19">
      <c r="A456" s="159"/>
      <c r="B456" s="59"/>
      <c r="C456" s="24">
        <f t="shared" si="74"/>
        <v>1</v>
      </c>
      <c r="D456" s="717"/>
      <c r="E456" s="24">
        <f t="shared" si="75"/>
        <v>0</v>
      </c>
      <c r="F456" s="717"/>
      <c r="G456" s="24">
        <f t="shared" si="76"/>
        <v>1</v>
      </c>
      <c r="H456" s="717"/>
      <c r="I456" s="24">
        <f t="shared" si="77"/>
        <v>1</v>
      </c>
      <c r="J456" s="717"/>
      <c r="K456" s="24">
        <f t="shared" si="78"/>
        <v>1</v>
      </c>
      <c r="L456" s="717"/>
      <c r="M456" s="24">
        <f t="shared" si="79"/>
        <v>1</v>
      </c>
      <c r="N456" s="717"/>
      <c r="O456" s="24">
        <f t="shared" si="80"/>
        <v>1</v>
      </c>
      <c r="P456" s="717"/>
      <c r="Q456" s="24">
        <f t="shared" si="81"/>
        <v>0.04</v>
      </c>
      <c r="R456" s="713">
        <f t="shared" si="82"/>
        <v>0</v>
      </c>
      <c r="S456" s="361">
        <f t="shared" si="83"/>
        <v>0</v>
      </c>
    </row>
    <row r="457" spans="1:19">
      <c r="A457" s="159"/>
      <c r="B457" s="59"/>
      <c r="C457" s="24">
        <f t="shared" si="74"/>
        <v>1</v>
      </c>
      <c r="D457" s="717"/>
      <c r="E457" s="24">
        <f t="shared" si="75"/>
        <v>0</v>
      </c>
      <c r="F457" s="717"/>
      <c r="G457" s="24">
        <f t="shared" si="76"/>
        <v>1</v>
      </c>
      <c r="H457" s="717"/>
      <c r="I457" s="24">
        <f t="shared" si="77"/>
        <v>1</v>
      </c>
      <c r="J457" s="717"/>
      <c r="K457" s="24">
        <f t="shared" si="78"/>
        <v>1</v>
      </c>
      <c r="L457" s="717"/>
      <c r="M457" s="24">
        <f t="shared" si="79"/>
        <v>1</v>
      </c>
      <c r="N457" s="717"/>
      <c r="O457" s="24">
        <f t="shared" si="80"/>
        <v>1</v>
      </c>
      <c r="P457" s="717"/>
      <c r="Q457" s="24">
        <f t="shared" si="81"/>
        <v>0.04</v>
      </c>
      <c r="R457" s="713">
        <f t="shared" si="82"/>
        <v>0</v>
      </c>
      <c r="S457" s="361">
        <f t="shared" si="83"/>
        <v>0</v>
      </c>
    </row>
    <row r="458" spans="1:19">
      <c r="A458" s="159"/>
      <c r="B458" s="59"/>
      <c r="C458" s="24">
        <f t="shared" si="74"/>
        <v>1</v>
      </c>
      <c r="D458" s="717"/>
      <c r="E458" s="24">
        <f t="shared" si="75"/>
        <v>0</v>
      </c>
      <c r="F458" s="717"/>
      <c r="G458" s="24">
        <f t="shared" si="76"/>
        <v>1</v>
      </c>
      <c r="H458" s="717"/>
      <c r="I458" s="24">
        <f t="shared" si="77"/>
        <v>1</v>
      </c>
      <c r="J458" s="717"/>
      <c r="K458" s="24">
        <f t="shared" si="78"/>
        <v>1</v>
      </c>
      <c r="L458" s="717"/>
      <c r="M458" s="24">
        <f t="shared" si="79"/>
        <v>1</v>
      </c>
      <c r="N458" s="717"/>
      <c r="O458" s="24">
        <f t="shared" si="80"/>
        <v>1</v>
      </c>
      <c r="P458" s="717"/>
      <c r="Q458" s="24">
        <f t="shared" si="81"/>
        <v>0.04</v>
      </c>
      <c r="R458" s="713">
        <f t="shared" si="82"/>
        <v>0</v>
      </c>
      <c r="S458" s="361">
        <f t="shared" si="83"/>
        <v>0</v>
      </c>
    </row>
    <row r="459" spans="1:19">
      <c r="A459" s="159"/>
      <c r="B459" s="59"/>
      <c r="C459" s="24">
        <f t="shared" si="74"/>
        <v>1</v>
      </c>
      <c r="D459" s="717"/>
      <c r="E459" s="24">
        <f t="shared" si="75"/>
        <v>0</v>
      </c>
      <c r="F459" s="717"/>
      <c r="G459" s="24">
        <f t="shared" si="76"/>
        <v>1</v>
      </c>
      <c r="H459" s="717"/>
      <c r="I459" s="24">
        <f t="shared" si="77"/>
        <v>1</v>
      </c>
      <c r="J459" s="717"/>
      <c r="K459" s="24">
        <f t="shared" si="78"/>
        <v>1</v>
      </c>
      <c r="L459" s="717"/>
      <c r="M459" s="24">
        <f t="shared" si="79"/>
        <v>1</v>
      </c>
      <c r="N459" s="717"/>
      <c r="O459" s="24">
        <f t="shared" si="80"/>
        <v>1</v>
      </c>
      <c r="P459" s="717"/>
      <c r="Q459" s="24">
        <f t="shared" si="81"/>
        <v>0.04</v>
      </c>
      <c r="R459" s="713">
        <f t="shared" si="82"/>
        <v>0</v>
      </c>
      <c r="S459" s="361">
        <f t="shared" si="83"/>
        <v>0</v>
      </c>
    </row>
    <row r="460" spans="1:19">
      <c r="A460" s="159"/>
      <c r="B460" s="59"/>
      <c r="C460" s="24">
        <f t="shared" si="74"/>
        <v>1</v>
      </c>
      <c r="D460" s="717"/>
      <c r="E460" s="24">
        <f t="shared" si="75"/>
        <v>0</v>
      </c>
      <c r="F460" s="717"/>
      <c r="G460" s="24">
        <f t="shared" si="76"/>
        <v>1</v>
      </c>
      <c r="H460" s="717"/>
      <c r="I460" s="24">
        <f t="shared" si="77"/>
        <v>1</v>
      </c>
      <c r="J460" s="717"/>
      <c r="K460" s="24">
        <f t="shared" si="78"/>
        <v>1</v>
      </c>
      <c r="L460" s="717"/>
      <c r="M460" s="24">
        <f t="shared" si="79"/>
        <v>1</v>
      </c>
      <c r="N460" s="717"/>
      <c r="O460" s="24">
        <f t="shared" si="80"/>
        <v>1</v>
      </c>
      <c r="P460" s="717"/>
      <c r="Q460" s="24">
        <f t="shared" si="81"/>
        <v>0.04</v>
      </c>
      <c r="R460" s="713">
        <f t="shared" si="82"/>
        <v>0</v>
      </c>
      <c r="S460" s="361">
        <f t="shared" si="83"/>
        <v>0</v>
      </c>
    </row>
    <row r="461" spans="1:19">
      <c r="A461" s="159"/>
      <c r="B461" s="59"/>
      <c r="C461" s="24">
        <f t="shared" si="74"/>
        <v>1</v>
      </c>
      <c r="D461" s="717"/>
      <c r="E461" s="24">
        <f t="shared" si="75"/>
        <v>0</v>
      </c>
      <c r="F461" s="717"/>
      <c r="G461" s="24">
        <f t="shared" si="76"/>
        <v>1</v>
      </c>
      <c r="H461" s="717"/>
      <c r="I461" s="24">
        <f t="shared" si="77"/>
        <v>1</v>
      </c>
      <c r="J461" s="717"/>
      <c r="K461" s="24">
        <f t="shared" si="78"/>
        <v>1</v>
      </c>
      <c r="L461" s="717"/>
      <c r="M461" s="24">
        <f t="shared" si="79"/>
        <v>1</v>
      </c>
      <c r="N461" s="717"/>
      <c r="O461" s="24">
        <f t="shared" si="80"/>
        <v>1</v>
      </c>
      <c r="P461" s="717"/>
      <c r="Q461" s="24">
        <f t="shared" si="81"/>
        <v>0.04</v>
      </c>
      <c r="R461" s="713">
        <f t="shared" si="82"/>
        <v>0</v>
      </c>
      <c r="S461" s="361">
        <f t="shared" si="83"/>
        <v>0</v>
      </c>
    </row>
    <row r="462" spans="1:19">
      <c r="A462" s="159"/>
      <c r="B462" s="59"/>
      <c r="C462" s="24">
        <f t="shared" si="74"/>
        <v>1</v>
      </c>
      <c r="D462" s="717"/>
      <c r="E462" s="24">
        <f t="shared" si="75"/>
        <v>0</v>
      </c>
      <c r="F462" s="717"/>
      <c r="G462" s="24">
        <f t="shared" si="76"/>
        <v>1</v>
      </c>
      <c r="H462" s="717"/>
      <c r="I462" s="24">
        <f t="shared" si="77"/>
        <v>1</v>
      </c>
      <c r="J462" s="717"/>
      <c r="K462" s="24">
        <f t="shared" si="78"/>
        <v>1</v>
      </c>
      <c r="L462" s="717"/>
      <c r="M462" s="24">
        <f t="shared" si="79"/>
        <v>1</v>
      </c>
      <c r="N462" s="717"/>
      <c r="O462" s="24">
        <f t="shared" si="80"/>
        <v>1</v>
      </c>
      <c r="P462" s="717"/>
      <c r="Q462" s="24">
        <f t="shared" si="81"/>
        <v>0.04</v>
      </c>
      <c r="R462" s="713">
        <f t="shared" si="82"/>
        <v>0</v>
      </c>
      <c r="S462" s="361">
        <f t="shared" si="83"/>
        <v>0</v>
      </c>
    </row>
    <row r="463" spans="1:19">
      <c r="A463" s="159"/>
      <c r="B463" s="59"/>
      <c r="C463" s="24">
        <f t="shared" si="74"/>
        <v>1</v>
      </c>
      <c r="D463" s="717"/>
      <c r="E463" s="24">
        <f t="shared" si="75"/>
        <v>0</v>
      </c>
      <c r="F463" s="717"/>
      <c r="G463" s="24">
        <f t="shared" si="76"/>
        <v>1</v>
      </c>
      <c r="H463" s="717"/>
      <c r="I463" s="24">
        <f t="shared" si="77"/>
        <v>1</v>
      </c>
      <c r="J463" s="717"/>
      <c r="K463" s="24">
        <f t="shared" si="78"/>
        <v>1</v>
      </c>
      <c r="L463" s="717"/>
      <c r="M463" s="24">
        <f t="shared" si="79"/>
        <v>1</v>
      </c>
      <c r="N463" s="717"/>
      <c r="O463" s="24">
        <f t="shared" si="80"/>
        <v>1</v>
      </c>
      <c r="P463" s="717"/>
      <c r="Q463" s="24">
        <f t="shared" si="81"/>
        <v>0.04</v>
      </c>
      <c r="R463" s="713">
        <f t="shared" si="82"/>
        <v>0</v>
      </c>
      <c r="S463" s="361">
        <f t="shared" si="83"/>
        <v>0</v>
      </c>
    </row>
    <row r="464" spans="1:19">
      <c r="A464" s="159"/>
      <c r="B464" s="59"/>
      <c r="C464" s="24">
        <f t="shared" si="74"/>
        <v>1</v>
      </c>
      <c r="D464" s="717"/>
      <c r="E464" s="24">
        <f t="shared" si="75"/>
        <v>0</v>
      </c>
      <c r="F464" s="717"/>
      <c r="G464" s="24">
        <f t="shared" si="76"/>
        <v>1</v>
      </c>
      <c r="H464" s="717"/>
      <c r="I464" s="24">
        <f t="shared" si="77"/>
        <v>1</v>
      </c>
      <c r="J464" s="717"/>
      <c r="K464" s="24">
        <f t="shared" si="78"/>
        <v>1</v>
      </c>
      <c r="L464" s="717"/>
      <c r="M464" s="24">
        <f t="shared" si="79"/>
        <v>1</v>
      </c>
      <c r="N464" s="717"/>
      <c r="O464" s="24">
        <f t="shared" si="80"/>
        <v>1</v>
      </c>
      <c r="P464" s="717"/>
      <c r="Q464" s="24">
        <f t="shared" si="81"/>
        <v>0.04</v>
      </c>
      <c r="R464" s="713">
        <f t="shared" si="82"/>
        <v>0</v>
      </c>
      <c r="S464" s="361">
        <f t="shared" si="83"/>
        <v>0</v>
      </c>
    </row>
    <row r="465" spans="1:19">
      <c r="A465" s="159"/>
      <c r="B465" s="59"/>
      <c r="C465" s="24">
        <f t="shared" si="74"/>
        <v>1</v>
      </c>
      <c r="D465" s="717"/>
      <c r="E465" s="24">
        <f t="shared" si="75"/>
        <v>0</v>
      </c>
      <c r="F465" s="717"/>
      <c r="G465" s="24">
        <f t="shared" si="76"/>
        <v>1</v>
      </c>
      <c r="H465" s="717"/>
      <c r="I465" s="24">
        <f t="shared" si="77"/>
        <v>1</v>
      </c>
      <c r="J465" s="717"/>
      <c r="K465" s="24">
        <f t="shared" si="78"/>
        <v>1</v>
      </c>
      <c r="L465" s="717"/>
      <c r="M465" s="24">
        <f t="shared" si="79"/>
        <v>1</v>
      </c>
      <c r="N465" s="717"/>
      <c r="O465" s="24">
        <f t="shared" si="80"/>
        <v>1</v>
      </c>
      <c r="P465" s="717"/>
      <c r="Q465" s="24">
        <f t="shared" si="81"/>
        <v>0.04</v>
      </c>
      <c r="R465" s="713">
        <f t="shared" si="82"/>
        <v>0</v>
      </c>
      <c r="S465" s="361">
        <f t="shared" si="83"/>
        <v>0</v>
      </c>
    </row>
    <row r="466" spans="1:19">
      <c r="A466" s="159"/>
      <c r="B466" s="59"/>
      <c r="C466" s="24">
        <f t="shared" si="74"/>
        <v>1</v>
      </c>
      <c r="D466" s="717"/>
      <c r="E466" s="24">
        <f t="shared" si="75"/>
        <v>0</v>
      </c>
      <c r="F466" s="717"/>
      <c r="G466" s="24">
        <f t="shared" si="76"/>
        <v>1</v>
      </c>
      <c r="H466" s="717"/>
      <c r="I466" s="24">
        <f t="shared" si="77"/>
        <v>1</v>
      </c>
      <c r="J466" s="717"/>
      <c r="K466" s="24">
        <f t="shared" si="78"/>
        <v>1</v>
      </c>
      <c r="L466" s="717"/>
      <c r="M466" s="24">
        <f t="shared" si="79"/>
        <v>1</v>
      </c>
      <c r="N466" s="717"/>
      <c r="O466" s="24">
        <f t="shared" si="80"/>
        <v>1</v>
      </c>
      <c r="P466" s="717"/>
      <c r="Q466" s="24">
        <f t="shared" si="81"/>
        <v>0.04</v>
      </c>
      <c r="R466" s="713">
        <f t="shared" si="82"/>
        <v>0</v>
      </c>
      <c r="S466" s="361">
        <f t="shared" si="83"/>
        <v>0</v>
      </c>
    </row>
    <row r="467" spans="1:19">
      <c r="A467" s="159"/>
      <c r="B467" s="59"/>
      <c r="C467" s="24">
        <f t="shared" si="74"/>
        <v>1</v>
      </c>
      <c r="D467" s="717"/>
      <c r="E467" s="24">
        <f t="shared" si="75"/>
        <v>0</v>
      </c>
      <c r="F467" s="717"/>
      <c r="G467" s="24">
        <f t="shared" si="76"/>
        <v>1</v>
      </c>
      <c r="H467" s="717"/>
      <c r="I467" s="24">
        <f t="shared" si="77"/>
        <v>1</v>
      </c>
      <c r="J467" s="717"/>
      <c r="K467" s="24">
        <f t="shared" si="78"/>
        <v>1</v>
      </c>
      <c r="L467" s="717"/>
      <c r="M467" s="24">
        <f t="shared" si="79"/>
        <v>1</v>
      </c>
      <c r="N467" s="717"/>
      <c r="O467" s="24">
        <f t="shared" si="80"/>
        <v>1</v>
      </c>
      <c r="P467" s="717"/>
      <c r="Q467" s="24">
        <f t="shared" si="81"/>
        <v>0.04</v>
      </c>
      <c r="R467" s="713">
        <f t="shared" si="82"/>
        <v>0</v>
      </c>
      <c r="S467" s="361">
        <f t="shared" si="83"/>
        <v>0</v>
      </c>
    </row>
    <row r="468" spans="1:19">
      <c r="A468" s="159"/>
      <c r="B468" s="59"/>
      <c r="C468" s="24">
        <f t="shared" si="74"/>
        <v>1</v>
      </c>
      <c r="D468" s="717"/>
      <c r="E468" s="24">
        <f t="shared" si="75"/>
        <v>0</v>
      </c>
      <c r="F468" s="717"/>
      <c r="G468" s="24">
        <f t="shared" si="76"/>
        <v>1</v>
      </c>
      <c r="H468" s="717"/>
      <c r="I468" s="24">
        <f t="shared" si="77"/>
        <v>1</v>
      </c>
      <c r="J468" s="717"/>
      <c r="K468" s="24">
        <f t="shared" si="78"/>
        <v>1</v>
      </c>
      <c r="L468" s="717"/>
      <c r="M468" s="24">
        <f t="shared" si="79"/>
        <v>1</v>
      </c>
      <c r="N468" s="717"/>
      <c r="O468" s="24">
        <f t="shared" si="80"/>
        <v>1</v>
      </c>
      <c r="P468" s="717"/>
      <c r="Q468" s="24">
        <f t="shared" si="81"/>
        <v>0.04</v>
      </c>
      <c r="R468" s="713">
        <f t="shared" si="82"/>
        <v>0</v>
      </c>
      <c r="S468" s="361">
        <f t="shared" ref="S468:S497" si="84">ROUND(R468*B468/10000,0)</f>
        <v>0</v>
      </c>
    </row>
    <row r="469" spans="1:19">
      <c r="A469" s="159"/>
      <c r="B469" s="59"/>
      <c r="C469" s="24">
        <f t="shared" si="74"/>
        <v>1</v>
      </c>
      <c r="D469" s="717"/>
      <c r="E469" s="24">
        <f t="shared" si="75"/>
        <v>0</v>
      </c>
      <c r="F469" s="717"/>
      <c r="G469" s="24">
        <f t="shared" si="76"/>
        <v>1</v>
      </c>
      <c r="H469" s="717"/>
      <c r="I469" s="24">
        <f t="shared" si="77"/>
        <v>1</v>
      </c>
      <c r="J469" s="717"/>
      <c r="K469" s="24">
        <f t="shared" si="78"/>
        <v>1</v>
      </c>
      <c r="L469" s="717"/>
      <c r="M469" s="24">
        <f t="shared" si="79"/>
        <v>1</v>
      </c>
      <c r="N469" s="717"/>
      <c r="O469" s="24">
        <f t="shared" si="80"/>
        <v>1</v>
      </c>
      <c r="P469" s="717"/>
      <c r="Q469" s="24">
        <f t="shared" si="81"/>
        <v>0.04</v>
      </c>
      <c r="R469" s="713">
        <f t="shared" si="82"/>
        <v>0</v>
      </c>
      <c r="S469" s="361">
        <f t="shared" si="84"/>
        <v>0</v>
      </c>
    </row>
    <row r="470" spans="1:19">
      <c r="A470" s="159"/>
      <c r="B470" s="59"/>
      <c r="C470" s="24">
        <f t="shared" si="74"/>
        <v>1</v>
      </c>
      <c r="D470" s="717"/>
      <c r="E470" s="24">
        <f t="shared" si="75"/>
        <v>0</v>
      </c>
      <c r="F470" s="717"/>
      <c r="G470" s="24">
        <f t="shared" si="76"/>
        <v>1</v>
      </c>
      <c r="H470" s="717"/>
      <c r="I470" s="24">
        <f t="shared" si="77"/>
        <v>1</v>
      </c>
      <c r="J470" s="717"/>
      <c r="K470" s="24">
        <f t="shared" si="78"/>
        <v>1</v>
      </c>
      <c r="L470" s="717"/>
      <c r="M470" s="24">
        <f t="shared" si="79"/>
        <v>1</v>
      </c>
      <c r="N470" s="717"/>
      <c r="O470" s="24">
        <f t="shared" si="80"/>
        <v>1</v>
      </c>
      <c r="P470" s="717"/>
      <c r="Q470" s="24">
        <f t="shared" si="81"/>
        <v>0.04</v>
      </c>
      <c r="R470" s="713">
        <f t="shared" si="82"/>
        <v>0</v>
      </c>
      <c r="S470" s="361">
        <f t="shared" si="84"/>
        <v>0</v>
      </c>
    </row>
    <row r="471" spans="1:19">
      <c r="A471" s="159"/>
      <c r="B471" s="59"/>
      <c r="C471" s="24">
        <f t="shared" si="74"/>
        <v>1</v>
      </c>
      <c r="D471" s="717"/>
      <c r="E471" s="24">
        <f t="shared" si="75"/>
        <v>0</v>
      </c>
      <c r="F471" s="717"/>
      <c r="G471" s="24">
        <f t="shared" si="76"/>
        <v>1</v>
      </c>
      <c r="H471" s="717"/>
      <c r="I471" s="24">
        <f t="shared" si="77"/>
        <v>1</v>
      </c>
      <c r="J471" s="717"/>
      <c r="K471" s="24">
        <f t="shared" si="78"/>
        <v>1</v>
      </c>
      <c r="L471" s="717"/>
      <c r="M471" s="24">
        <f t="shared" si="79"/>
        <v>1</v>
      </c>
      <c r="N471" s="717"/>
      <c r="O471" s="24">
        <f t="shared" si="80"/>
        <v>1</v>
      </c>
      <c r="P471" s="717"/>
      <c r="Q471" s="24">
        <f t="shared" si="81"/>
        <v>0.04</v>
      </c>
      <c r="R471" s="713">
        <f t="shared" si="82"/>
        <v>0</v>
      </c>
      <c r="S471" s="361">
        <f t="shared" si="84"/>
        <v>0</v>
      </c>
    </row>
    <row r="472" spans="1:19">
      <c r="A472" s="159"/>
      <c r="B472" s="59"/>
      <c r="C472" s="24">
        <f t="shared" si="74"/>
        <v>1</v>
      </c>
      <c r="D472" s="717"/>
      <c r="E472" s="24">
        <f t="shared" si="75"/>
        <v>0</v>
      </c>
      <c r="F472" s="717"/>
      <c r="G472" s="24">
        <f t="shared" si="76"/>
        <v>1</v>
      </c>
      <c r="H472" s="717"/>
      <c r="I472" s="24">
        <f t="shared" si="77"/>
        <v>1</v>
      </c>
      <c r="J472" s="717"/>
      <c r="K472" s="24">
        <f t="shared" si="78"/>
        <v>1</v>
      </c>
      <c r="L472" s="717"/>
      <c r="M472" s="24">
        <f t="shared" si="79"/>
        <v>1</v>
      </c>
      <c r="N472" s="717"/>
      <c r="O472" s="24">
        <f t="shared" si="80"/>
        <v>1</v>
      </c>
      <c r="P472" s="717"/>
      <c r="Q472" s="24">
        <f t="shared" si="81"/>
        <v>0.04</v>
      </c>
      <c r="R472" s="713">
        <f t="shared" si="82"/>
        <v>0</v>
      </c>
      <c r="S472" s="361">
        <f t="shared" si="84"/>
        <v>0</v>
      </c>
    </row>
    <row r="473" spans="1:19">
      <c r="A473" s="159"/>
      <c r="B473" s="59"/>
      <c r="C473" s="24">
        <f t="shared" si="74"/>
        <v>1</v>
      </c>
      <c r="D473" s="717"/>
      <c r="E473" s="24">
        <f t="shared" si="75"/>
        <v>0</v>
      </c>
      <c r="F473" s="717"/>
      <c r="G473" s="24">
        <f t="shared" si="76"/>
        <v>1</v>
      </c>
      <c r="H473" s="717"/>
      <c r="I473" s="24">
        <f t="shared" si="77"/>
        <v>1</v>
      </c>
      <c r="J473" s="717"/>
      <c r="K473" s="24">
        <f t="shared" si="78"/>
        <v>1</v>
      </c>
      <c r="L473" s="717"/>
      <c r="M473" s="24">
        <f t="shared" si="79"/>
        <v>1</v>
      </c>
      <c r="N473" s="717"/>
      <c r="O473" s="24">
        <f t="shared" si="80"/>
        <v>1</v>
      </c>
      <c r="P473" s="717"/>
      <c r="Q473" s="24">
        <f t="shared" si="81"/>
        <v>0.04</v>
      </c>
      <c r="R473" s="713">
        <f t="shared" si="82"/>
        <v>0</v>
      </c>
      <c r="S473" s="361">
        <f t="shared" si="84"/>
        <v>0</v>
      </c>
    </row>
    <row r="474" spans="1:19">
      <c r="A474" s="159"/>
      <c r="B474" s="59"/>
      <c r="C474" s="24">
        <f t="shared" ref="C474:C524" si="85">IF(B474="",1,(LOOKUP(B474,$3:$3,$4:$4)-LOOKUP($B$24,$3:$3,$4:$4)+100)/100)</f>
        <v>1</v>
      </c>
      <c r="D474" s="717"/>
      <c r="E474" s="24">
        <f t="shared" ref="E474:E524" si="86">(SUMIF($5:$5,D474,$6:$6)-SUMIF($5:$5,$D$24,$6:$6)+100)/100</f>
        <v>0</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0.04</v>
      </c>
      <c r="R474" s="713">
        <f t="shared" ref="R474:R524" si="93">IF(B474="",0,ROUND($R$24*C474*E474*G474*I474*K474*M474*O474*Q474,0))</f>
        <v>0</v>
      </c>
      <c r="S474" s="361">
        <f t="shared" si="84"/>
        <v>0</v>
      </c>
    </row>
    <row r="475" spans="1:19">
      <c r="A475" s="159"/>
      <c r="B475" s="59"/>
      <c r="C475" s="24">
        <f t="shared" si="85"/>
        <v>1</v>
      </c>
      <c r="D475" s="717"/>
      <c r="E475" s="24">
        <f t="shared" si="86"/>
        <v>0</v>
      </c>
      <c r="F475" s="717"/>
      <c r="G475" s="24">
        <f t="shared" si="87"/>
        <v>1</v>
      </c>
      <c r="H475" s="717"/>
      <c r="I475" s="24">
        <f t="shared" si="88"/>
        <v>1</v>
      </c>
      <c r="J475" s="717"/>
      <c r="K475" s="24">
        <f t="shared" si="89"/>
        <v>1</v>
      </c>
      <c r="L475" s="717"/>
      <c r="M475" s="24">
        <f t="shared" si="90"/>
        <v>1</v>
      </c>
      <c r="N475" s="717"/>
      <c r="O475" s="24">
        <f t="shared" si="91"/>
        <v>1</v>
      </c>
      <c r="P475" s="717"/>
      <c r="Q475" s="24">
        <f t="shared" si="92"/>
        <v>0.04</v>
      </c>
      <c r="R475" s="713">
        <f t="shared" si="93"/>
        <v>0</v>
      </c>
      <c r="S475" s="361">
        <f t="shared" si="84"/>
        <v>0</v>
      </c>
    </row>
    <row r="476" spans="1:19">
      <c r="A476" s="159"/>
      <c r="B476" s="59"/>
      <c r="C476" s="24">
        <f t="shared" si="85"/>
        <v>1</v>
      </c>
      <c r="D476" s="717"/>
      <c r="E476" s="24">
        <f t="shared" si="86"/>
        <v>0</v>
      </c>
      <c r="F476" s="717"/>
      <c r="G476" s="24">
        <f t="shared" si="87"/>
        <v>1</v>
      </c>
      <c r="H476" s="717"/>
      <c r="I476" s="24">
        <f t="shared" si="88"/>
        <v>1</v>
      </c>
      <c r="J476" s="717"/>
      <c r="K476" s="24">
        <f t="shared" si="89"/>
        <v>1</v>
      </c>
      <c r="L476" s="717"/>
      <c r="M476" s="24">
        <f t="shared" si="90"/>
        <v>1</v>
      </c>
      <c r="N476" s="717"/>
      <c r="O476" s="24">
        <f t="shared" si="91"/>
        <v>1</v>
      </c>
      <c r="P476" s="717"/>
      <c r="Q476" s="24">
        <f t="shared" si="92"/>
        <v>0.04</v>
      </c>
      <c r="R476" s="713">
        <f t="shared" si="93"/>
        <v>0</v>
      </c>
      <c r="S476" s="361">
        <f t="shared" si="84"/>
        <v>0</v>
      </c>
    </row>
    <row r="477" spans="1:19">
      <c r="A477" s="159"/>
      <c r="B477" s="59"/>
      <c r="C477" s="24">
        <f t="shared" si="85"/>
        <v>1</v>
      </c>
      <c r="D477" s="717"/>
      <c r="E477" s="24">
        <f t="shared" si="86"/>
        <v>0</v>
      </c>
      <c r="F477" s="717"/>
      <c r="G477" s="24">
        <f t="shared" si="87"/>
        <v>1</v>
      </c>
      <c r="H477" s="717"/>
      <c r="I477" s="24">
        <f t="shared" si="88"/>
        <v>1</v>
      </c>
      <c r="J477" s="717"/>
      <c r="K477" s="24">
        <f t="shared" si="89"/>
        <v>1</v>
      </c>
      <c r="L477" s="717"/>
      <c r="M477" s="24">
        <f t="shared" si="90"/>
        <v>1</v>
      </c>
      <c r="N477" s="717"/>
      <c r="O477" s="24">
        <f t="shared" si="91"/>
        <v>1</v>
      </c>
      <c r="P477" s="717"/>
      <c r="Q477" s="24">
        <f t="shared" si="92"/>
        <v>0.04</v>
      </c>
      <c r="R477" s="713">
        <f t="shared" si="93"/>
        <v>0</v>
      </c>
      <c r="S477" s="361">
        <f t="shared" si="84"/>
        <v>0</v>
      </c>
    </row>
    <row r="478" spans="1:19">
      <c r="A478" s="159"/>
      <c r="B478" s="59"/>
      <c r="C478" s="24">
        <f t="shared" si="85"/>
        <v>1</v>
      </c>
      <c r="D478" s="717"/>
      <c r="E478" s="24">
        <f t="shared" si="86"/>
        <v>0</v>
      </c>
      <c r="F478" s="717"/>
      <c r="G478" s="24">
        <f t="shared" si="87"/>
        <v>1</v>
      </c>
      <c r="H478" s="717"/>
      <c r="I478" s="24">
        <f t="shared" si="88"/>
        <v>1</v>
      </c>
      <c r="J478" s="717"/>
      <c r="K478" s="24">
        <f t="shared" si="89"/>
        <v>1</v>
      </c>
      <c r="L478" s="717"/>
      <c r="M478" s="24">
        <f t="shared" si="90"/>
        <v>1</v>
      </c>
      <c r="N478" s="717"/>
      <c r="O478" s="24">
        <f t="shared" si="91"/>
        <v>1</v>
      </c>
      <c r="P478" s="717"/>
      <c r="Q478" s="24">
        <f t="shared" si="92"/>
        <v>0.04</v>
      </c>
      <c r="R478" s="713">
        <f t="shared" si="93"/>
        <v>0</v>
      </c>
      <c r="S478" s="361">
        <f t="shared" si="84"/>
        <v>0</v>
      </c>
    </row>
    <row r="479" spans="1:19">
      <c r="A479" s="159"/>
      <c r="B479" s="59"/>
      <c r="C479" s="24">
        <f t="shared" si="85"/>
        <v>1</v>
      </c>
      <c r="D479" s="717"/>
      <c r="E479" s="24">
        <f t="shared" si="86"/>
        <v>0</v>
      </c>
      <c r="F479" s="717"/>
      <c r="G479" s="24">
        <f t="shared" si="87"/>
        <v>1</v>
      </c>
      <c r="H479" s="717"/>
      <c r="I479" s="24">
        <f t="shared" si="88"/>
        <v>1</v>
      </c>
      <c r="J479" s="717"/>
      <c r="K479" s="24">
        <f t="shared" si="89"/>
        <v>1</v>
      </c>
      <c r="L479" s="717"/>
      <c r="M479" s="24">
        <f t="shared" si="90"/>
        <v>1</v>
      </c>
      <c r="N479" s="717"/>
      <c r="O479" s="24">
        <f t="shared" si="91"/>
        <v>1</v>
      </c>
      <c r="P479" s="717"/>
      <c r="Q479" s="24">
        <f t="shared" si="92"/>
        <v>0.04</v>
      </c>
      <c r="R479" s="713">
        <f t="shared" si="93"/>
        <v>0</v>
      </c>
      <c r="S479" s="361">
        <f t="shared" si="84"/>
        <v>0</v>
      </c>
    </row>
    <row r="480" spans="1:19">
      <c r="A480" s="159"/>
      <c r="B480" s="59"/>
      <c r="C480" s="24">
        <f t="shared" si="85"/>
        <v>1</v>
      </c>
      <c r="D480" s="717"/>
      <c r="E480" s="24">
        <f t="shared" si="86"/>
        <v>0</v>
      </c>
      <c r="F480" s="717"/>
      <c r="G480" s="24">
        <f t="shared" si="87"/>
        <v>1</v>
      </c>
      <c r="H480" s="717"/>
      <c r="I480" s="24">
        <f t="shared" si="88"/>
        <v>1</v>
      </c>
      <c r="J480" s="717"/>
      <c r="K480" s="24">
        <f t="shared" si="89"/>
        <v>1</v>
      </c>
      <c r="L480" s="717"/>
      <c r="M480" s="24">
        <f t="shared" si="90"/>
        <v>1</v>
      </c>
      <c r="N480" s="717"/>
      <c r="O480" s="24">
        <f t="shared" si="91"/>
        <v>1</v>
      </c>
      <c r="P480" s="717"/>
      <c r="Q480" s="24">
        <f t="shared" si="92"/>
        <v>0.04</v>
      </c>
      <c r="R480" s="713">
        <f t="shared" si="93"/>
        <v>0</v>
      </c>
      <c r="S480" s="361">
        <f t="shared" si="84"/>
        <v>0</v>
      </c>
    </row>
    <row r="481" spans="1:19">
      <c r="A481" s="159"/>
      <c r="B481" s="59"/>
      <c r="C481" s="24">
        <f t="shared" si="85"/>
        <v>1</v>
      </c>
      <c r="D481" s="717"/>
      <c r="E481" s="24">
        <f t="shared" si="86"/>
        <v>0</v>
      </c>
      <c r="F481" s="717"/>
      <c r="G481" s="24">
        <f t="shared" si="87"/>
        <v>1</v>
      </c>
      <c r="H481" s="717"/>
      <c r="I481" s="24">
        <f t="shared" si="88"/>
        <v>1</v>
      </c>
      <c r="J481" s="717"/>
      <c r="K481" s="24">
        <f t="shared" si="89"/>
        <v>1</v>
      </c>
      <c r="L481" s="717"/>
      <c r="M481" s="24">
        <f t="shared" si="90"/>
        <v>1</v>
      </c>
      <c r="N481" s="717"/>
      <c r="O481" s="24">
        <f t="shared" si="91"/>
        <v>1</v>
      </c>
      <c r="P481" s="717"/>
      <c r="Q481" s="24">
        <f t="shared" si="92"/>
        <v>0.04</v>
      </c>
      <c r="R481" s="713">
        <f t="shared" si="93"/>
        <v>0</v>
      </c>
      <c r="S481" s="361">
        <f t="shared" si="84"/>
        <v>0</v>
      </c>
    </row>
    <row r="482" spans="1:19">
      <c r="A482" s="159"/>
      <c r="B482" s="59"/>
      <c r="C482" s="24">
        <f t="shared" si="85"/>
        <v>1</v>
      </c>
      <c r="D482" s="717"/>
      <c r="E482" s="24">
        <f t="shared" si="86"/>
        <v>0</v>
      </c>
      <c r="F482" s="717"/>
      <c r="G482" s="24">
        <f t="shared" si="87"/>
        <v>1</v>
      </c>
      <c r="H482" s="717"/>
      <c r="I482" s="24">
        <f t="shared" si="88"/>
        <v>1</v>
      </c>
      <c r="J482" s="717"/>
      <c r="K482" s="24">
        <f t="shared" si="89"/>
        <v>1</v>
      </c>
      <c r="L482" s="717"/>
      <c r="M482" s="24">
        <f t="shared" si="90"/>
        <v>1</v>
      </c>
      <c r="N482" s="717"/>
      <c r="O482" s="24">
        <f t="shared" si="91"/>
        <v>1</v>
      </c>
      <c r="P482" s="717"/>
      <c r="Q482" s="24">
        <f t="shared" si="92"/>
        <v>0.04</v>
      </c>
      <c r="R482" s="713">
        <f t="shared" si="93"/>
        <v>0</v>
      </c>
      <c r="S482" s="361">
        <f t="shared" si="84"/>
        <v>0</v>
      </c>
    </row>
    <row r="483" spans="1:19">
      <c r="A483" s="159"/>
      <c r="B483" s="59"/>
      <c r="C483" s="24">
        <f t="shared" si="85"/>
        <v>1</v>
      </c>
      <c r="D483" s="717"/>
      <c r="E483" s="24">
        <f t="shared" si="86"/>
        <v>0</v>
      </c>
      <c r="F483" s="717"/>
      <c r="G483" s="24">
        <f t="shared" si="87"/>
        <v>1</v>
      </c>
      <c r="H483" s="717"/>
      <c r="I483" s="24">
        <f t="shared" si="88"/>
        <v>1</v>
      </c>
      <c r="J483" s="717"/>
      <c r="K483" s="24">
        <f t="shared" si="89"/>
        <v>1</v>
      </c>
      <c r="L483" s="717"/>
      <c r="M483" s="24">
        <f t="shared" si="90"/>
        <v>1</v>
      </c>
      <c r="N483" s="717"/>
      <c r="O483" s="24">
        <f t="shared" si="91"/>
        <v>1</v>
      </c>
      <c r="P483" s="717"/>
      <c r="Q483" s="24">
        <f t="shared" si="92"/>
        <v>0.04</v>
      </c>
      <c r="R483" s="713">
        <f t="shared" si="93"/>
        <v>0</v>
      </c>
      <c r="S483" s="361">
        <f t="shared" si="84"/>
        <v>0</v>
      </c>
    </row>
    <row r="484" spans="1:19">
      <c r="A484" s="159"/>
      <c r="B484" s="59"/>
      <c r="C484" s="24">
        <f t="shared" si="85"/>
        <v>1</v>
      </c>
      <c r="D484" s="717"/>
      <c r="E484" s="24">
        <f t="shared" si="86"/>
        <v>0</v>
      </c>
      <c r="F484" s="717"/>
      <c r="G484" s="24">
        <f t="shared" si="87"/>
        <v>1</v>
      </c>
      <c r="H484" s="717"/>
      <c r="I484" s="24">
        <f t="shared" si="88"/>
        <v>1</v>
      </c>
      <c r="J484" s="717"/>
      <c r="K484" s="24">
        <f t="shared" si="89"/>
        <v>1</v>
      </c>
      <c r="L484" s="717"/>
      <c r="M484" s="24">
        <f t="shared" si="90"/>
        <v>1</v>
      </c>
      <c r="N484" s="717"/>
      <c r="O484" s="24">
        <f t="shared" si="91"/>
        <v>1</v>
      </c>
      <c r="P484" s="717"/>
      <c r="Q484" s="24">
        <f t="shared" si="92"/>
        <v>0.04</v>
      </c>
      <c r="R484" s="713">
        <f t="shared" si="93"/>
        <v>0</v>
      </c>
      <c r="S484" s="361">
        <f t="shared" si="84"/>
        <v>0</v>
      </c>
    </row>
    <row r="485" spans="1:19">
      <c r="A485" s="159"/>
      <c r="B485" s="59"/>
      <c r="C485" s="24">
        <f t="shared" si="85"/>
        <v>1</v>
      </c>
      <c r="D485" s="717"/>
      <c r="E485" s="24">
        <f t="shared" si="86"/>
        <v>0</v>
      </c>
      <c r="F485" s="717"/>
      <c r="G485" s="24">
        <f t="shared" si="87"/>
        <v>1</v>
      </c>
      <c r="H485" s="717"/>
      <c r="I485" s="24">
        <f t="shared" si="88"/>
        <v>1</v>
      </c>
      <c r="J485" s="717"/>
      <c r="K485" s="24">
        <f t="shared" si="89"/>
        <v>1</v>
      </c>
      <c r="L485" s="717"/>
      <c r="M485" s="24">
        <f t="shared" si="90"/>
        <v>1</v>
      </c>
      <c r="N485" s="717"/>
      <c r="O485" s="24">
        <f t="shared" si="91"/>
        <v>1</v>
      </c>
      <c r="P485" s="717"/>
      <c r="Q485" s="24">
        <f t="shared" si="92"/>
        <v>0.04</v>
      </c>
      <c r="R485" s="713">
        <f t="shared" si="93"/>
        <v>0</v>
      </c>
      <c r="S485" s="361">
        <f t="shared" si="84"/>
        <v>0</v>
      </c>
    </row>
    <row r="486" spans="1:19">
      <c r="A486" s="159"/>
      <c r="B486" s="59"/>
      <c r="C486" s="24">
        <f t="shared" si="85"/>
        <v>1</v>
      </c>
      <c r="D486" s="717"/>
      <c r="E486" s="24">
        <f t="shared" si="86"/>
        <v>0</v>
      </c>
      <c r="F486" s="717"/>
      <c r="G486" s="24">
        <f t="shared" si="87"/>
        <v>1</v>
      </c>
      <c r="H486" s="717"/>
      <c r="I486" s="24">
        <f t="shared" si="88"/>
        <v>1</v>
      </c>
      <c r="J486" s="717"/>
      <c r="K486" s="24">
        <f t="shared" si="89"/>
        <v>1</v>
      </c>
      <c r="L486" s="717"/>
      <c r="M486" s="24">
        <f t="shared" si="90"/>
        <v>1</v>
      </c>
      <c r="N486" s="717"/>
      <c r="O486" s="24">
        <f t="shared" si="91"/>
        <v>1</v>
      </c>
      <c r="P486" s="717"/>
      <c r="Q486" s="24">
        <f t="shared" si="92"/>
        <v>0.04</v>
      </c>
      <c r="R486" s="713">
        <f t="shared" si="93"/>
        <v>0</v>
      </c>
      <c r="S486" s="361">
        <f t="shared" si="84"/>
        <v>0</v>
      </c>
    </row>
    <row r="487" spans="1:19">
      <c r="A487" s="159"/>
      <c r="B487" s="59"/>
      <c r="C487" s="24">
        <f t="shared" si="85"/>
        <v>1</v>
      </c>
      <c r="D487" s="717"/>
      <c r="E487" s="24">
        <f t="shared" si="86"/>
        <v>0</v>
      </c>
      <c r="F487" s="717"/>
      <c r="G487" s="24">
        <f t="shared" si="87"/>
        <v>1</v>
      </c>
      <c r="H487" s="717"/>
      <c r="I487" s="24">
        <f t="shared" si="88"/>
        <v>1</v>
      </c>
      <c r="J487" s="717"/>
      <c r="K487" s="24">
        <f t="shared" si="89"/>
        <v>1</v>
      </c>
      <c r="L487" s="717"/>
      <c r="M487" s="24">
        <f t="shared" si="90"/>
        <v>1</v>
      </c>
      <c r="N487" s="717"/>
      <c r="O487" s="24">
        <f t="shared" si="91"/>
        <v>1</v>
      </c>
      <c r="P487" s="717"/>
      <c r="Q487" s="24">
        <f t="shared" si="92"/>
        <v>0.04</v>
      </c>
      <c r="R487" s="713">
        <f t="shared" si="93"/>
        <v>0</v>
      </c>
      <c r="S487" s="361">
        <f t="shared" si="84"/>
        <v>0</v>
      </c>
    </row>
    <row r="488" spans="1:19">
      <c r="A488" s="159"/>
      <c r="B488" s="59"/>
      <c r="C488" s="24">
        <f t="shared" si="85"/>
        <v>1</v>
      </c>
      <c r="D488" s="717"/>
      <c r="E488" s="24">
        <f t="shared" si="86"/>
        <v>0</v>
      </c>
      <c r="F488" s="717"/>
      <c r="G488" s="24">
        <f t="shared" si="87"/>
        <v>1</v>
      </c>
      <c r="H488" s="717"/>
      <c r="I488" s="24">
        <f t="shared" si="88"/>
        <v>1</v>
      </c>
      <c r="J488" s="717"/>
      <c r="K488" s="24">
        <f t="shared" si="89"/>
        <v>1</v>
      </c>
      <c r="L488" s="717"/>
      <c r="M488" s="24">
        <f t="shared" si="90"/>
        <v>1</v>
      </c>
      <c r="N488" s="717"/>
      <c r="O488" s="24">
        <f t="shared" si="91"/>
        <v>1</v>
      </c>
      <c r="P488" s="717"/>
      <c r="Q488" s="24">
        <f t="shared" si="92"/>
        <v>0.04</v>
      </c>
      <c r="R488" s="713">
        <f t="shared" si="93"/>
        <v>0</v>
      </c>
      <c r="S488" s="361">
        <f t="shared" si="84"/>
        <v>0</v>
      </c>
    </row>
    <row r="489" spans="1:19">
      <c r="A489" s="159"/>
      <c r="B489" s="59"/>
      <c r="C489" s="24">
        <f t="shared" si="85"/>
        <v>1</v>
      </c>
      <c r="D489" s="717"/>
      <c r="E489" s="24">
        <f t="shared" si="86"/>
        <v>0</v>
      </c>
      <c r="F489" s="717"/>
      <c r="G489" s="24">
        <f t="shared" si="87"/>
        <v>1</v>
      </c>
      <c r="H489" s="717"/>
      <c r="I489" s="24">
        <f t="shared" si="88"/>
        <v>1</v>
      </c>
      <c r="J489" s="717"/>
      <c r="K489" s="24">
        <f t="shared" si="89"/>
        <v>1</v>
      </c>
      <c r="L489" s="717"/>
      <c r="M489" s="24">
        <f t="shared" si="90"/>
        <v>1</v>
      </c>
      <c r="N489" s="717"/>
      <c r="O489" s="24">
        <f t="shared" si="91"/>
        <v>1</v>
      </c>
      <c r="P489" s="717"/>
      <c r="Q489" s="24">
        <f t="shared" si="92"/>
        <v>0.04</v>
      </c>
      <c r="R489" s="713">
        <f t="shared" si="93"/>
        <v>0</v>
      </c>
      <c r="S489" s="361">
        <f t="shared" si="84"/>
        <v>0</v>
      </c>
    </row>
    <row r="490" spans="1:19">
      <c r="A490" s="159"/>
      <c r="B490" s="59"/>
      <c r="C490" s="24">
        <f t="shared" si="85"/>
        <v>1</v>
      </c>
      <c r="D490" s="717"/>
      <c r="E490" s="24">
        <f t="shared" si="86"/>
        <v>0</v>
      </c>
      <c r="F490" s="717"/>
      <c r="G490" s="24">
        <f t="shared" si="87"/>
        <v>1</v>
      </c>
      <c r="H490" s="717"/>
      <c r="I490" s="24">
        <f t="shared" si="88"/>
        <v>1</v>
      </c>
      <c r="J490" s="717"/>
      <c r="K490" s="24">
        <f t="shared" si="89"/>
        <v>1</v>
      </c>
      <c r="L490" s="717"/>
      <c r="M490" s="24">
        <f t="shared" si="90"/>
        <v>1</v>
      </c>
      <c r="N490" s="717"/>
      <c r="O490" s="24">
        <f t="shared" si="91"/>
        <v>1</v>
      </c>
      <c r="P490" s="717"/>
      <c r="Q490" s="24">
        <f t="shared" si="92"/>
        <v>0.04</v>
      </c>
      <c r="R490" s="713">
        <f t="shared" si="93"/>
        <v>0</v>
      </c>
      <c r="S490" s="361">
        <f t="shared" si="84"/>
        <v>0</v>
      </c>
    </row>
    <row r="491" spans="1:19">
      <c r="A491" s="159"/>
      <c r="B491" s="59"/>
      <c r="C491" s="24">
        <f t="shared" si="85"/>
        <v>1</v>
      </c>
      <c r="D491" s="717"/>
      <c r="E491" s="24">
        <f t="shared" si="86"/>
        <v>0</v>
      </c>
      <c r="F491" s="717"/>
      <c r="G491" s="24">
        <f t="shared" si="87"/>
        <v>1</v>
      </c>
      <c r="H491" s="717"/>
      <c r="I491" s="24">
        <f t="shared" si="88"/>
        <v>1</v>
      </c>
      <c r="J491" s="717"/>
      <c r="K491" s="24">
        <f t="shared" si="89"/>
        <v>1</v>
      </c>
      <c r="L491" s="717"/>
      <c r="M491" s="24">
        <f t="shared" si="90"/>
        <v>1</v>
      </c>
      <c r="N491" s="717"/>
      <c r="O491" s="24">
        <f t="shared" si="91"/>
        <v>1</v>
      </c>
      <c r="P491" s="717"/>
      <c r="Q491" s="24">
        <f t="shared" si="92"/>
        <v>0.04</v>
      </c>
      <c r="R491" s="713">
        <f t="shared" si="93"/>
        <v>0</v>
      </c>
      <c r="S491" s="361">
        <f t="shared" si="84"/>
        <v>0</v>
      </c>
    </row>
    <row r="492" spans="1:19">
      <c r="A492" s="159"/>
      <c r="B492" s="59"/>
      <c r="C492" s="24">
        <f t="shared" si="85"/>
        <v>1</v>
      </c>
      <c r="D492" s="717"/>
      <c r="E492" s="24">
        <f t="shared" si="86"/>
        <v>0</v>
      </c>
      <c r="F492" s="717"/>
      <c r="G492" s="24">
        <f t="shared" si="87"/>
        <v>1</v>
      </c>
      <c r="H492" s="717"/>
      <c r="I492" s="24">
        <f t="shared" si="88"/>
        <v>1</v>
      </c>
      <c r="J492" s="717"/>
      <c r="K492" s="24">
        <f t="shared" si="89"/>
        <v>1</v>
      </c>
      <c r="L492" s="717"/>
      <c r="M492" s="24">
        <f t="shared" si="90"/>
        <v>1</v>
      </c>
      <c r="N492" s="717"/>
      <c r="O492" s="24">
        <f t="shared" si="91"/>
        <v>1</v>
      </c>
      <c r="P492" s="717"/>
      <c r="Q492" s="24">
        <f t="shared" si="92"/>
        <v>0.04</v>
      </c>
      <c r="R492" s="713">
        <f t="shared" si="93"/>
        <v>0</v>
      </c>
      <c r="S492" s="361">
        <f t="shared" si="84"/>
        <v>0</v>
      </c>
    </row>
    <row r="493" spans="1:19">
      <c r="A493" s="159"/>
      <c r="B493" s="59"/>
      <c r="C493" s="24">
        <f t="shared" si="85"/>
        <v>1</v>
      </c>
      <c r="D493" s="717"/>
      <c r="E493" s="24">
        <f t="shared" si="86"/>
        <v>0</v>
      </c>
      <c r="F493" s="717"/>
      <c r="G493" s="24">
        <f t="shared" si="87"/>
        <v>1</v>
      </c>
      <c r="H493" s="717"/>
      <c r="I493" s="24">
        <f t="shared" si="88"/>
        <v>1</v>
      </c>
      <c r="J493" s="717"/>
      <c r="K493" s="24">
        <f t="shared" si="89"/>
        <v>1</v>
      </c>
      <c r="L493" s="717"/>
      <c r="M493" s="24">
        <f t="shared" si="90"/>
        <v>1</v>
      </c>
      <c r="N493" s="717"/>
      <c r="O493" s="24">
        <f t="shared" si="91"/>
        <v>1</v>
      </c>
      <c r="P493" s="717"/>
      <c r="Q493" s="24">
        <f t="shared" si="92"/>
        <v>0.04</v>
      </c>
      <c r="R493" s="713">
        <f t="shared" si="93"/>
        <v>0</v>
      </c>
      <c r="S493" s="361">
        <f t="shared" si="84"/>
        <v>0</v>
      </c>
    </row>
    <row r="494" spans="1:19">
      <c r="A494" s="159"/>
      <c r="B494" s="59"/>
      <c r="C494" s="24">
        <f t="shared" si="85"/>
        <v>1</v>
      </c>
      <c r="D494" s="717"/>
      <c r="E494" s="24">
        <f t="shared" si="86"/>
        <v>0</v>
      </c>
      <c r="F494" s="717"/>
      <c r="G494" s="24">
        <f t="shared" si="87"/>
        <v>1</v>
      </c>
      <c r="H494" s="717"/>
      <c r="I494" s="24">
        <f t="shared" si="88"/>
        <v>1</v>
      </c>
      <c r="J494" s="717"/>
      <c r="K494" s="24">
        <f t="shared" si="89"/>
        <v>1</v>
      </c>
      <c r="L494" s="717"/>
      <c r="M494" s="24">
        <f t="shared" si="90"/>
        <v>1</v>
      </c>
      <c r="N494" s="717"/>
      <c r="O494" s="24">
        <f t="shared" si="91"/>
        <v>1</v>
      </c>
      <c r="P494" s="717"/>
      <c r="Q494" s="24">
        <f t="shared" si="92"/>
        <v>0.04</v>
      </c>
      <c r="R494" s="713">
        <f t="shared" si="93"/>
        <v>0</v>
      </c>
      <c r="S494" s="361">
        <f t="shared" si="84"/>
        <v>0</v>
      </c>
    </row>
    <row r="495" spans="1:19">
      <c r="A495" s="159"/>
      <c r="B495" s="59"/>
      <c r="C495" s="24">
        <f t="shared" si="85"/>
        <v>1</v>
      </c>
      <c r="D495" s="717"/>
      <c r="E495" s="24">
        <f t="shared" si="86"/>
        <v>0</v>
      </c>
      <c r="F495" s="717"/>
      <c r="G495" s="24">
        <f t="shared" si="87"/>
        <v>1</v>
      </c>
      <c r="H495" s="717"/>
      <c r="I495" s="24">
        <f t="shared" si="88"/>
        <v>1</v>
      </c>
      <c r="J495" s="717"/>
      <c r="K495" s="24">
        <f t="shared" si="89"/>
        <v>1</v>
      </c>
      <c r="L495" s="717"/>
      <c r="M495" s="24">
        <f t="shared" si="90"/>
        <v>1</v>
      </c>
      <c r="N495" s="717"/>
      <c r="O495" s="24">
        <f t="shared" si="91"/>
        <v>1</v>
      </c>
      <c r="P495" s="717"/>
      <c r="Q495" s="24">
        <f t="shared" si="92"/>
        <v>0.04</v>
      </c>
      <c r="R495" s="713">
        <f t="shared" si="93"/>
        <v>0</v>
      </c>
      <c r="S495" s="361">
        <f t="shared" si="84"/>
        <v>0</v>
      </c>
    </row>
    <row r="496" spans="1:19">
      <c r="A496" s="159"/>
      <c r="B496" s="59"/>
      <c r="C496" s="24">
        <f t="shared" si="85"/>
        <v>1</v>
      </c>
      <c r="D496" s="717"/>
      <c r="E496" s="24">
        <f t="shared" si="86"/>
        <v>0</v>
      </c>
      <c r="F496" s="717"/>
      <c r="G496" s="24">
        <f t="shared" si="87"/>
        <v>1</v>
      </c>
      <c r="H496" s="717"/>
      <c r="I496" s="24">
        <f t="shared" si="88"/>
        <v>1</v>
      </c>
      <c r="J496" s="717"/>
      <c r="K496" s="24">
        <f t="shared" si="89"/>
        <v>1</v>
      </c>
      <c r="L496" s="717"/>
      <c r="M496" s="24">
        <f t="shared" si="90"/>
        <v>1</v>
      </c>
      <c r="N496" s="717"/>
      <c r="O496" s="24">
        <f t="shared" si="91"/>
        <v>1</v>
      </c>
      <c r="P496" s="717"/>
      <c r="Q496" s="24">
        <f t="shared" si="92"/>
        <v>0.04</v>
      </c>
      <c r="R496" s="713">
        <f t="shared" si="93"/>
        <v>0</v>
      </c>
      <c r="S496" s="361">
        <f t="shared" si="84"/>
        <v>0</v>
      </c>
    </row>
    <row r="497" spans="1:19">
      <c r="A497" s="159"/>
      <c r="B497" s="59"/>
      <c r="C497" s="24">
        <f t="shared" si="85"/>
        <v>1</v>
      </c>
      <c r="D497" s="717"/>
      <c r="E497" s="24">
        <f t="shared" si="86"/>
        <v>0</v>
      </c>
      <c r="F497" s="717"/>
      <c r="G497" s="24">
        <f t="shared" si="87"/>
        <v>1</v>
      </c>
      <c r="H497" s="717"/>
      <c r="I497" s="24">
        <f t="shared" si="88"/>
        <v>1</v>
      </c>
      <c r="J497" s="717"/>
      <c r="K497" s="24">
        <f t="shared" si="89"/>
        <v>1</v>
      </c>
      <c r="L497" s="717"/>
      <c r="M497" s="24">
        <f t="shared" si="90"/>
        <v>1</v>
      </c>
      <c r="N497" s="717"/>
      <c r="O497" s="24">
        <f t="shared" si="91"/>
        <v>1</v>
      </c>
      <c r="P497" s="717"/>
      <c r="Q497" s="24">
        <f t="shared" si="92"/>
        <v>0.04</v>
      </c>
      <c r="R497" s="713">
        <f t="shared" si="93"/>
        <v>0</v>
      </c>
      <c r="S497" s="361">
        <f t="shared" si="84"/>
        <v>0</v>
      </c>
    </row>
    <row r="498" spans="1:19">
      <c r="A498" s="159"/>
      <c r="B498" s="59"/>
      <c r="C498" s="24">
        <f t="shared" si="85"/>
        <v>1</v>
      </c>
      <c r="D498" s="717"/>
      <c r="E498" s="24">
        <f t="shared" si="86"/>
        <v>0</v>
      </c>
      <c r="F498" s="717"/>
      <c r="G498" s="24">
        <f t="shared" si="87"/>
        <v>1</v>
      </c>
      <c r="H498" s="717"/>
      <c r="I498" s="24">
        <f t="shared" si="88"/>
        <v>1</v>
      </c>
      <c r="J498" s="717"/>
      <c r="K498" s="24">
        <f t="shared" si="89"/>
        <v>1</v>
      </c>
      <c r="L498" s="717"/>
      <c r="M498" s="24">
        <f t="shared" si="90"/>
        <v>1</v>
      </c>
      <c r="N498" s="717"/>
      <c r="O498" s="24">
        <f t="shared" si="91"/>
        <v>1</v>
      </c>
      <c r="P498" s="717"/>
      <c r="Q498" s="24">
        <f t="shared" si="92"/>
        <v>0.04</v>
      </c>
      <c r="R498" s="713">
        <f t="shared" si="93"/>
        <v>0</v>
      </c>
      <c r="S498" s="361">
        <f t="shared" ref="S498:S524" si="94">ROUND(R498*B498/10000,0)</f>
        <v>0</v>
      </c>
    </row>
    <row r="499" spans="1:19">
      <c r="A499" s="159"/>
      <c r="B499" s="59"/>
      <c r="C499" s="24">
        <f t="shared" si="85"/>
        <v>1</v>
      </c>
      <c r="D499" s="717"/>
      <c r="E499" s="24">
        <f t="shared" si="86"/>
        <v>0</v>
      </c>
      <c r="F499" s="717"/>
      <c r="G499" s="24">
        <f t="shared" si="87"/>
        <v>1</v>
      </c>
      <c r="H499" s="717"/>
      <c r="I499" s="24">
        <f t="shared" si="88"/>
        <v>1</v>
      </c>
      <c r="J499" s="717"/>
      <c r="K499" s="24">
        <f t="shared" si="89"/>
        <v>1</v>
      </c>
      <c r="L499" s="717"/>
      <c r="M499" s="24">
        <f t="shared" si="90"/>
        <v>1</v>
      </c>
      <c r="N499" s="717"/>
      <c r="O499" s="24">
        <f t="shared" si="91"/>
        <v>1</v>
      </c>
      <c r="P499" s="717"/>
      <c r="Q499" s="24">
        <f t="shared" si="92"/>
        <v>0.04</v>
      </c>
      <c r="R499" s="713">
        <f t="shared" si="93"/>
        <v>0</v>
      </c>
      <c r="S499" s="361">
        <f t="shared" si="94"/>
        <v>0</v>
      </c>
    </row>
    <row r="500" spans="1:19">
      <c r="A500" s="159"/>
      <c r="B500" s="59"/>
      <c r="C500" s="24">
        <f t="shared" si="85"/>
        <v>1</v>
      </c>
      <c r="D500" s="717"/>
      <c r="E500" s="24">
        <f t="shared" si="86"/>
        <v>0</v>
      </c>
      <c r="F500" s="717"/>
      <c r="G500" s="24">
        <f t="shared" si="87"/>
        <v>1</v>
      </c>
      <c r="H500" s="717"/>
      <c r="I500" s="24">
        <f t="shared" si="88"/>
        <v>1</v>
      </c>
      <c r="J500" s="717"/>
      <c r="K500" s="24">
        <f t="shared" si="89"/>
        <v>1</v>
      </c>
      <c r="L500" s="717"/>
      <c r="M500" s="24">
        <f t="shared" si="90"/>
        <v>1</v>
      </c>
      <c r="N500" s="717"/>
      <c r="O500" s="24">
        <f t="shared" si="91"/>
        <v>1</v>
      </c>
      <c r="P500" s="717"/>
      <c r="Q500" s="24">
        <f t="shared" si="92"/>
        <v>0.04</v>
      </c>
      <c r="R500" s="713">
        <f t="shared" si="93"/>
        <v>0</v>
      </c>
      <c r="S500" s="361">
        <f t="shared" si="94"/>
        <v>0</v>
      </c>
    </row>
    <row r="501" spans="1:19">
      <c r="A501" s="159"/>
      <c r="B501" s="59"/>
      <c r="C501" s="24">
        <f t="shared" si="85"/>
        <v>1</v>
      </c>
      <c r="D501" s="717"/>
      <c r="E501" s="24">
        <f t="shared" si="86"/>
        <v>0</v>
      </c>
      <c r="F501" s="717"/>
      <c r="G501" s="24">
        <f t="shared" si="87"/>
        <v>1</v>
      </c>
      <c r="H501" s="717"/>
      <c r="I501" s="24">
        <f t="shared" si="88"/>
        <v>1</v>
      </c>
      <c r="J501" s="717"/>
      <c r="K501" s="24">
        <f t="shared" si="89"/>
        <v>1</v>
      </c>
      <c r="L501" s="717"/>
      <c r="M501" s="24">
        <f t="shared" si="90"/>
        <v>1</v>
      </c>
      <c r="N501" s="717"/>
      <c r="O501" s="24">
        <f t="shared" si="91"/>
        <v>1</v>
      </c>
      <c r="P501" s="717"/>
      <c r="Q501" s="24">
        <f t="shared" si="92"/>
        <v>0.04</v>
      </c>
      <c r="R501" s="713">
        <f t="shared" si="93"/>
        <v>0</v>
      </c>
      <c r="S501" s="361">
        <f t="shared" si="94"/>
        <v>0</v>
      </c>
    </row>
    <row r="502" spans="1:19">
      <c r="A502" s="159"/>
      <c r="B502" s="59"/>
      <c r="C502" s="24">
        <f t="shared" si="85"/>
        <v>1</v>
      </c>
      <c r="D502" s="717"/>
      <c r="E502" s="24">
        <f t="shared" si="86"/>
        <v>0</v>
      </c>
      <c r="F502" s="717"/>
      <c r="G502" s="24">
        <f t="shared" si="87"/>
        <v>1</v>
      </c>
      <c r="H502" s="717"/>
      <c r="I502" s="24">
        <f t="shared" si="88"/>
        <v>1</v>
      </c>
      <c r="J502" s="717"/>
      <c r="K502" s="24">
        <f t="shared" si="89"/>
        <v>1</v>
      </c>
      <c r="L502" s="717"/>
      <c r="M502" s="24">
        <f t="shared" si="90"/>
        <v>1</v>
      </c>
      <c r="N502" s="717"/>
      <c r="O502" s="24">
        <f t="shared" si="91"/>
        <v>1</v>
      </c>
      <c r="P502" s="717"/>
      <c r="Q502" s="24">
        <f t="shared" si="92"/>
        <v>0.04</v>
      </c>
      <c r="R502" s="713">
        <f t="shared" si="93"/>
        <v>0</v>
      </c>
      <c r="S502" s="361">
        <f t="shared" si="94"/>
        <v>0</v>
      </c>
    </row>
    <row r="503" spans="1:19">
      <c r="A503" s="159"/>
      <c r="B503" s="59"/>
      <c r="C503" s="24">
        <f t="shared" si="85"/>
        <v>1</v>
      </c>
      <c r="D503" s="717"/>
      <c r="E503" s="24">
        <f t="shared" si="86"/>
        <v>0</v>
      </c>
      <c r="F503" s="717"/>
      <c r="G503" s="24">
        <f t="shared" si="87"/>
        <v>1</v>
      </c>
      <c r="H503" s="717"/>
      <c r="I503" s="24">
        <f t="shared" si="88"/>
        <v>1</v>
      </c>
      <c r="J503" s="717"/>
      <c r="K503" s="24">
        <f t="shared" si="89"/>
        <v>1</v>
      </c>
      <c r="L503" s="717"/>
      <c r="M503" s="24">
        <f t="shared" si="90"/>
        <v>1</v>
      </c>
      <c r="N503" s="717"/>
      <c r="O503" s="24">
        <f t="shared" si="91"/>
        <v>1</v>
      </c>
      <c r="P503" s="717"/>
      <c r="Q503" s="24">
        <f t="shared" si="92"/>
        <v>0.04</v>
      </c>
      <c r="R503" s="713">
        <f t="shared" si="93"/>
        <v>0</v>
      </c>
      <c r="S503" s="361">
        <f t="shared" si="94"/>
        <v>0</v>
      </c>
    </row>
    <row r="504" spans="1:19">
      <c r="A504" s="159"/>
      <c r="B504" s="59"/>
      <c r="C504" s="24">
        <f t="shared" si="85"/>
        <v>1</v>
      </c>
      <c r="D504" s="717"/>
      <c r="E504" s="24">
        <f t="shared" si="86"/>
        <v>0</v>
      </c>
      <c r="F504" s="717"/>
      <c r="G504" s="24">
        <f t="shared" si="87"/>
        <v>1</v>
      </c>
      <c r="H504" s="717"/>
      <c r="I504" s="24">
        <f t="shared" si="88"/>
        <v>1</v>
      </c>
      <c r="J504" s="717"/>
      <c r="K504" s="24">
        <f t="shared" si="89"/>
        <v>1</v>
      </c>
      <c r="L504" s="717"/>
      <c r="M504" s="24">
        <f t="shared" si="90"/>
        <v>1</v>
      </c>
      <c r="N504" s="717"/>
      <c r="O504" s="24">
        <f t="shared" si="91"/>
        <v>1</v>
      </c>
      <c r="P504" s="717"/>
      <c r="Q504" s="24">
        <f t="shared" si="92"/>
        <v>0.04</v>
      </c>
      <c r="R504" s="713">
        <f t="shared" si="93"/>
        <v>0</v>
      </c>
      <c r="S504" s="361">
        <f t="shared" si="94"/>
        <v>0</v>
      </c>
    </row>
    <row r="505" spans="1:19">
      <c r="A505" s="159"/>
      <c r="B505" s="59"/>
      <c r="C505" s="24">
        <f t="shared" si="85"/>
        <v>1</v>
      </c>
      <c r="D505" s="717"/>
      <c r="E505" s="24">
        <f t="shared" si="86"/>
        <v>0</v>
      </c>
      <c r="F505" s="717"/>
      <c r="G505" s="24">
        <f t="shared" si="87"/>
        <v>1</v>
      </c>
      <c r="H505" s="717"/>
      <c r="I505" s="24">
        <f t="shared" si="88"/>
        <v>1</v>
      </c>
      <c r="J505" s="717"/>
      <c r="K505" s="24">
        <f t="shared" si="89"/>
        <v>1</v>
      </c>
      <c r="L505" s="717"/>
      <c r="M505" s="24">
        <f t="shared" si="90"/>
        <v>1</v>
      </c>
      <c r="N505" s="717"/>
      <c r="O505" s="24">
        <f t="shared" si="91"/>
        <v>1</v>
      </c>
      <c r="P505" s="717"/>
      <c r="Q505" s="24">
        <f t="shared" si="92"/>
        <v>0.04</v>
      </c>
      <c r="R505" s="713">
        <f t="shared" si="93"/>
        <v>0</v>
      </c>
      <c r="S505" s="361">
        <f t="shared" si="94"/>
        <v>0</v>
      </c>
    </row>
    <row r="506" spans="1:19">
      <c r="A506" s="159"/>
      <c r="B506" s="59"/>
      <c r="C506" s="24">
        <f t="shared" si="85"/>
        <v>1</v>
      </c>
      <c r="D506" s="717"/>
      <c r="E506" s="24">
        <f t="shared" si="86"/>
        <v>0</v>
      </c>
      <c r="F506" s="717"/>
      <c r="G506" s="24">
        <f t="shared" si="87"/>
        <v>1</v>
      </c>
      <c r="H506" s="717"/>
      <c r="I506" s="24">
        <f t="shared" si="88"/>
        <v>1</v>
      </c>
      <c r="J506" s="717"/>
      <c r="K506" s="24">
        <f t="shared" si="89"/>
        <v>1</v>
      </c>
      <c r="L506" s="717"/>
      <c r="M506" s="24">
        <f t="shared" si="90"/>
        <v>1</v>
      </c>
      <c r="N506" s="717"/>
      <c r="O506" s="24">
        <f t="shared" si="91"/>
        <v>1</v>
      </c>
      <c r="P506" s="717"/>
      <c r="Q506" s="24">
        <f t="shared" si="92"/>
        <v>0.04</v>
      </c>
      <c r="R506" s="713">
        <f t="shared" si="93"/>
        <v>0</v>
      </c>
      <c r="S506" s="361">
        <f t="shared" si="94"/>
        <v>0</v>
      </c>
    </row>
    <row r="507" spans="1:19">
      <c r="A507" s="159"/>
      <c r="B507" s="59"/>
      <c r="C507" s="24">
        <f t="shared" si="85"/>
        <v>1</v>
      </c>
      <c r="D507" s="717"/>
      <c r="E507" s="24">
        <f t="shared" si="86"/>
        <v>0</v>
      </c>
      <c r="F507" s="717"/>
      <c r="G507" s="24">
        <f t="shared" si="87"/>
        <v>1</v>
      </c>
      <c r="H507" s="717"/>
      <c r="I507" s="24">
        <f t="shared" si="88"/>
        <v>1</v>
      </c>
      <c r="J507" s="717"/>
      <c r="K507" s="24">
        <f t="shared" si="89"/>
        <v>1</v>
      </c>
      <c r="L507" s="717"/>
      <c r="M507" s="24">
        <f t="shared" si="90"/>
        <v>1</v>
      </c>
      <c r="N507" s="717"/>
      <c r="O507" s="24">
        <f t="shared" si="91"/>
        <v>1</v>
      </c>
      <c r="P507" s="717"/>
      <c r="Q507" s="24">
        <f t="shared" si="92"/>
        <v>0.04</v>
      </c>
      <c r="R507" s="713">
        <f t="shared" si="93"/>
        <v>0</v>
      </c>
      <c r="S507" s="361">
        <f t="shared" si="94"/>
        <v>0</v>
      </c>
    </row>
    <row r="508" spans="1:19">
      <c r="A508" s="159"/>
      <c r="B508" s="59"/>
      <c r="C508" s="24">
        <f t="shared" si="85"/>
        <v>1</v>
      </c>
      <c r="D508" s="717"/>
      <c r="E508" s="24">
        <f t="shared" si="86"/>
        <v>0</v>
      </c>
      <c r="F508" s="717"/>
      <c r="G508" s="24">
        <f t="shared" si="87"/>
        <v>1</v>
      </c>
      <c r="H508" s="717"/>
      <c r="I508" s="24">
        <f t="shared" si="88"/>
        <v>1</v>
      </c>
      <c r="J508" s="717"/>
      <c r="K508" s="24">
        <f t="shared" si="89"/>
        <v>1</v>
      </c>
      <c r="L508" s="717"/>
      <c r="M508" s="24">
        <f t="shared" si="90"/>
        <v>1</v>
      </c>
      <c r="N508" s="717"/>
      <c r="O508" s="24">
        <f t="shared" si="91"/>
        <v>1</v>
      </c>
      <c r="P508" s="717"/>
      <c r="Q508" s="24">
        <f t="shared" si="92"/>
        <v>0.04</v>
      </c>
      <c r="R508" s="713">
        <f t="shared" si="93"/>
        <v>0</v>
      </c>
      <c r="S508" s="361">
        <f t="shared" si="94"/>
        <v>0</v>
      </c>
    </row>
    <row r="509" spans="1:19">
      <c r="A509" s="159"/>
      <c r="B509" s="59"/>
      <c r="C509" s="24">
        <f t="shared" si="85"/>
        <v>1</v>
      </c>
      <c r="D509" s="717"/>
      <c r="E509" s="24">
        <f t="shared" si="86"/>
        <v>0</v>
      </c>
      <c r="F509" s="717"/>
      <c r="G509" s="24">
        <f t="shared" si="87"/>
        <v>1</v>
      </c>
      <c r="H509" s="717"/>
      <c r="I509" s="24">
        <f t="shared" si="88"/>
        <v>1</v>
      </c>
      <c r="J509" s="717"/>
      <c r="K509" s="24">
        <f t="shared" si="89"/>
        <v>1</v>
      </c>
      <c r="L509" s="717"/>
      <c r="M509" s="24">
        <f t="shared" si="90"/>
        <v>1</v>
      </c>
      <c r="N509" s="717"/>
      <c r="O509" s="24">
        <f t="shared" si="91"/>
        <v>1</v>
      </c>
      <c r="P509" s="717"/>
      <c r="Q509" s="24">
        <f t="shared" si="92"/>
        <v>0.04</v>
      </c>
      <c r="R509" s="713">
        <f t="shared" si="93"/>
        <v>0</v>
      </c>
      <c r="S509" s="361">
        <f t="shared" si="94"/>
        <v>0</v>
      </c>
    </row>
    <row r="510" spans="1:19">
      <c r="A510" s="159"/>
      <c r="B510" s="59"/>
      <c r="C510" s="24">
        <f t="shared" si="85"/>
        <v>1</v>
      </c>
      <c r="D510" s="717"/>
      <c r="E510" s="24">
        <f t="shared" si="86"/>
        <v>0</v>
      </c>
      <c r="F510" s="717"/>
      <c r="G510" s="24">
        <f t="shared" si="87"/>
        <v>1</v>
      </c>
      <c r="H510" s="717"/>
      <c r="I510" s="24">
        <f t="shared" si="88"/>
        <v>1</v>
      </c>
      <c r="J510" s="717"/>
      <c r="K510" s="24">
        <f t="shared" si="89"/>
        <v>1</v>
      </c>
      <c r="L510" s="717"/>
      <c r="M510" s="24">
        <f t="shared" si="90"/>
        <v>1</v>
      </c>
      <c r="N510" s="717"/>
      <c r="O510" s="24">
        <f t="shared" si="91"/>
        <v>1</v>
      </c>
      <c r="P510" s="717"/>
      <c r="Q510" s="24">
        <f t="shared" si="92"/>
        <v>0.04</v>
      </c>
      <c r="R510" s="713">
        <f t="shared" si="93"/>
        <v>0</v>
      </c>
      <c r="S510" s="361">
        <f t="shared" si="94"/>
        <v>0</v>
      </c>
    </row>
    <row r="511" spans="1:19">
      <c r="A511" s="159"/>
      <c r="B511" s="59"/>
      <c r="C511" s="24">
        <f t="shared" si="85"/>
        <v>1</v>
      </c>
      <c r="D511" s="717"/>
      <c r="E511" s="24">
        <f t="shared" si="86"/>
        <v>0</v>
      </c>
      <c r="F511" s="717"/>
      <c r="G511" s="24">
        <f t="shared" si="87"/>
        <v>1</v>
      </c>
      <c r="H511" s="717"/>
      <c r="I511" s="24">
        <f t="shared" si="88"/>
        <v>1</v>
      </c>
      <c r="J511" s="717"/>
      <c r="K511" s="24">
        <f t="shared" si="89"/>
        <v>1</v>
      </c>
      <c r="L511" s="717"/>
      <c r="M511" s="24">
        <f t="shared" si="90"/>
        <v>1</v>
      </c>
      <c r="N511" s="717"/>
      <c r="O511" s="24">
        <f t="shared" si="91"/>
        <v>1</v>
      </c>
      <c r="P511" s="717"/>
      <c r="Q511" s="24">
        <f t="shared" si="92"/>
        <v>0.04</v>
      </c>
      <c r="R511" s="713">
        <f t="shared" si="93"/>
        <v>0</v>
      </c>
      <c r="S511" s="361">
        <f t="shared" si="94"/>
        <v>0</v>
      </c>
    </row>
    <row r="512" spans="1:19">
      <c r="A512" s="159"/>
      <c r="B512" s="59"/>
      <c r="C512" s="24">
        <f t="shared" si="85"/>
        <v>1</v>
      </c>
      <c r="D512" s="717"/>
      <c r="E512" s="24">
        <f t="shared" si="86"/>
        <v>0</v>
      </c>
      <c r="F512" s="717"/>
      <c r="G512" s="24">
        <f t="shared" si="87"/>
        <v>1</v>
      </c>
      <c r="H512" s="717"/>
      <c r="I512" s="24">
        <f t="shared" si="88"/>
        <v>1</v>
      </c>
      <c r="J512" s="717"/>
      <c r="K512" s="24">
        <f t="shared" si="89"/>
        <v>1</v>
      </c>
      <c r="L512" s="717"/>
      <c r="M512" s="24">
        <f t="shared" si="90"/>
        <v>1</v>
      </c>
      <c r="N512" s="717"/>
      <c r="O512" s="24">
        <f t="shared" si="91"/>
        <v>1</v>
      </c>
      <c r="P512" s="717"/>
      <c r="Q512" s="24">
        <f t="shared" si="92"/>
        <v>0.04</v>
      </c>
      <c r="R512" s="713">
        <f t="shared" si="93"/>
        <v>0</v>
      </c>
      <c r="S512" s="361">
        <f t="shared" si="94"/>
        <v>0</v>
      </c>
    </row>
    <row r="513" spans="1:19">
      <c r="A513" s="159"/>
      <c r="B513" s="59"/>
      <c r="C513" s="24">
        <f t="shared" si="85"/>
        <v>1</v>
      </c>
      <c r="D513" s="717"/>
      <c r="E513" s="24">
        <f t="shared" si="86"/>
        <v>0</v>
      </c>
      <c r="F513" s="717"/>
      <c r="G513" s="24">
        <f t="shared" si="87"/>
        <v>1</v>
      </c>
      <c r="H513" s="717"/>
      <c r="I513" s="24">
        <f t="shared" si="88"/>
        <v>1</v>
      </c>
      <c r="J513" s="717"/>
      <c r="K513" s="24">
        <f t="shared" si="89"/>
        <v>1</v>
      </c>
      <c r="L513" s="717"/>
      <c r="M513" s="24">
        <f t="shared" si="90"/>
        <v>1</v>
      </c>
      <c r="N513" s="717"/>
      <c r="O513" s="24">
        <f t="shared" si="91"/>
        <v>1</v>
      </c>
      <c r="P513" s="717"/>
      <c r="Q513" s="24">
        <f t="shared" si="92"/>
        <v>0.04</v>
      </c>
      <c r="R513" s="713">
        <f t="shared" si="93"/>
        <v>0</v>
      </c>
      <c r="S513" s="361">
        <f t="shared" si="94"/>
        <v>0</v>
      </c>
    </row>
    <row r="514" spans="1:19">
      <c r="A514" s="159"/>
      <c r="B514" s="59"/>
      <c r="C514" s="24">
        <f t="shared" si="85"/>
        <v>1</v>
      </c>
      <c r="D514" s="717"/>
      <c r="E514" s="24">
        <f t="shared" si="86"/>
        <v>0</v>
      </c>
      <c r="F514" s="717"/>
      <c r="G514" s="24">
        <f t="shared" si="87"/>
        <v>1</v>
      </c>
      <c r="H514" s="717"/>
      <c r="I514" s="24">
        <f t="shared" si="88"/>
        <v>1</v>
      </c>
      <c r="J514" s="717"/>
      <c r="K514" s="24">
        <f t="shared" si="89"/>
        <v>1</v>
      </c>
      <c r="L514" s="717"/>
      <c r="M514" s="24">
        <f t="shared" si="90"/>
        <v>1</v>
      </c>
      <c r="N514" s="717"/>
      <c r="O514" s="24">
        <f t="shared" si="91"/>
        <v>1</v>
      </c>
      <c r="P514" s="717"/>
      <c r="Q514" s="24">
        <f t="shared" si="92"/>
        <v>0.04</v>
      </c>
      <c r="R514" s="713">
        <f t="shared" si="93"/>
        <v>0</v>
      </c>
      <c r="S514" s="361">
        <f t="shared" si="94"/>
        <v>0</v>
      </c>
    </row>
    <row r="515" spans="1:19">
      <c r="A515" s="159"/>
      <c r="B515" s="59"/>
      <c r="C515" s="24">
        <f t="shared" si="85"/>
        <v>1</v>
      </c>
      <c r="D515" s="717"/>
      <c r="E515" s="24">
        <f t="shared" si="86"/>
        <v>0</v>
      </c>
      <c r="F515" s="717"/>
      <c r="G515" s="24">
        <f t="shared" si="87"/>
        <v>1</v>
      </c>
      <c r="H515" s="717"/>
      <c r="I515" s="24">
        <f t="shared" si="88"/>
        <v>1</v>
      </c>
      <c r="J515" s="717"/>
      <c r="K515" s="24">
        <f t="shared" si="89"/>
        <v>1</v>
      </c>
      <c r="L515" s="717"/>
      <c r="M515" s="24">
        <f t="shared" si="90"/>
        <v>1</v>
      </c>
      <c r="N515" s="717"/>
      <c r="O515" s="24">
        <f t="shared" si="91"/>
        <v>1</v>
      </c>
      <c r="P515" s="717"/>
      <c r="Q515" s="24">
        <f t="shared" si="92"/>
        <v>0.04</v>
      </c>
      <c r="R515" s="713">
        <f t="shared" si="93"/>
        <v>0</v>
      </c>
      <c r="S515" s="361">
        <f t="shared" si="94"/>
        <v>0</v>
      </c>
    </row>
    <row r="516" spans="1:19">
      <c r="A516" s="159"/>
      <c r="B516" s="59"/>
      <c r="C516" s="24">
        <f t="shared" si="85"/>
        <v>1</v>
      </c>
      <c r="D516" s="717"/>
      <c r="E516" s="24">
        <f t="shared" si="86"/>
        <v>0</v>
      </c>
      <c r="F516" s="717"/>
      <c r="G516" s="24">
        <f t="shared" si="87"/>
        <v>1</v>
      </c>
      <c r="H516" s="717"/>
      <c r="I516" s="24">
        <f t="shared" si="88"/>
        <v>1</v>
      </c>
      <c r="J516" s="717"/>
      <c r="K516" s="24">
        <f t="shared" si="89"/>
        <v>1</v>
      </c>
      <c r="L516" s="717"/>
      <c r="M516" s="24">
        <f t="shared" si="90"/>
        <v>1</v>
      </c>
      <c r="N516" s="717"/>
      <c r="O516" s="24">
        <f t="shared" si="91"/>
        <v>1</v>
      </c>
      <c r="P516" s="717"/>
      <c r="Q516" s="24">
        <f t="shared" si="92"/>
        <v>0.04</v>
      </c>
      <c r="R516" s="713">
        <f t="shared" si="93"/>
        <v>0</v>
      </c>
      <c r="S516" s="361">
        <f t="shared" si="94"/>
        <v>0</v>
      </c>
    </row>
    <row r="517" spans="1:19">
      <c r="A517" s="159"/>
      <c r="B517" s="59"/>
      <c r="C517" s="24">
        <f t="shared" si="85"/>
        <v>1</v>
      </c>
      <c r="D517" s="717"/>
      <c r="E517" s="24">
        <f t="shared" si="86"/>
        <v>0</v>
      </c>
      <c r="F517" s="717"/>
      <c r="G517" s="24">
        <f t="shared" si="87"/>
        <v>1</v>
      </c>
      <c r="H517" s="717"/>
      <c r="I517" s="24">
        <f t="shared" si="88"/>
        <v>1</v>
      </c>
      <c r="J517" s="717"/>
      <c r="K517" s="24">
        <f t="shared" si="89"/>
        <v>1</v>
      </c>
      <c r="L517" s="717"/>
      <c r="M517" s="24">
        <f t="shared" si="90"/>
        <v>1</v>
      </c>
      <c r="N517" s="717"/>
      <c r="O517" s="24">
        <f t="shared" si="91"/>
        <v>1</v>
      </c>
      <c r="P517" s="717"/>
      <c r="Q517" s="24">
        <f t="shared" si="92"/>
        <v>0.04</v>
      </c>
      <c r="R517" s="713">
        <f t="shared" si="93"/>
        <v>0</v>
      </c>
      <c r="S517" s="361">
        <f t="shared" si="94"/>
        <v>0</v>
      </c>
    </row>
    <row r="518" spans="1:19">
      <c r="A518" s="159"/>
      <c r="B518" s="59"/>
      <c r="C518" s="24">
        <f t="shared" si="85"/>
        <v>1</v>
      </c>
      <c r="D518" s="717"/>
      <c r="E518" s="24">
        <f t="shared" si="86"/>
        <v>0</v>
      </c>
      <c r="F518" s="717"/>
      <c r="G518" s="24">
        <f t="shared" si="87"/>
        <v>1</v>
      </c>
      <c r="H518" s="717"/>
      <c r="I518" s="24">
        <f t="shared" si="88"/>
        <v>1</v>
      </c>
      <c r="J518" s="717"/>
      <c r="K518" s="24">
        <f t="shared" si="89"/>
        <v>1</v>
      </c>
      <c r="L518" s="717"/>
      <c r="M518" s="24">
        <f t="shared" si="90"/>
        <v>1</v>
      </c>
      <c r="N518" s="717"/>
      <c r="O518" s="24">
        <f t="shared" si="91"/>
        <v>1</v>
      </c>
      <c r="P518" s="717"/>
      <c r="Q518" s="24">
        <f t="shared" si="92"/>
        <v>0.04</v>
      </c>
      <c r="R518" s="713">
        <f t="shared" si="93"/>
        <v>0</v>
      </c>
      <c r="S518" s="361">
        <f t="shared" si="94"/>
        <v>0</v>
      </c>
    </row>
    <row r="519" spans="1:19">
      <c r="A519" s="159"/>
      <c r="B519" s="59"/>
      <c r="C519" s="24">
        <f t="shared" si="85"/>
        <v>1</v>
      </c>
      <c r="D519" s="717"/>
      <c r="E519" s="24">
        <f t="shared" si="86"/>
        <v>0</v>
      </c>
      <c r="F519" s="717"/>
      <c r="G519" s="24">
        <f t="shared" si="87"/>
        <v>1</v>
      </c>
      <c r="H519" s="717"/>
      <c r="I519" s="24">
        <f t="shared" si="88"/>
        <v>1</v>
      </c>
      <c r="J519" s="717"/>
      <c r="K519" s="24">
        <f t="shared" si="89"/>
        <v>1</v>
      </c>
      <c r="L519" s="717"/>
      <c r="M519" s="24">
        <f t="shared" si="90"/>
        <v>1</v>
      </c>
      <c r="N519" s="717"/>
      <c r="O519" s="24">
        <f t="shared" si="91"/>
        <v>1</v>
      </c>
      <c r="P519" s="717"/>
      <c r="Q519" s="24">
        <f t="shared" si="92"/>
        <v>0.04</v>
      </c>
      <c r="R519" s="713">
        <f t="shared" si="93"/>
        <v>0</v>
      </c>
      <c r="S519" s="361">
        <f t="shared" si="94"/>
        <v>0</v>
      </c>
    </row>
    <row r="520" spans="1:19">
      <c r="A520" s="159"/>
      <c r="B520" s="59"/>
      <c r="C520" s="24">
        <f t="shared" si="85"/>
        <v>1</v>
      </c>
      <c r="D520" s="717"/>
      <c r="E520" s="24">
        <f t="shared" si="86"/>
        <v>0</v>
      </c>
      <c r="F520" s="717"/>
      <c r="G520" s="24">
        <f t="shared" si="87"/>
        <v>1</v>
      </c>
      <c r="H520" s="717"/>
      <c r="I520" s="24">
        <f t="shared" si="88"/>
        <v>1</v>
      </c>
      <c r="J520" s="717"/>
      <c r="K520" s="24">
        <f t="shared" si="89"/>
        <v>1</v>
      </c>
      <c r="L520" s="717"/>
      <c r="M520" s="24">
        <f t="shared" si="90"/>
        <v>1</v>
      </c>
      <c r="N520" s="717"/>
      <c r="O520" s="24">
        <f t="shared" si="91"/>
        <v>1</v>
      </c>
      <c r="P520" s="717"/>
      <c r="Q520" s="24">
        <f t="shared" si="92"/>
        <v>0.04</v>
      </c>
      <c r="R520" s="713">
        <f t="shared" si="93"/>
        <v>0</v>
      </c>
      <c r="S520" s="361">
        <f t="shared" si="94"/>
        <v>0</v>
      </c>
    </row>
    <row r="521" spans="1:19">
      <c r="A521" s="159"/>
      <c r="B521" s="59"/>
      <c r="C521" s="24">
        <f t="shared" si="85"/>
        <v>1</v>
      </c>
      <c r="D521" s="717"/>
      <c r="E521" s="24">
        <f t="shared" si="86"/>
        <v>0</v>
      </c>
      <c r="F521" s="717"/>
      <c r="G521" s="24">
        <f t="shared" si="87"/>
        <v>1</v>
      </c>
      <c r="H521" s="717"/>
      <c r="I521" s="24">
        <f t="shared" si="88"/>
        <v>1</v>
      </c>
      <c r="J521" s="717"/>
      <c r="K521" s="24">
        <f t="shared" si="89"/>
        <v>1</v>
      </c>
      <c r="L521" s="717"/>
      <c r="M521" s="24">
        <f t="shared" si="90"/>
        <v>1</v>
      </c>
      <c r="N521" s="717"/>
      <c r="O521" s="24">
        <f t="shared" si="91"/>
        <v>1</v>
      </c>
      <c r="P521" s="717"/>
      <c r="Q521" s="24">
        <f t="shared" si="92"/>
        <v>0.04</v>
      </c>
      <c r="R521" s="713">
        <f t="shared" si="93"/>
        <v>0</v>
      </c>
      <c r="S521" s="361">
        <f t="shared" si="94"/>
        <v>0</v>
      </c>
    </row>
    <row r="522" spans="1:19">
      <c r="A522" s="159"/>
      <c r="B522" s="59"/>
      <c r="C522" s="24">
        <f t="shared" si="85"/>
        <v>1</v>
      </c>
      <c r="D522" s="717"/>
      <c r="E522" s="24">
        <f t="shared" si="86"/>
        <v>0</v>
      </c>
      <c r="F522" s="717"/>
      <c r="G522" s="24">
        <f t="shared" si="87"/>
        <v>1</v>
      </c>
      <c r="H522" s="717"/>
      <c r="I522" s="24">
        <f t="shared" si="88"/>
        <v>1</v>
      </c>
      <c r="J522" s="717"/>
      <c r="K522" s="24">
        <f t="shared" si="89"/>
        <v>1</v>
      </c>
      <c r="L522" s="717"/>
      <c r="M522" s="24">
        <f t="shared" si="90"/>
        <v>1</v>
      </c>
      <c r="N522" s="717"/>
      <c r="O522" s="24">
        <f t="shared" si="91"/>
        <v>1</v>
      </c>
      <c r="P522" s="717"/>
      <c r="Q522" s="24">
        <f t="shared" si="92"/>
        <v>0.04</v>
      </c>
      <c r="R522" s="713">
        <f t="shared" si="93"/>
        <v>0</v>
      </c>
      <c r="S522" s="361">
        <f t="shared" si="94"/>
        <v>0</v>
      </c>
    </row>
    <row r="523" spans="1:19">
      <c r="A523" s="159"/>
      <c r="B523" s="59"/>
      <c r="C523" s="24">
        <f t="shared" si="85"/>
        <v>1</v>
      </c>
      <c r="D523" s="717"/>
      <c r="E523" s="24">
        <f t="shared" si="86"/>
        <v>0</v>
      </c>
      <c r="F523" s="717"/>
      <c r="G523" s="24">
        <f t="shared" si="87"/>
        <v>1</v>
      </c>
      <c r="H523" s="717"/>
      <c r="I523" s="24">
        <f t="shared" si="88"/>
        <v>1</v>
      </c>
      <c r="J523" s="717"/>
      <c r="K523" s="24">
        <f t="shared" si="89"/>
        <v>1</v>
      </c>
      <c r="L523" s="717"/>
      <c r="M523" s="24">
        <f t="shared" si="90"/>
        <v>1</v>
      </c>
      <c r="N523" s="717"/>
      <c r="O523" s="24">
        <f t="shared" si="91"/>
        <v>1</v>
      </c>
      <c r="P523" s="717"/>
      <c r="Q523" s="24">
        <f t="shared" si="92"/>
        <v>0.04</v>
      </c>
      <c r="R523" s="713">
        <f t="shared" si="93"/>
        <v>0</v>
      </c>
      <c r="S523" s="361">
        <f t="shared" si="94"/>
        <v>0</v>
      </c>
    </row>
    <row r="524" spans="1:19">
      <c r="A524" s="159"/>
      <c r="B524" s="59"/>
      <c r="C524" s="24">
        <f t="shared" si="85"/>
        <v>1</v>
      </c>
      <c r="D524" s="717"/>
      <c r="E524" s="24">
        <f t="shared" si="86"/>
        <v>0</v>
      </c>
      <c r="F524" s="717"/>
      <c r="G524" s="24">
        <f t="shared" si="87"/>
        <v>1</v>
      </c>
      <c r="H524" s="717"/>
      <c r="I524" s="24">
        <f t="shared" si="88"/>
        <v>1</v>
      </c>
      <c r="J524" s="717"/>
      <c r="K524" s="24">
        <f t="shared" si="89"/>
        <v>1</v>
      </c>
      <c r="L524" s="717"/>
      <c r="M524" s="24">
        <f t="shared" si="90"/>
        <v>1</v>
      </c>
      <c r="N524" s="717"/>
      <c r="O524" s="24">
        <f t="shared" si="91"/>
        <v>1</v>
      </c>
      <c r="P524" s="717"/>
      <c r="Q524" s="24">
        <f t="shared" si="92"/>
        <v>0.04</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41320</v>
      </c>
      <c r="C2" s="2" t="s">
        <v>133</v>
      </c>
      <c r="D2" s="243"/>
      <c r="E2" s="243"/>
      <c r="F2" s="243"/>
      <c r="G2" s="243"/>
    </row>
    <row r="3" spans="1:7" s="244" customFormat="1" ht="18" customHeight="1" thickBot="1">
      <c r="A3" s="247" t="s">
        <v>85</v>
      </c>
      <c r="B3" s="248">
        <f ca="1">ROUND(B2*10000/'数据-汇总表'!E3,0)</f>
        <v>16268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140</v>
      </c>
      <c r="F9" s="265"/>
      <c r="G9" s="270"/>
    </row>
    <row r="10" spans="1:7" s="258" customFormat="1" ht="13.5" customHeight="1">
      <c r="A10" s="950" t="s">
        <v>801</v>
      </c>
      <c r="B10" s="268" t="s">
        <v>94</v>
      </c>
      <c r="C10" s="269">
        <f>ROUND(D10*E10/10000,0)</f>
        <v>432</v>
      </c>
      <c r="D10" s="1032">
        <f>'数据-汇总表'!E6</f>
        <v>25398.790000000015</v>
      </c>
      <c r="E10" s="269">
        <f>'数据-取费表'!B28</f>
        <v>170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508</v>
      </c>
      <c r="D19" s="1036">
        <f>'数据-汇总表'!E3</f>
        <v>25398.790000000015</v>
      </c>
      <c r="E19" s="255">
        <f>'数据-取费表'!B31</f>
        <v>200</v>
      </c>
      <c r="F19" s="275"/>
      <c r="G19" s="1" t="s">
        <v>1074</v>
      </c>
    </row>
    <row r="20" spans="1:7" s="258" customFormat="1" ht="13.5" customHeight="1">
      <c r="A20" s="948" t="s">
        <v>1057</v>
      </c>
      <c r="B20" s="254" t="s">
        <v>104</v>
      </c>
      <c r="C20" s="276">
        <f>ROUND((C5+C19)*F20,0)</f>
        <v>422</v>
      </c>
      <c r="D20" s="276"/>
      <c r="E20" s="276"/>
      <c r="F20" s="277">
        <f>'数据-取费表'!B37</f>
        <v>0.02</v>
      </c>
      <c r="G20" s="1289" t="s">
        <v>1068</v>
      </c>
    </row>
    <row r="21" spans="1:7" s="258" customFormat="1" ht="13.5" customHeight="1">
      <c r="A21" s="948" t="s">
        <v>1059</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2073</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2004</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49</v>
      </c>
      <c r="D24" s="282"/>
      <c r="E24" s="282"/>
      <c r="F24" s="283"/>
      <c r="G24" s="284" t="s">
        <v>109</v>
      </c>
    </row>
    <row r="25" spans="1:7" s="258" customFormat="1" ht="24">
      <c r="A25" s="951" t="s">
        <v>793</v>
      </c>
      <c r="B25" s="259" t="s">
        <v>1058</v>
      </c>
      <c r="C25" s="1355">
        <f ca="1">ROUND(IF('数据-取费表'!B22&lt;=1,C20*F22*'数据-取费表'!B23/2,C20*(POWER((1+F22),'数据-取费表'!B23/2)-1)),0)</f>
        <v>20</v>
      </c>
      <c r="D25" s="282"/>
      <c r="E25" s="285"/>
      <c r="F25" s="283"/>
      <c r="G25" s="286" t="s">
        <v>110</v>
      </c>
    </row>
    <row r="26" spans="1:7" s="258" customFormat="1">
      <c r="A26" s="951" t="s">
        <v>795</v>
      </c>
      <c r="B26" s="259" t="s">
        <v>1060</v>
      </c>
      <c r="C26" s="282">
        <f ca="1">ROUND(IF('数据-取费表'!B22&lt;=1,F21*F22*'数据-取费表'!B23/2,F21*(POWER((1+F22),'数据-取费表'!B23/2)-1)),4)</f>
        <v>1E-3</v>
      </c>
      <c r="D26" s="282"/>
      <c r="E26" s="285"/>
      <c r="F26" s="283"/>
      <c r="G26" s="287"/>
    </row>
    <row r="27" spans="1:7" s="258" customFormat="1" ht="24.75">
      <c r="A27" s="948" t="s">
        <v>787</v>
      </c>
      <c r="B27" s="288" t="s">
        <v>112</v>
      </c>
      <c r="C27" s="289">
        <f>C28</f>
        <v>2369</v>
      </c>
      <c r="D27" s="279">
        <f>C29</f>
        <v>2.2000000000000001E-3</v>
      </c>
      <c r="E27" s="280" t="s">
        <v>126</v>
      </c>
      <c r="F27" s="290">
        <f>'数据-取费表'!Q16</f>
        <v>0.11</v>
      </c>
      <c r="G27" s="291" t="s">
        <v>1069</v>
      </c>
    </row>
    <row r="28" spans="1:7" s="258" customFormat="1" ht="13.5" customHeight="1">
      <c r="A28" s="951" t="s">
        <v>794</v>
      </c>
      <c r="B28" s="292" t="s">
        <v>1062</v>
      </c>
      <c r="C28" s="293">
        <f>ROUND((C5+C19+C20)*F27*'数据-取费表'!B21/'数据-取费表'!B20,0)</f>
        <v>2369</v>
      </c>
      <c r="D28" s="279"/>
      <c r="E28" s="280"/>
      <c r="F28" s="290"/>
      <c r="G28" s="291"/>
    </row>
    <row r="29" spans="1:7" s="258" customFormat="1" ht="13.5" customHeight="1">
      <c r="A29" s="951" t="s">
        <v>792</v>
      </c>
      <c r="B29" s="292" t="s">
        <v>1063</v>
      </c>
      <c r="C29" s="282">
        <f>ROUND(C21*F27*'数据-取费表'!B21/'数据-取费表'!B20,4)</f>
        <v>2.2000000000000001E-3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28106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11125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10160</v>
      </c>
      <c r="D34" s="261"/>
      <c r="E34" s="264"/>
      <c r="F34" s="301">
        <f>IF('数据-取费表'!B24=0,1,'数据-取费表'!N16)</f>
        <v>1</v>
      </c>
      <c r="G34" s="263" t="s">
        <v>116</v>
      </c>
    </row>
    <row r="35" spans="1:7" ht="13.5" customHeight="1">
      <c r="A35" s="951" t="s">
        <v>796</v>
      </c>
      <c r="B35" s="259" t="s">
        <v>60</v>
      </c>
      <c r="C35" s="264">
        <f>ROUND(C34*F35,0)</f>
        <v>305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508</v>
      </c>
      <c r="D37" s="261">
        <f>'数据-汇总表'!E3</f>
        <v>25398.790000000015</v>
      </c>
      <c r="E37" s="293">
        <f>'数据-取费表'!B35</f>
        <v>200</v>
      </c>
      <c r="F37" s="303"/>
      <c r="G37" s="305" t="s">
        <v>119</v>
      </c>
    </row>
    <row r="38" spans="1:7" ht="13.5" customHeight="1">
      <c r="A38" s="951" t="s">
        <v>799</v>
      </c>
      <c r="B38" s="259" t="s">
        <v>63</v>
      </c>
      <c r="C38" s="264">
        <f>ROUND(C34*F38,0)</f>
        <v>152</v>
      </c>
      <c r="D38" s="264"/>
      <c r="E38" s="264"/>
      <c r="F38" s="303">
        <f>'数据-取费表'!B36</f>
        <v>1.4999999999999999E-2</v>
      </c>
      <c r="G38" s="263" t="s">
        <v>117</v>
      </c>
    </row>
    <row r="39" spans="1:7" s="258" customFormat="1" ht="13.5" customHeight="1">
      <c r="A39" s="948" t="s">
        <v>783</v>
      </c>
      <c r="B39" s="254" t="s">
        <v>104</v>
      </c>
      <c r="C39" s="276">
        <f>ROUND(C33*F20,0)</f>
        <v>223</v>
      </c>
      <c r="D39" s="276"/>
      <c r="E39" s="276"/>
      <c r="F39" s="277"/>
      <c r="G39" s="1289" t="s">
        <v>1071</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539</v>
      </c>
      <c r="D41" s="279">
        <f ca="1">C44</f>
        <v>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528</v>
      </c>
      <c r="D42" s="282"/>
      <c r="E42" s="282"/>
      <c r="F42" s="283"/>
      <c r="G42" s="3158" t="s">
        <v>121</v>
      </c>
    </row>
    <row r="43" spans="1:7" ht="13.5" customHeight="1">
      <c r="A43" s="951" t="s">
        <v>792</v>
      </c>
      <c r="B43" s="259" t="s">
        <v>1064</v>
      </c>
      <c r="C43" s="282">
        <f ca="1">ROUND(IF('数据-取费表'!B22&lt;=1,C39*F22*'数据-取费表'!B21/2,C39*(POWER((1+F22),'数据-取费表'!B21/2)-1)),0)</f>
        <v>11</v>
      </c>
      <c r="D43" s="282"/>
      <c r="E43" s="282"/>
      <c r="F43" s="283"/>
      <c r="G43" s="3159"/>
    </row>
    <row r="44" spans="1:7" ht="13.5" customHeight="1">
      <c r="A44" s="951" t="s">
        <v>793</v>
      </c>
      <c r="B44" s="259" t="s">
        <v>1066</v>
      </c>
      <c r="C44" s="282">
        <f ca="1">ROUND(IF('数据-取费表'!B22&lt;=1,C40*F22*'数据-取费表'!B21/2,C40*(POWER((1+F22),'数据-取费表'!B21/2)-1)),4)</f>
        <v>1E-3</v>
      </c>
      <c r="D44" s="282"/>
      <c r="E44" s="282"/>
      <c r="F44" s="283"/>
      <c r="G44" s="3160"/>
    </row>
    <row r="45" spans="1:7" s="258" customFormat="1" ht="13.5" customHeight="1">
      <c r="A45" s="948" t="s">
        <v>786</v>
      </c>
      <c r="B45" s="288" t="s">
        <v>112</v>
      </c>
      <c r="C45" s="289">
        <f>C46</f>
        <v>1248</v>
      </c>
      <c r="D45" s="279">
        <f>C47</f>
        <v>2.2000000000000001E-3</v>
      </c>
      <c r="E45" s="280" t="s">
        <v>129</v>
      </c>
      <c r="F45" s="290"/>
      <c r="G45" s="291" t="s">
        <v>1072</v>
      </c>
    </row>
    <row r="46" spans="1:7" s="258" customFormat="1" ht="13.5" customHeight="1">
      <c r="A46" s="951" t="s">
        <v>794</v>
      </c>
      <c r="B46" s="292" t="s">
        <v>1065</v>
      </c>
      <c r="C46" s="293">
        <f>ROUND((C33+C39)*F27,0)</f>
        <v>1248</v>
      </c>
      <c r="D46" s="307"/>
      <c r="E46" s="280"/>
      <c r="F46" s="290"/>
      <c r="G46" s="291"/>
    </row>
    <row r="47" spans="1:7" s="258" customFormat="1" ht="13.5" customHeight="1">
      <c r="A47" s="951" t="s">
        <v>792</v>
      </c>
      <c r="B47" s="292" t="s">
        <v>1067</v>
      </c>
      <c r="C47" s="282">
        <f>ROUND(C40*F27,4)</f>
        <v>2.2000000000000001E-3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14209</v>
      </c>
      <c r="D49" s="276"/>
      <c r="E49" s="276"/>
      <c r="F49" s="308"/>
      <c r="G49" s="278" t="s">
        <v>1073</v>
      </c>
    </row>
    <row r="50" spans="1:7" s="302" customFormat="1" ht="24">
      <c r="A50" s="948" t="s">
        <v>789</v>
      </c>
      <c r="B50" s="254" t="s">
        <v>124</v>
      </c>
      <c r="C50" s="276"/>
      <c r="D50" s="276"/>
      <c r="E50" s="276"/>
      <c r="F50" s="308">
        <f>IF('数据-取费表'!B24=0,'数据-取费表'!N16,1)</f>
        <v>0.93</v>
      </c>
      <c r="G50" s="291" t="s">
        <v>125</v>
      </c>
    </row>
    <row r="51" spans="1:7" ht="16.5" customHeight="1">
      <c r="A51" s="948" t="s">
        <v>790</v>
      </c>
      <c r="B51" s="254" t="s">
        <v>132</v>
      </c>
      <c r="C51" s="276">
        <f ca="1">ROUND(C49*F50,0)</f>
        <v>13214</v>
      </c>
      <c r="D51" s="276"/>
      <c r="E51" s="276"/>
      <c r="F51" s="308"/>
      <c r="G51" s="278" t="s">
        <v>64</v>
      </c>
    </row>
    <row r="52" spans="1:7" s="252" customFormat="1" ht="16.5" thickBot="1">
      <c r="A52" s="309" t="s">
        <v>65</v>
      </c>
      <c r="B52" s="310"/>
      <c r="C52" s="311">
        <f ca="1">C31+C51</f>
        <v>41320</v>
      </c>
      <c r="D52" s="310"/>
      <c r="E52" s="310"/>
      <c r="F52" s="310"/>
      <c r="G52" s="312"/>
    </row>
    <row r="55" spans="1:7" ht="15">
      <c r="B55" s="314" t="s">
        <v>66</v>
      </c>
      <c r="C55" s="315"/>
    </row>
    <row r="56" spans="1:7">
      <c r="B56" s="317" t="s">
        <v>67</v>
      </c>
      <c r="C56" s="318">
        <f ca="1">ROUND(C51/C52,3)</f>
        <v>0.32</v>
      </c>
    </row>
    <row r="57" spans="1:7">
      <c r="B57" s="317" t="s">
        <v>68</v>
      </c>
      <c r="C57" s="319">
        <f ca="1">1-C56</f>
        <v>0.67999999999999994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95" t="s">
        <v>156</v>
      </c>
      <c r="B1" s="3295"/>
      <c r="C1" s="3295"/>
      <c r="D1" s="3295"/>
      <c r="E1" s="3295"/>
      <c r="F1" s="329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6" t="s">
        <v>169</v>
      </c>
      <c r="B2" s="3296"/>
      <c r="C2" s="3296"/>
      <c r="D2" s="3296"/>
      <c r="E2" s="3296"/>
      <c r="F2" s="329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5" t="s">
        <v>871</v>
      </c>
      <c r="B1" s="3295"/>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43335</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P13" workbookViewId="0">
      <selection activeCell="X1" sqref="X1"/>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1641</v>
      </c>
      <c r="B2" s="2984" t="s">
        <v>1642</v>
      </c>
      <c r="C2" s="2984" t="s">
        <v>1643</v>
      </c>
      <c r="D2" s="2984" t="str">
        <f>结果表!D116</f>
        <v>出让国有建设用地使用权价值</v>
      </c>
      <c r="E2" s="2984"/>
      <c r="F2" s="2984" t="str">
        <f>结果表!F116</f>
        <v>建筑物价值</v>
      </c>
      <c r="G2" s="2984"/>
      <c r="H2" s="2984" t="str">
        <f>IF(项目基本情况!B9="房地产市场价值","房地产市场价值","房地产价值")</f>
        <v>房地产价值</v>
      </c>
      <c r="I2" s="2984"/>
    </row>
    <row r="3" spans="1:9" ht="15">
      <c r="A3" s="2985"/>
      <c r="B3" s="2985"/>
      <c r="C3" s="2985"/>
      <c r="D3" s="1044" t="s">
        <v>1638</v>
      </c>
      <c r="E3" s="1044" t="s">
        <v>1644</v>
      </c>
      <c r="F3" s="1044" t="s">
        <v>1638</v>
      </c>
      <c r="G3" s="1044" t="s">
        <v>1639</v>
      </c>
      <c r="H3" s="1044" t="s">
        <v>1638</v>
      </c>
      <c r="I3" s="1044" t="s">
        <v>1639</v>
      </c>
    </row>
    <row r="4" spans="1:9" ht="30">
      <c r="A4" s="1972" t="str">
        <f>项目基本情况!S2</f>
        <v>北京市兴贸三街18号院四季悦城项目商业、办公用房房地产</v>
      </c>
      <c r="B4" s="1044">
        <f>项目基本情况!C17</f>
        <v>25398.790000000015</v>
      </c>
      <c r="C4" s="1044">
        <f>项目基本情况!C18</f>
        <v>0</v>
      </c>
      <c r="D4" s="1044">
        <f ca="1">结果表!D118</f>
        <v>6087</v>
      </c>
      <c r="E4" s="1044">
        <f ca="1">结果表!E118</f>
        <v>2397</v>
      </c>
      <c r="F4" s="1044">
        <f ca="1">结果表!F118</f>
        <v>64697</v>
      </c>
      <c r="G4" s="1044">
        <f ca="1">结果表!G118</f>
        <v>25472</v>
      </c>
      <c r="H4" s="1044">
        <f ca="1">结果表!H118</f>
        <v>70784</v>
      </c>
      <c r="I4" s="1044">
        <f ca="1">结果表!I118</f>
        <v>27869</v>
      </c>
    </row>
    <row r="5" spans="1:9" ht="30" customHeight="1">
      <c r="A5" s="2985" t="s">
        <v>1640</v>
      </c>
      <c r="B5" s="2985"/>
      <c r="C5" s="2985"/>
      <c r="D5" s="2986" t="str">
        <f ca="1">结果表!D119</f>
        <v>陆仟零捌拾柒万元整</v>
      </c>
      <c r="E5" s="2986"/>
      <c r="F5" s="2986" t="str">
        <f ca="1">结果表!F119</f>
        <v>陆亿肆仟陆佰玖拾柒万元整</v>
      </c>
      <c r="G5" s="2986"/>
      <c r="H5" s="2986" t="str">
        <f ca="1">结果表!H119</f>
        <v>柒亿零柒佰捌拾肆万元整</v>
      </c>
      <c r="I5" s="2986"/>
    </row>
    <row r="6" spans="1:9" ht="15.75">
      <c r="A6" s="2987" t="str">
        <f>结果表!A120</f>
        <v>估价师知悉的法定优先受偿款</v>
      </c>
      <c r="B6" s="2987"/>
      <c r="C6" s="2987"/>
      <c r="D6" s="2987">
        <f>结果表!D120</f>
        <v>0</v>
      </c>
      <c r="E6" s="2987"/>
      <c r="F6" s="2987"/>
      <c r="G6" s="2987"/>
      <c r="H6" s="2987"/>
      <c r="I6" s="2987"/>
    </row>
    <row r="7" spans="1:9" ht="15">
      <c r="A7" s="2985" t="s">
        <v>1640</v>
      </c>
      <c r="B7" s="2985"/>
      <c r="C7" s="2985"/>
      <c r="D7" s="2988" t="str">
        <f>结果表!D121</f>
        <v>零元整</v>
      </c>
      <c r="E7" s="2989"/>
      <c r="F7" s="2989"/>
      <c r="G7" s="2989"/>
      <c r="H7" s="2989"/>
      <c r="I7" s="2990"/>
    </row>
    <row r="8" spans="1:9" ht="15.75">
      <c r="A8" s="2987" t="str">
        <f>结果表!A122</f>
        <v>房地产抵押价值</v>
      </c>
      <c r="B8" s="2987"/>
      <c r="C8" s="2987"/>
      <c r="D8" s="2987">
        <f ca="1">结果表!D122</f>
        <v>70784</v>
      </c>
      <c r="E8" s="2987"/>
      <c r="F8" s="2987"/>
      <c r="G8" s="2987"/>
      <c r="H8" s="2987"/>
      <c r="I8" s="2987"/>
    </row>
    <row r="9" spans="1:9" ht="15">
      <c r="A9" s="2985" t="s">
        <v>1640</v>
      </c>
      <c r="B9" s="2985"/>
      <c r="C9" s="2985"/>
      <c r="D9" s="2986" t="str">
        <f ca="1">结果表!D123</f>
        <v>柒亿零柒佰捌拾肆万元整</v>
      </c>
      <c r="E9" s="2986"/>
      <c r="F9" s="2986"/>
      <c r="G9" s="2986"/>
      <c r="H9" s="2986"/>
      <c r="I9" s="2986"/>
    </row>
    <row r="10" spans="1:9" ht="15.75">
      <c r="A10" s="2987" t="str">
        <f>结果表!A124</f>
        <v/>
      </c>
      <c r="B10" s="2987"/>
      <c r="C10" s="2987"/>
      <c r="D10" s="2987" t="str">
        <f>结果表!D124</f>
        <v>——</v>
      </c>
      <c r="E10" s="2987"/>
      <c r="F10" s="2987"/>
      <c r="G10" s="2987"/>
      <c r="H10" s="2987"/>
      <c r="I10" s="2987"/>
    </row>
    <row r="11" spans="1:9" ht="15">
      <c r="A11" s="2985" t="s">
        <v>1640</v>
      </c>
      <c r="B11" s="2985"/>
      <c r="C11" s="2985"/>
      <c r="D11" s="2986" t="e">
        <f>结果表!D125</f>
        <v>#VALUE!</v>
      </c>
      <c r="E11" s="2986"/>
      <c r="F11" s="2986"/>
      <c r="G11" s="2986"/>
      <c r="H11" s="2986"/>
      <c r="I11" s="2986"/>
    </row>
    <row r="12" spans="1:9" ht="15.75">
      <c r="A12" s="2987" t="str">
        <f>结果表!A126</f>
        <v/>
      </c>
      <c r="B12" s="2987"/>
      <c r="C12" s="2987"/>
      <c r="D12" s="2987" t="str">
        <f>结果表!D126</f>
        <v>——</v>
      </c>
      <c r="E12" s="2987"/>
      <c r="F12" s="2987"/>
      <c r="G12" s="2987"/>
      <c r="H12" s="2987"/>
      <c r="I12" s="2987"/>
    </row>
    <row r="13" spans="1:9" ht="15.75" thickBot="1">
      <c r="A13" s="2991" t="s">
        <v>1640</v>
      </c>
      <c r="B13" s="2991"/>
      <c r="C13" s="2991"/>
      <c r="D13" s="2992" t="e">
        <f>结果表!D127</f>
        <v>#VALUE!</v>
      </c>
      <c r="E13" s="2992"/>
      <c r="F13" s="2992"/>
      <c r="G13" s="2992"/>
      <c r="H13" s="2992"/>
      <c r="I13" s="2992"/>
    </row>
    <row r="14" spans="1:9" ht="15" thickTop="1">
      <c r="A14" s="2993" t="s">
        <v>1645</v>
      </c>
      <c r="B14" s="2993"/>
      <c r="C14" s="2993"/>
      <c r="D14" s="2993"/>
      <c r="E14" s="2993"/>
      <c r="F14" s="2993"/>
      <c r="G14" s="2993"/>
      <c r="H14" s="2993"/>
      <c r="I14" s="2993"/>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2994" t="s">
        <v>1662</v>
      </c>
      <c r="B1" s="2994"/>
      <c r="C1" s="2994"/>
      <c r="D1" s="2994"/>
    </row>
    <row r="2" spans="1:4" ht="18">
      <c r="A2" s="2995" t="s">
        <v>1646</v>
      </c>
      <c r="B2" s="2995"/>
      <c r="C2" s="2995"/>
      <c r="D2" s="2995"/>
    </row>
    <row r="3" spans="1:4" ht="18.75">
      <c r="A3" s="1976" t="s">
        <v>1647</v>
      </c>
      <c r="B3" s="1976" t="s">
        <v>1648</v>
      </c>
      <c r="C3" s="1976" t="s">
        <v>1649</v>
      </c>
      <c r="D3" s="1976" t="s">
        <v>1650</v>
      </c>
    </row>
    <row r="4" spans="1:4" ht="56.25" customHeight="1">
      <c r="A4" s="1977" t="str">
        <f>项目基本情况!B4</f>
        <v>欧红伟</v>
      </c>
      <c r="B4" s="1978">
        <f ca="1">项目基本情况!C4</f>
        <v>1120000080</v>
      </c>
      <c r="C4" s="1979"/>
      <c r="D4" s="1980" t="s">
        <v>1651</v>
      </c>
    </row>
    <row r="5" spans="1:4" ht="56.25" customHeight="1">
      <c r="A5" s="1977" t="str">
        <f>项目基本情况!D4</f>
        <v>崔锴</v>
      </c>
      <c r="B5" s="1978">
        <f ca="1">项目基本情况!E4</f>
        <v>1120100036</v>
      </c>
      <c r="C5" s="1981"/>
      <c r="D5" s="1980" t="s">
        <v>1651</v>
      </c>
    </row>
    <row r="6" spans="1:4" ht="18">
      <c r="A6" s="2995" t="s">
        <v>1652</v>
      </c>
      <c r="B6" s="2995"/>
      <c r="C6" s="2995"/>
      <c r="D6" s="2995"/>
    </row>
    <row r="7" spans="1:4" ht="18.75">
      <c r="A7" s="1976" t="s">
        <v>1647</v>
      </c>
      <c r="B7" s="1978" t="s">
        <v>1653</v>
      </c>
      <c r="C7" s="1976" t="s">
        <v>1649</v>
      </c>
      <c r="D7" s="1976" t="s">
        <v>1650</v>
      </c>
    </row>
    <row r="8" spans="1:4" ht="56.25" customHeight="1">
      <c r="A8" s="1982" t="s">
        <v>869</v>
      </c>
      <c r="B8" s="1982" t="s">
        <v>1</v>
      </c>
      <c r="C8" s="1979"/>
      <c r="D8" s="1980" t="s">
        <v>1651</v>
      </c>
    </row>
    <row r="9" spans="1:4">
      <c r="A9" s="725"/>
      <c r="B9" s="725"/>
      <c r="C9" s="725"/>
      <c r="D9" s="725"/>
    </row>
    <row r="10" spans="1:4" ht="18.75">
      <c r="A10" s="1983" t="s">
        <v>1654</v>
      </c>
      <c r="B10" s="725"/>
      <c r="C10" s="725"/>
      <c r="D10" s="725"/>
    </row>
    <row r="11" spans="1:4" ht="30" customHeight="1">
      <c r="A11" s="2996" t="s">
        <v>1655</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7" t="str">
        <f>IF(项目基本情况!B8="抵押","4.本次评估估价师所知悉的法定优先受偿款情况说明如下：","——")</f>
        <v>4.本次评估估价师所知悉的法定优先受偿款情况说明如下：</v>
      </c>
      <c r="B14" s="2998"/>
      <c r="C14" s="2998"/>
      <c r="D14" s="2998"/>
    </row>
    <row r="15" spans="1:4" ht="42" customHeight="1">
      <c r="A15" s="2997" t="str">
        <f>IF(项目基本情况!B8="抵押","（1）"&amp;CONCATENATE(项目基本情况!L20,项目基本情况!L21,项目基本情况!L22),"——")</f>
        <v>（1）根据估价对象《房屋所有权证》复印件、《国有土地使用权》复印件，截至价值时点，估价对象抵押权未见登记。</v>
      </c>
      <c r="B15" s="2997"/>
      <c r="C15" s="2997"/>
      <c r="D15" s="2997"/>
    </row>
    <row r="16" spans="1:4" ht="30" customHeight="1">
      <c r="A16" s="3000" t="s">
        <v>1656</v>
      </c>
      <c r="B16" s="3000"/>
      <c r="C16" s="3000"/>
      <c r="D16" s="3000"/>
    </row>
    <row r="17" spans="1:4" ht="144" customHeight="1">
      <c r="A17" s="3000" t="s">
        <v>1657</v>
      </c>
      <c r="B17" s="3000"/>
      <c r="C17" s="3000"/>
      <c r="D17" s="3000"/>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7"/>
      <c r="C20" s="2997"/>
      <c r="D20" s="2997"/>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1"/>
      <c r="C21" s="3001"/>
      <c r="D21" s="3001"/>
    </row>
    <row r="22" spans="1:4" ht="18.75" customHeight="1">
      <c r="A22" s="3002" t="s">
        <v>1658</v>
      </c>
      <c r="B22" s="3002"/>
      <c r="C22" s="3002"/>
      <c r="D22" s="3002"/>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2999">
        <v>42551</v>
      </c>
      <c r="D31" s="29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08" t="s">
        <v>1669</v>
      </c>
      <c r="B15" s="3003" t="s">
        <v>136</v>
      </c>
      <c r="C15" s="3004"/>
    </row>
    <row r="16" spans="1:7" ht="13.5">
      <c r="A16" s="3009"/>
      <c r="B16" s="3003" t="s">
        <v>69</v>
      </c>
      <c r="C16" s="3004"/>
    </row>
    <row r="17" spans="1:3" ht="13.5">
      <c r="A17" s="3009"/>
      <c r="B17" s="3006" t="s">
        <v>1670</v>
      </c>
      <c r="C17" s="1999" t="s">
        <v>1669</v>
      </c>
    </row>
    <row r="18" spans="1:3" ht="13.5">
      <c r="A18" s="3009"/>
      <c r="B18" s="3006"/>
      <c r="C18" s="1999" t="s">
        <v>1671</v>
      </c>
    </row>
    <row r="19" spans="1:3" ht="13.5">
      <c r="A19" s="3009"/>
      <c r="B19" s="3006"/>
      <c r="C19" s="1999" t="s">
        <v>1672</v>
      </c>
    </row>
    <row r="20" spans="1:3" ht="13.5">
      <c r="A20" s="3010"/>
      <c r="B20" s="3005" t="s">
        <v>1673</v>
      </c>
      <c r="C20" s="3004"/>
    </row>
    <row r="21" spans="1:3" ht="13.5">
      <c r="A21" s="2000" t="s">
        <v>1674</v>
      </c>
      <c r="B21" s="2001"/>
      <c r="C21" s="2002"/>
    </row>
    <row r="22" spans="1:3" ht="13.5">
      <c r="A22" s="3007" t="s">
        <v>1675</v>
      </c>
      <c r="B22" s="3005" t="s">
        <v>1676</v>
      </c>
      <c r="C22" s="3004"/>
    </row>
    <row r="23" spans="1:3" ht="13.5">
      <c r="A23" s="3007"/>
      <c r="B23" s="3005" t="s">
        <v>1677</v>
      </c>
      <c r="C23" s="3004"/>
    </row>
    <row r="24" spans="1:3" ht="13.5">
      <c r="A24" s="3007"/>
      <c r="B24" s="3005" t="s">
        <v>1678</v>
      </c>
      <c r="C24" s="3004"/>
    </row>
    <row r="25" spans="1:3" ht="13.5">
      <c r="A25" s="3007"/>
      <c r="B25" s="3006" t="s">
        <v>1679</v>
      </c>
      <c r="C25" s="1999" t="s">
        <v>1680</v>
      </c>
    </row>
    <row r="26" spans="1:3" ht="13.5">
      <c r="A26" s="3007"/>
      <c r="B26" s="3006"/>
      <c r="C26" s="1999" t="s">
        <v>1681</v>
      </c>
    </row>
    <row r="27" spans="1:3" ht="13.5">
      <c r="A27" s="3007"/>
      <c r="B27" s="3006"/>
      <c r="C27" s="1999" t="s">
        <v>1682</v>
      </c>
    </row>
    <row r="28" spans="1:3" ht="13.5">
      <c r="A28" s="3007"/>
      <c r="B28" s="3006"/>
      <c r="C28" s="1999" t="s">
        <v>1683</v>
      </c>
    </row>
    <row r="29" spans="1:3" ht="13.5">
      <c r="A29" s="3007"/>
      <c r="B29" s="3006"/>
      <c r="C29" s="1999" t="s">
        <v>1684</v>
      </c>
    </row>
    <row r="30" spans="1:3" ht="13.5">
      <c r="A30" s="3007"/>
      <c r="B30" s="3006"/>
      <c r="C30" s="1999" t="s">
        <v>1685</v>
      </c>
    </row>
    <row r="31" spans="1:3" ht="13.5">
      <c r="A31" s="3007"/>
      <c r="B31" s="3006"/>
      <c r="C31" s="1999" t="s">
        <v>1686</v>
      </c>
    </row>
    <row r="32" spans="1:3" ht="13.5">
      <c r="A32" s="3007"/>
      <c r="B32" s="3006"/>
      <c r="C32" s="1999" t="s">
        <v>1687</v>
      </c>
    </row>
    <row r="33" spans="1:3" ht="13.5">
      <c r="A33" s="3007"/>
      <c r="B33" s="3006"/>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43343</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t="s">
        <v>3032</v>
      </c>
      <c r="B12" s="1022">
        <v>1120110054</v>
      </c>
      <c r="C12" s="2935">
        <v>43937</v>
      </c>
      <c r="D12" s="1702" t="s">
        <v>3032</v>
      </c>
      <c r="E12" s="1022">
        <v>2008110060</v>
      </c>
      <c r="F12" s="1030">
        <v>47177</v>
      </c>
    </row>
    <row r="13" spans="1:6" ht="24" customHeight="1">
      <c r="A13" s="1702" t="s">
        <v>840</v>
      </c>
      <c r="B13" s="1022">
        <f ca="1">IF(C13&lt;B2,"已过期",1120070131)</f>
        <v>1120070131</v>
      </c>
      <c r="C13" s="2344">
        <v>43814</v>
      </c>
      <c r="D13" s="2347" t="s">
        <v>840</v>
      </c>
      <c r="E13" s="1022">
        <v>2014110011</v>
      </c>
      <c r="F13" s="1030">
        <v>49302</v>
      </c>
    </row>
    <row r="14" spans="1:6" ht="24" customHeight="1">
      <c r="A14" s="1702" t="s">
        <v>841</v>
      </c>
      <c r="B14" s="1022">
        <f ca="1">IF(C14&lt;B2,"已过期",1120130020)</f>
        <v>1120130020</v>
      </c>
      <c r="C14" s="2344">
        <v>43622</v>
      </c>
      <c r="D14" s="2347"/>
      <c r="E14" s="1022"/>
      <c r="F14" s="1022"/>
    </row>
    <row r="15" spans="1:6" ht="24" customHeight="1">
      <c r="A15" s="1703" t="s">
        <v>1149</v>
      </c>
      <c r="B15" s="1022">
        <v>1120070085</v>
      </c>
      <c r="C15" s="2344">
        <v>43814</v>
      </c>
      <c r="D15" s="2348" t="s">
        <v>1149</v>
      </c>
      <c r="E15" s="1022">
        <v>2004110128</v>
      </c>
      <c r="F15" s="1023">
        <v>47118</v>
      </c>
    </row>
    <row r="16" spans="1:6" ht="24" customHeight="1">
      <c r="A16" s="1702" t="s">
        <v>842</v>
      </c>
      <c r="B16" s="1022">
        <f ca="1">IF(C16&lt;B2,"已过期",1120140022)</f>
        <v>1120140022</v>
      </c>
      <c r="C16" s="2344">
        <v>44029</v>
      </c>
      <c r="D16" s="2347" t="s">
        <v>842</v>
      </c>
      <c r="E16" s="1022">
        <f ca="1">IF(F16&lt;B2,"已过期",2008110059)</f>
        <v>2008110059</v>
      </c>
      <c r="F16" s="1030">
        <v>47177</v>
      </c>
    </row>
    <row r="17" spans="1:7" ht="24" customHeight="1">
      <c r="A17" s="1702"/>
      <c r="B17" s="1022"/>
      <c r="C17" s="2344"/>
      <c r="D17" s="2347"/>
      <c r="E17" s="1022"/>
      <c r="F17" s="1030"/>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843</v>
      </c>
      <c r="E21" s="1022">
        <f ca="1">IF(F21&lt;B2,"已过期",2011110090)</f>
        <v>2011110090</v>
      </c>
      <c r="F21" s="1030">
        <v>48302</v>
      </c>
    </row>
    <row r="22" spans="1:7" ht="24" customHeight="1">
      <c r="A22" s="1702" t="s">
        <v>844</v>
      </c>
      <c r="B22" s="1022">
        <f ca="1">IF(C22&lt;B2,"已过期",1120020033)</f>
        <v>1120020033</v>
      </c>
      <c r="C22" s="2935">
        <v>44339</v>
      </c>
      <c r="D22" s="2347" t="s">
        <v>844</v>
      </c>
      <c r="E22" s="1022">
        <f ca="1">IF(F22&lt;B2,"已过期",2000110137)</f>
        <v>2000110137</v>
      </c>
      <c r="F22" s="1030">
        <v>46387</v>
      </c>
    </row>
    <row r="23" spans="1:7" ht="24" customHeight="1">
      <c r="A23" s="1702" t="s">
        <v>845</v>
      </c>
      <c r="B23" s="1022">
        <f ca="1">IF(C23&lt;B2,"已过期",1120130048)</f>
        <v>1120130048</v>
      </c>
      <c r="C23" s="2344">
        <v>43686</v>
      </c>
      <c r="D23" s="2347"/>
      <c r="E23" s="1022"/>
      <c r="F23" s="1022"/>
    </row>
    <row r="24" spans="1:7" s="1024" customFormat="1" ht="24" customHeight="1">
      <c r="A24" s="1703" t="s">
        <v>1333</v>
      </c>
      <c r="B24" s="1703" t="s">
        <v>1333</v>
      </c>
      <c r="C24" s="2345" t="s">
        <v>1333</v>
      </c>
      <c r="D24" s="2348" t="s">
        <v>1333</v>
      </c>
      <c r="E24" s="1703" t="s">
        <v>1333</v>
      </c>
      <c r="F24" s="1703" t="s">
        <v>1333</v>
      </c>
    </row>
    <row r="25" spans="1:7" ht="24" customHeight="1">
      <c r="A25" s="3011" t="s">
        <v>846</v>
      </c>
      <c r="B25" s="3011"/>
      <c r="C25" s="3011"/>
      <c r="D25" s="3011"/>
      <c r="E25" s="3011"/>
      <c r="F25" s="3011"/>
      <c r="G25" s="3011"/>
    </row>
    <row r="26" spans="1:7" s="1025" customFormat="1" ht="24" customHeight="1">
      <c r="A26" s="3012" t="s">
        <v>847</v>
      </c>
      <c r="B26" s="3012"/>
      <c r="C26" s="3013"/>
      <c r="D26" s="3014" t="s">
        <v>848</v>
      </c>
      <c r="E26" s="3012"/>
      <c r="F26" s="3012"/>
    </row>
    <row r="27" spans="1:7" s="1027" customFormat="1" ht="24" customHeight="1">
      <c r="A27" s="1026" t="s">
        <v>849</v>
      </c>
      <c r="B27" s="1021" t="s">
        <v>850</v>
      </c>
      <c r="C27" s="2343" t="s">
        <v>851</v>
      </c>
      <c r="D27" s="2351" t="s">
        <v>849</v>
      </c>
      <c r="E27" s="1021" t="s">
        <v>850</v>
      </c>
      <c r="F27" s="1021" t="s">
        <v>851</v>
      </c>
    </row>
    <row r="28" spans="1:7" s="1027" customFormat="1" ht="24" customHeight="1">
      <c r="A28" s="1028" t="s">
        <v>852</v>
      </c>
      <c r="B28" s="1029" t="s">
        <v>853</v>
      </c>
      <c r="C28" s="2349">
        <v>43725</v>
      </c>
      <c r="D28" s="2352" t="s">
        <v>854</v>
      </c>
      <c r="E28" s="1028" t="s">
        <v>855</v>
      </c>
      <c r="F28" s="1058">
        <v>44377</v>
      </c>
    </row>
    <row r="29" spans="1:7" s="1027" customFormat="1" ht="24" customHeight="1">
      <c r="A29" s="1028"/>
      <c r="B29" s="1028"/>
      <c r="C29" s="2350"/>
      <c r="D29" s="2352"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142</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收益法-商住</vt:lpstr>
      <vt:lpstr>收益法-底商</vt:lpstr>
      <vt:lpstr>收益法 (元)</vt:lpstr>
      <vt:lpstr>典型户型修正（汇总）</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典型户型修正-底商</vt:lpstr>
      <vt:lpstr>典型户型修正-商住</vt:lpstr>
      <vt:lpstr>成本法（废）</vt:lpstr>
      <vt:lpstr>区片价</vt:lpstr>
      <vt:lpstr>因素修正幅度</vt:lpstr>
      <vt:lpstr>存贷款利率</vt:lpstr>
      <vt:lpstr>区片价（范围）</vt:lpstr>
      <vt:lpstr>商住案例</vt:lpstr>
      <vt:lpstr>底商案例</vt:lpstr>
      <vt:lpstr>估价师及机构信息!Print_Area</vt:lpstr>
      <vt:lpstr>'收益法 (元)'!Print_Area</vt:lpstr>
      <vt:lpstr>'收益法-底商'!Print_Area</vt:lpstr>
      <vt:lpstr>'收益法-商住'!Print_Area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'典型户型修正-底商'!一修多修正项2</vt:lpstr>
      <vt:lpstr>一修多修正项2</vt:lpstr>
      <vt:lpstr>'典型户型修正-底商'!一修多修正项3</vt:lpstr>
      <vt:lpstr>一修多修正项3</vt:lpstr>
      <vt:lpstr>'典型户型修正-底商'!一修多修正项4</vt:lpstr>
      <vt:lpstr>一修多修正项4</vt:lpstr>
      <vt:lpstr>'典型户型修正-底商'!一修多修正项5</vt:lpstr>
      <vt:lpstr>一修多修正项5</vt:lpstr>
      <vt:lpstr>'典型户型修正-底商'!一修多修正项6</vt:lpstr>
      <vt:lpstr>一修多修正项6</vt:lpstr>
      <vt:lpstr>'典型户型修正-底商'!一修多修正项7</vt:lpstr>
      <vt:lpstr>一修多修正项7</vt:lpstr>
      <vt:lpstr>'典型户型修正-底商'!一修多修正项8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2018-08-31T07:40:44Z</dcterms:modified>
</cp:coreProperties>
</file>