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7575" windowHeight="9585"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不动产权证书" sheetId="77" r:id="rId14"/>
    <sheet name="项目情况汇总" sheetId="78" r:id="rId15"/>
    <sheet name="楼盘表" sheetId="81" r:id="rId16"/>
    <sheet name="已投" sheetId="82" state="hidden"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79" r:id="rId26"/>
    <sheet name="案例位置" sheetId="80" r:id="rId27"/>
    <sheet name="假设开发法" sheetId="12" r:id="rId28"/>
    <sheet name="比较法-住宅" sheetId="21" r:id="rId29"/>
    <sheet name="收益法" sheetId="15"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8" hidden="1">'比较法-住宅'!$A$1:$L$49</definedName>
    <definedName name="_xlnm._FilterDatabase" localSheetId="15" hidden="1">楼盘表!$B$2:$K$1867</definedName>
    <definedName name="_xlnm._FilterDatabase" localSheetId="11"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7">'数据-汇总表'!$A$1:$P$32</definedName>
    <definedName name="_xlnm.Print_Titles" localSheetId="15">楼盘表!$1:$2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利润">#REF!</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X57" i="78" l="1"/>
  <c r="X50" i="78"/>
  <c r="X48" i="78"/>
  <c r="X47" i="78"/>
  <c r="X45" i="78"/>
  <c r="X44" i="78"/>
  <c r="X32" i="78"/>
  <c r="X23" i="78"/>
  <c r="X22" i="78"/>
  <c r="X20" i="78"/>
  <c r="X11" i="78"/>
  <c r="X12" i="78"/>
  <c r="X13" i="78"/>
  <c r="X14" i="78"/>
  <c r="X10" i="78"/>
  <c r="F43" i="78" l="1"/>
  <c r="E43" i="78"/>
  <c r="D43" i="78"/>
  <c r="F19" i="78"/>
  <c r="E19" i="78"/>
  <c r="D19" i="78"/>
  <c r="T10" i="78"/>
  <c r="L6" i="1" l="1"/>
  <c r="N24" i="1"/>
  <c r="L7" i="1" s="1"/>
  <c r="N23" i="1"/>
  <c r="T44" i="78" l="1"/>
  <c r="S50" i="78" l="1"/>
  <c r="S48" i="78"/>
  <c r="S47" i="78"/>
  <c r="S45" i="78"/>
  <c r="L1822" i="81" l="1"/>
  <c r="L1811" i="81"/>
  <c r="L1800" i="81"/>
  <c r="L1789" i="81"/>
  <c r="L1832" i="81"/>
  <c r="L1848" i="81"/>
  <c r="L1859" i="81"/>
  <c r="M11" i="82" l="1"/>
  <c r="I38" i="39" l="1"/>
  <c r="G38" i="39"/>
  <c r="E38" i="39"/>
  <c r="I7" i="39"/>
  <c r="I6" i="39"/>
  <c r="I5" i="39"/>
  <c r="G7" i="39"/>
  <c r="G6" i="39"/>
  <c r="G5" i="39"/>
  <c r="E7" i="39"/>
  <c r="E6" i="39"/>
  <c r="E5" i="39"/>
  <c r="S18" i="78"/>
  <c r="I13" i="3" s="1"/>
  <c r="U18" i="78"/>
  <c r="M13" i="3" s="1"/>
  <c r="K1859" i="81"/>
  <c r="K1848" i="81"/>
  <c r="U34" i="78" s="1"/>
  <c r="K1832" i="81"/>
  <c r="U33" i="78" s="1"/>
  <c r="K1822" i="81"/>
  <c r="K1811" i="81"/>
  <c r="U54" i="78"/>
  <c r="U53" i="78"/>
  <c r="U35" i="78"/>
  <c r="K1800" i="81"/>
  <c r="U52" i="78" s="1"/>
  <c r="K1789" i="81"/>
  <c r="U51" i="78" s="1"/>
  <c r="K1780" i="81"/>
  <c r="T14" i="78" s="1"/>
  <c r="K1695" i="81"/>
  <c r="T13" i="78" s="1"/>
  <c r="K1610" i="81"/>
  <c r="T12" i="78" s="1"/>
  <c r="K1525" i="81"/>
  <c r="T11" i="78" s="1"/>
  <c r="K1448" i="81"/>
  <c r="T32" i="78" s="1"/>
  <c r="K1279" i="81"/>
  <c r="T31" i="78" s="1"/>
  <c r="K1110" i="81"/>
  <c r="T30" i="78" s="1"/>
  <c r="K941" i="81"/>
  <c r="T29" i="78" s="1"/>
  <c r="K772" i="81"/>
  <c r="T28" i="78" s="1"/>
  <c r="K603" i="81"/>
  <c r="T27" i="78" s="1"/>
  <c r="K518" i="81"/>
  <c r="T26" i="78" s="1"/>
  <c r="K389" i="81"/>
  <c r="T25" i="78" s="1"/>
  <c r="K220" i="81"/>
  <c r="T24" i="78" s="1"/>
  <c r="K131" i="81"/>
  <c r="S23" i="78" s="1"/>
  <c r="K102" i="81"/>
  <c r="S22" i="78" s="1"/>
  <c r="K77" i="81"/>
  <c r="S21" i="78" s="1"/>
  <c r="K52" i="81"/>
  <c r="S20" i="78" s="1"/>
  <c r="K27" i="81"/>
  <c r="S19" i="78" s="1"/>
  <c r="T42" i="78" l="1"/>
  <c r="U42" i="78"/>
  <c r="S42" i="78"/>
  <c r="T18" i="78"/>
  <c r="K13" i="3" s="1"/>
  <c r="C11" i="21" l="1"/>
  <c r="F21" i="6"/>
  <c r="F19" i="6"/>
  <c r="R44" i="78"/>
  <c r="R45" i="78"/>
  <c r="R46" i="78"/>
  <c r="R47" i="78"/>
  <c r="R48" i="78"/>
  <c r="R49" i="78"/>
  <c r="R50" i="78"/>
  <c r="R55" i="78"/>
  <c r="R56" i="78"/>
  <c r="R43" i="78"/>
  <c r="R36" i="78"/>
  <c r="R37" i="78"/>
  <c r="R38" i="78"/>
  <c r="R39" i="78"/>
  <c r="R40" i="78"/>
  <c r="R41" i="78"/>
  <c r="R15" i="78"/>
  <c r="R16" i="78"/>
  <c r="R17" i="78"/>
  <c r="R10" i="78"/>
  <c r="R24" i="78" l="1"/>
  <c r="R23" i="78"/>
  <c r="Q18" i="78"/>
  <c r="S57" i="78"/>
  <c r="T57" i="78"/>
  <c r="R54" i="78"/>
  <c r="R53" i="78"/>
  <c r="R52" i="78"/>
  <c r="R51" i="78"/>
  <c r="R35" i="78"/>
  <c r="R34" i="78"/>
  <c r="R33" i="78"/>
  <c r="R32" i="78"/>
  <c r="R31" i="78"/>
  <c r="R30" i="78"/>
  <c r="R29" i="78"/>
  <c r="R28" i="78"/>
  <c r="R27" i="78"/>
  <c r="R26" i="78"/>
  <c r="R25" i="78"/>
  <c r="R22" i="78"/>
  <c r="R21" i="78"/>
  <c r="R20" i="78"/>
  <c r="R19" i="78"/>
  <c r="R14" i="78"/>
  <c r="R13" i="78"/>
  <c r="R12" i="78"/>
  <c r="R11" i="78"/>
  <c r="R42" i="78" l="1"/>
  <c r="R18" i="78"/>
  <c r="R57" i="78"/>
  <c r="U57" i="78"/>
  <c r="S59" i="78"/>
  <c r="I47" i="21"/>
  <c r="G47" i="21"/>
  <c r="E47" i="21"/>
  <c r="I7" i="21"/>
  <c r="G7" i="21"/>
  <c r="D71" i="39"/>
  <c r="E71" i="39" s="1"/>
  <c r="F71" i="39" s="1"/>
  <c r="G71" i="39" s="1"/>
  <c r="H71" i="39" s="1"/>
  <c r="I71" i="39" s="1"/>
  <c r="J71" i="39" s="1"/>
  <c r="K71" i="39" s="1"/>
  <c r="L71" i="39" s="1"/>
  <c r="M71" i="39" s="1"/>
  <c r="N71" i="39" s="1"/>
  <c r="O71" i="39" s="1"/>
  <c r="E118" i="39"/>
  <c r="F118" i="39"/>
  <c r="G118" i="39" s="1"/>
  <c r="H118" i="39" s="1"/>
  <c r="I118" i="39" s="1"/>
  <c r="J118" i="39" s="1"/>
  <c r="K118" i="39" s="1"/>
  <c r="L118" i="39" s="1"/>
  <c r="M118" i="39" s="1"/>
  <c r="D118" i="39"/>
  <c r="C38" i="39"/>
  <c r="D75" i="39"/>
  <c r="C75" i="39"/>
  <c r="B5" i="4"/>
  <c r="B7" i="4"/>
  <c r="C11" i="4"/>
  <c r="G58" i="78"/>
  <c r="Q57" i="78"/>
  <c r="P57" i="78"/>
  <c r="O57" i="78"/>
  <c r="N57" i="78"/>
  <c r="M57" i="78"/>
  <c r="K57" i="78"/>
  <c r="I57" i="78"/>
  <c r="H57" i="78"/>
  <c r="L56" i="78"/>
  <c r="G56" i="78"/>
  <c r="L55" i="78"/>
  <c r="G55" i="78"/>
  <c r="L54" i="78"/>
  <c r="J54" i="78"/>
  <c r="J57" i="78" s="1"/>
  <c r="L53" i="78"/>
  <c r="G53" i="78"/>
  <c r="L52" i="78"/>
  <c r="G52" i="78"/>
  <c r="L51" i="78"/>
  <c r="G51" i="78"/>
  <c r="L50" i="78"/>
  <c r="Y50" i="78" s="1"/>
  <c r="G50" i="78"/>
  <c r="L49" i="78"/>
  <c r="G49" i="78"/>
  <c r="L48" i="78"/>
  <c r="Y48" i="78" s="1"/>
  <c r="G48" i="78"/>
  <c r="L47" i="78"/>
  <c r="Y47" i="78" s="1"/>
  <c r="G47" i="78"/>
  <c r="L46" i="78"/>
  <c r="G46" i="78"/>
  <c r="L45" i="78"/>
  <c r="Y45" i="78" s="1"/>
  <c r="G45" i="78"/>
  <c r="L44" i="78"/>
  <c r="G44" i="78"/>
  <c r="L43" i="78"/>
  <c r="L57" i="78" s="1"/>
  <c r="G43" i="78"/>
  <c r="Q42" i="78"/>
  <c r="Q59" i="78" s="1"/>
  <c r="P42" i="78"/>
  <c r="O42" i="78"/>
  <c r="N42" i="78"/>
  <c r="M42" i="78"/>
  <c r="K42" i="78"/>
  <c r="I42" i="78"/>
  <c r="H42" i="78"/>
  <c r="L41" i="78"/>
  <c r="G41" i="78"/>
  <c r="L40" i="78"/>
  <c r="G40" i="78"/>
  <c r="L39" i="78"/>
  <c r="G39" i="78"/>
  <c r="L38" i="78"/>
  <c r="G38" i="78"/>
  <c r="L37" i="78"/>
  <c r="G37" i="78"/>
  <c r="L36" i="78"/>
  <c r="G36" i="78"/>
  <c r="L35" i="78"/>
  <c r="J35" i="78"/>
  <c r="J42" i="78" s="1"/>
  <c r="L34" i="78"/>
  <c r="G34" i="78"/>
  <c r="L33" i="78"/>
  <c r="G33" i="78"/>
  <c r="L32" i="78"/>
  <c r="Y32" i="78" s="1"/>
  <c r="G32" i="78"/>
  <c r="L31" i="78"/>
  <c r="G31" i="78"/>
  <c r="L30" i="78"/>
  <c r="G30" i="78"/>
  <c r="L29" i="78"/>
  <c r="G29" i="78"/>
  <c r="L28" i="78"/>
  <c r="G28" i="78"/>
  <c r="L27" i="78"/>
  <c r="G27" i="78"/>
  <c r="L26" i="78"/>
  <c r="G26" i="78"/>
  <c r="L25" i="78"/>
  <c r="G25" i="78"/>
  <c r="L24" i="78"/>
  <c r="G24" i="78"/>
  <c r="L23" i="78"/>
  <c r="Y23" i="78" s="1"/>
  <c r="G23" i="78"/>
  <c r="L22" i="78"/>
  <c r="Y22" i="78" s="1"/>
  <c r="G22" i="78"/>
  <c r="L21" i="78"/>
  <c r="G21" i="78"/>
  <c r="L20" i="78"/>
  <c r="G20" i="78"/>
  <c r="L19" i="78"/>
  <c r="L42" i="78" s="1"/>
  <c r="G19" i="78"/>
  <c r="P18" i="78"/>
  <c r="O18" i="78"/>
  <c r="M18" i="78"/>
  <c r="K18" i="78"/>
  <c r="J18" i="78"/>
  <c r="I18" i="78"/>
  <c r="H18" i="78"/>
  <c r="L17" i="78"/>
  <c r="G17" i="78"/>
  <c r="L16" i="78"/>
  <c r="G16" i="78"/>
  <c r="L15" i="78"/>
  <c r="G15" i="78"/>
  <c r="L14" i="78"/>
  <c r="Y14" i="78" s="1"/>
  <c r="G14" i="78"/>
  <c r="L13" i="78"/>
  <c r="Y13" i="78" s="1"/>
  <c r="G13" i="78"/>
  <c r="L12" i="78"/>
  <c r="Y12" i="78" s="1"/>
  <c r="G12" i="78"/>
  <c r="L11" i="78"/>
  <c r="Y11" i="78" s="1"/>
  <c r="G11" i="78"/>
  <c r="L10" i="78"/>
  <c r="Y10" i="78" s="1"/>
  <c r="G10" i="78"/>
  <c r="F10" i="78"/>
  <c r="E10" i="78"/>
  <c r="D10" i="78"/>
  <c r="K6" i="77"/>
  <c r="Y20" i="78" l="1"/>
  <c r="Y42" i="78" s="1"/>
  <c r="X42" i="78" s="1"/>
  <c r="Y44" i="78"/>
  <c r="Y57" i="78" s="1"/>
  <c r="N18" i="78"/>
  <c r="Y18" i="78"/>
  <c r="F42" i="78"/>
  <c r="F57" i="78"/>
  <c r="F18" i="78"/>
  <c r="I59" i="78"/>
  <c r="O59" i="78"/>
  <c r="R59" i="78"/>
  <c r="T59" i="78"/>
  <c r="F20" i="6"/>
  <c r="H59" i="78"/>
  <c r="F59" i="78" s="1"/>
  <c r="P59" i="78"/>
  <c r="N59" i="78"/>
  <c r="K59" i="78"/>
  <c r="M59" i="78"/>
  <c r="U59" i="78"/>
  <c r="G35" i="78"/>
  <c r="G42" i="78" s="1"/>
  <c r="G54" i="78"/>
  <c r="G57" i="78" s="1"/>
  <c r="G18" i="78"/>
  <c r="J59" i="78"/>
  <c r="L18" i="78"/>
  <c r="L59" i="78" s="1"/>
  <c r="O17" i="43"/>
  <c r="N17" i="43"/>
  <c r="M17" i="43"/>
  <c r="L17" i="43"/>
  <c r="X18" i="78" l="1"/>
  <c r="G59" i="78"/>
  <c r="C33" i="21" s="1"/>
  <c r="M15" i="45"/>
  <c r="L15" i="45"/>
  <c r="K15" i="45"/>
  <c r="J15" i="45"/>
  <c r="I15" i="45"/>
  <c r="H15" i="45"/>
  <c r="G15" i="45"/>
  <c r="F15" i="45"/>
  <c r="E15" i="45"/>
  <c r="D15" i="45"/>
  <c r="C15" i="45"/>
  <c r="B15" i="45"/>
  <c r="E17" i="43"/>
  <c r="V6" i="71"/>
  <c r="U6" i="71"/>
  <c r="T6" i="71"/>
  <c r="S6" i="71"/>
  <c r="B16" i="74" l="1"/>
  <c r="AH5" i="71"/>
  <c r="AG5" i="71"/>
  <c r="AE5" i="71"/>
  <c r="AF5" i="71" s="1"/>
  <c r="AD5" i="71"/>
  <c r="Q5" i="71"/>
  <c r="P5" i="71"/>
  <c r="O5" i="71"/>
  <c r="N5" i="71"/>
  <c r="C16" i="74" l="1"/>
  <c r="AD6" i="7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2" i="71"/>
  <c r="P12" i="71"/>
  <c r="O12" i="71"/>
  <c r="N12" i="71"/>
  <c r="A15" i="51"/>
  <c r="B12" i="72" s="1"/>
  <c r="C76" i="9"/>
  <c r="I107" i="40"/>
  <c r="K6" i="4"/>
  <c r="M56" i="9" s="1"/>
  <c r="B22" i="31"/>
  <c r="N56" i="9"/>
  <c r="K56" i="9"/>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E81" i="21" s="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D7" i="1"/>
  <c r="D8" i="1"/>
  <c r="A7" i="1"/>
  <c r="B7" i="1" s="1"/>
  <c r="E7" i="1" s="1"/>
  <c r="A8" i="1"/>
  <c r="B8" i="1" s="1"/>
  <c r="E8" i="1" s="1"/>
  <c r="A9" i="1"/>
  <c r="A10" i="1"/>
  <c r="A11" i="1"/>
  <c r="A12" i="1"/>
  <c r="A13" i="1"/>
  <c r="A6" i="1"/>
  <c r="B11" i="1"/>
  <c r="E11" i="1"/>
  <c r="K10" i="1"/>
  <c r="M10" i="1" s="1"/>
  <c r="O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E20" i="6"/>
  <c r="D7" i="12" s="1"/>
  <c r="E21" i="6"/>
  <c r="K8" i="1" s="1"/>
  <c r="M8" i="1" s="1"/>
  <c r="O8" i="1" s="1"/>
  <c r="F23" i="15"/>
  <c r="D24" i="15" s="1"/>
  <c r="E22" i="6"/>
  <c r="E23" i="6"/>
  <c r="E24" i="6"/>
  <c r="E25" i="6"/>
  <c r="E26" i="6"/>
  <c r="BB13" i="3"/>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AA34" i="39"/>
  <c r="D107" i="39"/>
  <c r="E107" i="39"/>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s="1"/>
  <c r="D89" i="39"/>
  <c r="E89" i="39" s="1"/>
  <c r="F89" i="39" s="1"/>
  <c r="B86" i="39"/>
  <c r="B84" i="39"/>
  <c r="F13" i="39" s="1"/>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D77" i="21"/>
  <c r="E77" i="21" s="1"/>
  <c r="B130" i="21"/>
  <c r="B128" i="21"/>
  <c r="J45" i="21"/>
  <c r="W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c r="H36" i="39"/>
  <c r="AB36"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c r="E101" i="39"/>
  <c r="H19" i="39"/>
  <c r="AB19" i="39" s="1"/>
  <c r="F19" i="39"/>
  <c r="AA19" i="39" s="1"/>
  <c r="J23" i="40"/>
  <c r="AC23" i="40"/>
  <c r="F21" i="40"/>
  <c r="AA21" i="40"/>
  <c r="J21" i="40"/>
  <c r="W21" i="40"/>
  <c r="H42" i="39"/>
  <c r="AB42" i="39" s="1"/>
  <c r="J34" i="39"/>
  <c r="AC34" i="39" s="1"/>
  <c r="F109" i="39"/>
  <c r="G109" i="39"/>
  <c r="H109" i="39"/>
  <c r="I109" i="39"/>
  <c r="J109" i="39"/>
  <c r="K109" i="39"/>
  <c r="L109" i="39"/>
  <c r="M109" i="39"/>
  <c r="J31" i="39"/>
  <c r="F101" i="39"/>
  <c r="H27" i="39"/>
  <c r="U27" i="39" s="1"/>
  <c r="J19" i="39"/>
  <c r="AC19" i="39" s="1"/>
  <c r="J27" i="39"/>
  <c r="AC27" i="39" s="1"/>
  <c r="F27" i="39"/>
  <c r="F11" i="21"/>
  <c r="S11" i="21" s="1"/>
  <c r="U34" i="21"/>
  <c r="C25" i="39"/>
  <c r="C27" i="39"/>
  <c r="C21" i="39"/>
  <c r="H11" i="39"/>
  <c r="U11" i="39" s="1"/>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W37" i="39"/>
  <c r="J25" i="39"/>
  <c r="W25" i="39" s="1"/>
  <c r="H41" i="39"/>
  <c r="U41" i="39" s="1"/>
  <c r="W27" i="39"/>
  <c r="AB34" i="39"/>
  <c r="S42" i="39"/>
  <c r="W8" i="39"/>
  <c r="J19" i="40"/>
  <c r="AC19" i="40"/>
  <c r="J50" i="40"/>
  <c r="H103" i="9"/>
  <c r="D8" i="53"/>
  <c r="B16" i="53"/>
  <c r="B33" i="72" s="1"/>
  <c r="C7" i="34"/>
  <c r="W35" i="40"/>
  <c r="J11" i="39"/>
  <c r="W11" i="39" s="1"/>
  <c r="F11" i="39"/>
  <c r="AA11" i="39"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S14" i="35"/>
  <c r="U35" i="21"/>
  <c r="AC35" i="21"/>
  <c r="U10" i="2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S13" i="1"/>
  <c r="AR13" i="1" s="1"/>
  <c r="R13" i="1"/>
  <c r="S11" i="1"/>
  <c r="AQ11" i="1" s="1"/>
  <c r="R11" i="1"/>
  <c r="S9" i="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F32" i="39"/>
  <c r="S32" i="39" s="1"/>
  <c r="F107" i="39"/>
  <c r="G107" i="39" s="1"/>
  <c r="H107" i="39" s="1"/>
  <c r="I107" i="39" s="1"/>
  <c r="J107" i="39" s="1"/>
  <c r="K107" i="39" s="1"/>
  <c r="L107" i="39" s="1"/>
  <c r="M107" i="39" s="1"/>
  <c r="AB27" i="39"/>
  <c r="U31" i="39"/>
  <c r="J21" i="39"/>
  <c r="W21" i="39" s="1"/>
  <c r="F21" i="39"/>
  <c r="AA21" i="39" s="1"/>
  <c r="H21" i="39"/>
  <c r="AB21" i="39" s="1"/>
  <c r="U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AA38" i="21"/>
  <c r="AC40" i="21"/>
  <c r="AA14" i="21"/>
  <c r="AB8" i="21"/>
  <c r="S8" i="21"/>
  <c r="M3" i="43"/>
  <c r="N10" i="43"/>
  <c r="M1" i="43"/>
  <c r="M8" i="43"/>
  <c r="N8" i="43"/>
  <c r="N9" i="43"/>
  <c r="D120" i="9"/>
  <c r="C18" i="9"/>
  <c r="D18" i="9"/>
  <c r="F34" i="67"/>
  <c r="F62" i="67"/>
  <c r="M20" i="67"/>
  <c r="F34" i="15"/>
  <c r="F62" i="15" s="1"/>
  <c r="BL17" i="3"/>
  <c r="AZ17" i="3"/>
  <c r="BL13" i="3"/>
  <c r="G30" i="6"/>
  <c r="G31" i="6"/>
  <c r="J56" i="9"/>
  <c r="J57" i="9" s="1"/>
  <c r="J59" i="9" s="1"/>
  <c r="J61" i="9" s="1"/>
  <c r="A24" i="51"/>
  <c r="B18" i="72"/>
  <c r="U29" i="34"/>
  <c r="E32" i="6"/>
  <c r="L19" i="6"/>
  <c r="G1" i="68"/>
  <c r="E28" i="6"/>
  <c r="E19" i="69"/>
  <c r="E19" i="68"/>
  <c r="E19" i="11"/>
  <c r="E1" i="73"/>
  <c r="G22" i="11"/>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5"/>
  <c r="C7" i="40"/>
  <c r="C63" i="40" s="1"/>
  <c r="C65" i="40" s="1"/>
  <c r="M47" i="9"/>
  <c r="C59" i="34"/>
  <c r="A4" i="51"/>
  <c r="B6" i="72" s="1"/>
  <c r="C48" i="35"/>
  <c r="H62" i="43"/>
  <c r="H66" i="43"/>
  <c r="H61" i="43"/>
  <c r="H65" i="43"/>
  <c r="H60" i="43"/>
  <c r="H64" i="43"/>
  <c r="H59" i="43"/>
  <c r="H63" i="43"/>
  <c r="H67" i="43"/>
  <c r="H55" i="43"/>
  <c r="H51" i="43"/>
  <c r="H56" i="43"/>
  <c r="H76" i="43"/>
  <c r="H72" i="43"/>
  <c r="H77" i="43"/>
  <c r="L20" i="6"/>
  <c r="B6" i="1"/>
  <c r="E6" i="1" s="1"/>
  <c r="K11" i="1"/>
  <c r="M11" i="1" s="1"/>
  <c r="O11" i="1" s="1"/>
  <c r="P11" i="1" s="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C25" i="39"/>
  <c r="U13" i="39"/>
  <c r="S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AA33" i="21" s="1"/>
  <c r="J33" i="21"/>
  <c r="W33" i="21" s="1"/>
  <c r="H33" i="21"/>
  <c r="AB33" i="21" s="1"/>
  <c r="AA26" i="21"/>
  <c r="AB14" i="21"/>
  <c r="AB46" i="21"/>
  <c r="U40" i="21"/>
  <c r="U13" i="21"/>
  <c r="AB13" i="21"/>
  <c r="W8" i="21"/>
  <c r="S35" i="21"/>
  <c r="W39" i="21"/>
  <c r="AC14" i="21"/>
  <c r="W30" i="21"/>
  <c r="S46" i="21"/>
  <c r="H45" i="21"/>
  <c r="U45" i="21" s="1"/>
  <c r="F29" i="21"/>
  <c r="S29" i="21" s="1"/>
  <c r="F13" i="21"/>
  <c r="AA13" i="21" s="1"/>
  <c r="AC38" i="21"/>
  <c r="H32" i="21"/>
  <c r="U32" i="21" s="1"/>
  <c r="H9" i="21"/>
  <c r="AB9" i="21" s="1"/>
  <c r="J9" i="21"/>
  <c r="AC9" i="21" s="1"/>
  <c r="J32" i="21"/>
  <c r="W32" i="21" s="1"/>
  <c r="F32" i="21"/>
  <c r="S32" i="21" s="1"/>
  <c r="S9" i="21"/>
  <c r="AA9" i="21"/>
  <c r="K141" i="21"/>
  <c r="K144" i="21"/>
  <c r="K143" i="21"/>
  <c r="U27" i="21"/>
  <c r="AB25" i="21"/>
  <c r="AB44" i="21"/>
  <c r="AA30" i="21"/>
  <c r="W13" i="21"/>
  <c r="AC45" i="21"/>
  <c r="F10" i="21"/>
  <c r="AA10" i="21" s="1"/>
  <c r="K145" i="21"/>
  <c r="W25" i="21"/>
  <c r="AA29" i="21"/>
  <c r="S27" i="21"/>
  <c r="AC26" i="21"/>
  <c r="AB29" i="21"/>
  <c r="S28" i="21"/>
  <c r="AC34" i="21"/>
  <c r="W12" i="21"/>
  <c r="AB36" i="21"/>
  <c r="W30" i="40"/>
  <c r="C19" i="39"/>
  <c r="C15" i="40"/>
  <c r="C17" i="40"/>
  <c r="C23" i="40"/>
  <c r="C21" i="40"/>
  <c r="U30" i="40"/>
  <c r="B54" i="43"/>
  <c r="B65" i="43"/>
  <c r="B49" i="43"/>
  <c r="B52" i="43"/>
  <c r="B56" i="43"/>
  <c r="B60" i="43"/>
  <c r="B63" i="43"/>
  <c r="B67" i="43"/>
  <c r="D23" i="15"/>
  <c r="D22" i="15"/>
  <c r="F30" i="69"/>
  <c r="E7" i="70"/>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K14" i="1"/>
  <c r="M14" i="1" s="1"/>
  <c r="O14" i="1" s="1"/>
  <c r="P14" i="1" s="1"/>
  <c r="BL5" i="3"/>
  <c r="R22" i="31"/>
  <c r="B21" i="31"/>
  <c r="D63" i="40"/>
  <c r="E63" i="40" s="1"/>
  <c r="AC32" i="21"/>
  <c r="U9" i="21"/>
  <c r="W9" i="21"/>
  <c r="AB32" i="21"/>
  <c r="S10" i="21"/>
  <c r="E6" i="70"/>
  <c r="A18" i="62"/>
  <c r="B64" i="72" s="1"/>
  <c r="U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D65" i="40"/>
  <c r="AC11" i="37"/>
  <c r="W11" i="37"/>
  <c r="W11" i="34"/>
  <c r="AC11" i="34"/>
  <c r="F63" i="40"/>
  <c r="F65" i="40" s="1"/>
  <c r="E65" i="40"/>
  <c r="G63" i="40"/>
  <c r="G65" i="40" s="1"/>
  <c r="H63" i="40"/>
  <c r="H65" i="40" s="1"/>
  <c r="I63" i="40"/>
  <c r="I65" i="40" s="1"/>
  <c r="J63" i="40"/>
  <c r="K63" i="40" s="1"/>
  <c r="K65" i="40" s="1"/>
  <c r="L63" i="40"/>
  <c r="M63" i="40" s="1"/>
  <c r="N63" i="40" s="1"/>
  <c r="L65" i="40"/>
  <c r="M65" i="40"/>
  <c r="AE7" i="1"/>
  <c r="AE6"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59" i="9"/>
  <c r="M55" i="9"/>
  <c r="AD3" i="71"/>
  <c r="F16" i="67"/>
  <c r="E10" i="76"/>
  <c r="F6" i="15"/>
  <c r="F40" i="67"/>
  <c r="E2" i="68"/>
  <c r="B12" i="76"/>
  <c r="F26" i="15"/>
  <c r="AO7" i="1"/>
  <c r="D2" i="35"/>
  <c r="F13" i="67"/>
  <c r="D2" i="36"/>
  <c r="F43" i="15"/>
  <c r="F26" i="67"/>
  <c r="L48" i="67"/>
  <c r="M6" i="15"/>
  <c r="F38" i="15"/>
  <c r="F8" i="67"/>
  <c r="C76" i="15"/>
  <c r="M8" i="67"/>
  <c r="F42" i="15"/>
  <c r="M22" i="15"/>
  <c r="C76" i="67"/>
  <c r="F7" i="15"/>
  <c r="B10" i="76"/>
  <c r="F40" i="15"/>
  <c r="M28" i="67"/>
  <c r="F7" i="73"/>
  <c r="B8" i="76"/>
  <c r="M6" i="67"/>
  <c r="AO12" i="1"/>
  <c r="D2" i="21"/>
  <c r="L48" i="15"/>
  <c r="M22" i="67"/>
  <c r="M29" i="15"/>
  <c r="M26" i="15"/>
  <c r="E8" i="76"/>
  <c r="M27" i="67"/>
  <c r="M28" i="15"/>
  <c r="E7" i="76"/>
  <c r="F8" i="15"/>
  <c r="F36" i="15"/>
  <c r="AO6" i="1"/>
  <c r="L47" i="15"/>
  <c r="D2" i="37"/>
  <c r="M23" i="67"/>
  <c r="F35" i="67"/>
  <c r="E12" i="76"/>
  <c r="E11" i="76"/>
  <c r="F36" i="67"/>
  <c r="AO13" i="1"/>
  <c r="M8" i="15"/>
  <c r="E2" i="69"/>
  <c r="AO9" i="1"/>
  <c r="M29" i="67"/>
  <c r="B7" i="76"/>
  <c r="AO10" i="1"/>
  <c r="M27" i="15"/>
  <c r="M21" i="67"/>
  <c r="M24" i="15"/>
  <c r="F43" i="67"/>
  <c r="D2" i="34"/>
  <c r="F6" i="73"/>
  <c r="M26" i="67"/>
  <c r="F16" i="15"/>
  <c r="E9" i="76"/>
  <c r="F13" i="15"/>
  <c r="F41" i="67"/>
  <c r="F9" i="67"/>
  <c r="AO11" i="1"/>
  <c r="F37" i="15"/>
  <c r="F6" i="67"/>
  <c r="B9" i="76"/>
  <c r="M23" i="15"/>
  <c r="F7" i="67"/>
  <c r="F37" i="67"/>
  <c r="D2" i="33"/>
  <c r="J15" i="15"/>
  <c r="M9" i="15"/>
  <c r="B13" i="76"/>
  <c r="J15" i="67"/>
  <c r="E13" i="76"/>
  <c r="F20" i="31"/>
  <c r="L47" i="67"/>
  <c r="F4" i="73"/>
  <c r="F5" i="73"/>
  <c r="F42" i="67"/>
  <c r="F3" i="73"/>
  <c r="M24" i="67"/>
  <c r="B11" i="76"/>
  <c r="M9" i="67"/>
  <c r="F38" i="67"/>
  <c r="F9" i="15"/>
  <c r="B18" i="74" l="1"/>
  <c r="B17" i="74"/>
  <c r="G22" i="68"/>
  <c r="AC33" i="21"/>
  <c r="K6" i="1"/>
  <c r="M6" i="1" s="1"/>
  <c r="O6" i="1" s="1"/>
  <c r="P6" i="1" s="1"/>
  <c r="AC38" i="39"/>
  <c r="S38" i="39"/>
  <c r="I4" i="6"/>
  <c r="G3" i="43" s="1"/>
  <c r="C101" i="43" s="1"/>
  <c r="C107" i="43" s="1"/>
  <c r="E7" i="12"/>
  <c r="G13" i="3"/>
  <c r="K7" i="1"/>
  <c r="M7" i="1" s="1"/>
  <c r="O7" i="1" s="1"/>
  <c r="BA13" i="3"/>
  <c r="BA5" i="3" s="1"/>
  <c r="E27" i="6" s="1"/>
  <c r="E13" i="6"/>
  <c r="E58" i="40" s="1"/>
  <c r="L27" i="6"/>
  <c r="AQ10" i="1"/>
  <c r="AR10" i="1"/>
  <c r="AQ13" i="1"/>
  <c r="AR9" i="1"/>
  <c r="T9" i="1"/>
  <c r="AR12" i="1"/>
  <c r="AQ12" i="1"/>
  <c r="F23" i="21"/>
  <c r="S23" i="21" s="1"/>
  <c r="H23" i="21"/>
  <c r="J23" i="21"/>
  <c r="AC23" i="21" s="1"/>
  <c r="U38" i="39"/>
  <c r="AC21" i="39"/>
  <c r="U21" i="39"/>
  <c r="G26" i="12"/>
  <c r="G22" i="69"/>
  <c r="D22" i="67"/>
  <c r="AB11" i="39"/>
  <c r="G25" i="12"/>
  <c r="G41" i="11"/>
  <c r="G27" i="12"/>
  <c r="G41" i="68"/>
  <c r="D23" i="67"/>
  <c r="T11" i="1"/>
  <c r="T10" i="1"/>
  <c r="T12" i="1"/>
  <c r="G1" i="69"/>
  <c r="K1" i="12"/>
  <c r="F3" i="35"/>
  <c r="AQ9" i="1"/>
  <c r="E29" i="6"/>
  <c r="F30" i="6"/>
  <c r="E5" i="6"/>
  <c r="D19" i="12" s="1"/>
  <c r="C19" i="12" s="1"/>
  <c r="E8" i="6"/>
  <c r="F27" i="6" s="1"/>
  <c r="F31" i="6" s="1"/>
  <c r="D3" i="39" s="1"/>
  <c r="T13" i="1"/>
  <c r="AR11" i="1"/>
  <c r="E14" i="6"/>
  <c r="E64" i="39" s="1"/>
  <c r="E10" i="6"/>
  <c r="P13" i="1"/>
  <c r="E22" i="43"/>
  <c r="AC11" i="43"/>
  <c r="AC13" i="43" s="1"/>
  <c r="E15" i="6"/>
  <c r="E11" i="6"/>
  <c r="P10" i="1"/>
  <c r="P12" i="1"/>
  <c r="E12" i="6"/>
  <c r="P9" i="1"/>
  <c r="P8" i="1"/>
  <c r="AC11" i="21"/>
  <c r="AC11" i="39"/>
  <c r="P61" i="15"/>
  <c r="J53" i="15"/>
  <c r="L56" i="15" s="1"/>
  <c r="S33" i="21"/>
  <c r="F85" i="21"/>
  <c r="G85" i="21" s="1"/>
  <c r="F19" i="21"/>
  <c r="AA19" i="21" s="1"/>
  <c r="J19" i="21"/>
  <c r="AA32" i="21"/>
  <c r="H37" i="21"/>
  <c r="H113" i="21"/>
  <c r="F37" i="21"/>
  <c r="AA37" i="21" s="1"/>
  <c r="J37" i="21"/>
  <c r="F123" i="21"/>
  <c r="G123" i="21" s="1"/>
  <c r="H123" i="21" s="1"/>
  <c r="I123" i="21" s="1"/>
  <c r="J123" i="21" s="1"/>
  <c r="K123" i="21" s="1"/>
  <c r="L123" i="21" s="1"/>
  <c r="M123" i="21" s="1"/>
  <c r="J42" i="21"/>
  <c r="AC42" i="21" s="1"/>
  <c r="U43" i="21"/>
  <c r="W42" i="21"/>
  <c r="S40" i="21"/>
  <c r="S39" i="21"/>
  <c r="S37" i="21"/>
  <c r="W44" i="21"/>
  <c r="AB42" i="21"/>
  <c r="S42" i="21"/>
  <c r="AA36" i="21"/>
  <c r="W36" i="21"/>
  <c r="S34" i="21"/>
  <c r="U33" i="21"/>
  <c r="H19" i="21"/>
  <c r="F81" i="21"/>
  <c r="G81" i="21" s="1"/>
  <c r="F79" i="21"/>
  <c r="G79" i="21" s="1"/>
  <c r="H17" i="21"/>
  <c r="J17" i="21"/>
  <c r="AC17" i="21" s="1"/>
  <c r="F17" i="21"/>
  <c r="F15" i="21"/>
  <c r="J15" i="21"/>
  <c r="H15" i="21"/>
  <c r="U15" i="21" s="1"/>
  <c r="F77" i="21"/>
  <c r="G77" i="21" s="1"/>
  <c r="W17" i="21"/>
  <c r="AA23" i="21"/>
  <c r="S21" i="21"/>
  <c r="S19" i="21"/>
  <c r="W10" i="21"/>
  <c r="AC29" i="21"/>
  <c r="W29" i="21"/>
  <c r="AB30" i="21"/>
  <c r="AB45" i="21"/>
  <c r="AB31" i="21"/>
  <c r="U31" i="21"/>
  <c r="AC27" i="21"/>
  <c r="U28" i="21"/>
  <c r="AC28" i="21"/>
  <c r="F31" i="21"/>
  <c r="J31" i="21"/>
  <c r="S11" i="39"/>
  <c r="F25" i="39"/>
  <c r="H25" i="39"/>
  <c r="S21" i="39"/>
  <c r="F91" i="39"/>
  <c r="G91" i="39" s="1"/>
  <c r="H17" i="39"/>
  <c r="J17" i="39"/>
  <c r="F17" i="39"/>
  <c r="H15" i="39"/>
  <c r="G89" i="39"/>
  <c r="F15" i="39"/>
  <c r="J15" i="39"/>
  <c r="W29" i="39"/>
  <c r="U29" i="39"/>
  <c r="S23" i="39"/>
  <c r="AB41" i="39"/>
  <c r="AA41" i="39"/>
  <c r="U40" i="39"/>
  <c r="S40" i="39"/>
  <c r="AB35" i="39"/>
  <c r="U35" i="39"/>
  <c r="S37" i="39"/>
  <c r="F35" i="39"/>
  <c r="J35" i="39"/>
  <c r="S29" i="39"/>
  <c r="W19" i="39"/>
  <c r="S13" i="39"/>
  <c r="AA13" i="39"/>
  <c r="W14" i="39"/>
  <c r="S9" i="39"/>
  <c r="W9" i="39"/>
  <c r="F30" i="11"/>
  <c r="C48" i="11" s="1"/>
  <c r="C94" i="9"/>
  <c r="C92" i="9"/>
  <c r="F54" i="9"/>
  <c r="F52" i="9"/>
  <c r="C30" i="11"/>
  <c r="F28" i="15"/>
  <c r="F32" i="67"/>
  <c r="F60" i="67" s="1"/>
  <c r="F28" i="67"/>
  <c r="D68" i="9"/>
  <c r="M18" i="15"/>
  <c r="F32" i="15"/>
  <c r="F60" i="15" s="1"/>
  <c r="M18" i="67"/>
  <c r="F31" i="12"/>
  <c r="F30" i="68"/>
  <c r="T35" i="4"/>
  <c r="A19" i="51" s="1"/>
  <c r="B14" i="72" s="1"/>
  <c r="G11" i="1"/>
  <c r="G12" i="1"/>
  <c r="G10" i="1"/>
  <c r="G8" i="1"/>
  <c r="A13" i="51"/>
  <c r="B11" i="72" s="1"/>
  <c r="A4" i="52"/>
  <c r="B41" i="72" s="1"/>
  <c r="D19" i="53"/>
  <c r="D12" i="52"/>
  <c r="D127" i="9"/>
  <c r="D13" i="52" s="1"/>
  <c r="A118" i="9"/>
  <c r="O63" i="40"/>
  <c r="O65" i="40" s="1"/>
  <c r="N65" i="40"/>
  <c r="J65" i="40"/>
  <c r="J7" i="40" s="1"/>
  <c r="W7" i="40" s="1"/>
  <c r="F1" i="67"/>
  <c r="D48" i="35"/>
  <c r="D59" i="34"/>
  <c r="C7" i="37"/>
  <c r="C52" i="37" s="1"/>
  <c r="C7" i="36"/>
  <c r="C46" i="36" s="1"/>
  <c r="C42" i="1"/>
  <c r="C7" i="39"/>
  <c r="C68" i="39" s="1"/>
  <c r="C7" i="33"/>
  <c r="C58" i="33" s="1"/>
  <c r="C7" i="21"/>
  <c r="C58" i="21" s="1"/>
  <c r="G19" i="43"/>
  <c r="O19" i="43" s="1"/>
  <c r="J1" i="73"/>
  <c r="G17" i="43"/>
  <c r="C16" i="43" s="1"/>
  <c r="C20" i="43"/>
  <c r="F7" i="71"/>
  <c r="F6" i="71" s="1"/>
  <c r="F5" i="71" s="1"/>
  <c r="Y6" i="71"/>
  <c r="Z6" i="71" s="1"/>
  <c r="B7" i="49"/>
  <c r="E4" i="4" s="1"/>
  <c r="B5" i="62" s="1"/>
  <c r="E7" i="49"/>
  <c r="B15" i="49"/>
  <c r="AB3" i="71"/>
  <c r="X3" i="71"/>
  <c r="C7" i="71"/>
  <c r="E7" i="71"/>
  <c r="E6" i="71" s="1"/>
  <c r="E5" i="71" s="1"/>
  <c r="E10" i="49"/>
  <c r="B6" i="49"/>
  <c r="E14" i="49"/>
  <c r="AC7" i="40"/>
  <c r="V42" i="40" s="1"/>
  <c r="I42" i="40" s="1"/>
  <c r="I46" i="40" s="1"/>
  <c r="J46" i="40" s="1"/>
  <c r="AF3" i="71"/>
  <c r="P21" i="43"/>
  <c r="P22" i="43"/>
  <c r="B13" i="49"/>
  <c r="C4" i="4"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D7" i="73"/>
  <c r="D6" i="73"/>
  <c r="C16" i="67"/>
  <c r="C14" i="67"/>
  <c r="C16" i="15"/>
  <c r="D3" i="73"/>
  <c r="C17" i="67"/>
  <c r="D4" i="73"/>
  <c r="D5" i="73"/>
  <c r="C18" i="74" l="1"/>
  <c r="AP6" i="1"/>
  <c r="AF11" i="43"/>
  <c r="AF13" i="43" s="1"/>
  <c r="G22" i="43"/>
  <c r="D22" i="43" s="1"/>
  <c r="Z7" i="43"/>
  <c r="I101" i="43"/>
  <c r="I104" i="43" s="1"/>
  <c r="F22" i="43"/>
  <c r="L101" i="43"/>
  <c r="L107" i="43" s="1"/>
  <c r="B73" i="72"/>
  <c r="J101" i="43"/>
  <c r="J104" i="43" s="1"/>
  <c r="Y11" i="43"/>
  <c r="Y13" i="43" s="1"/>
  <c r="AG11" i="43"/>
  <c r="AG13" i="43" s="1"/>
  <c r="AB11" i="43"/>
  <c r="AB13" i="43" s="1"/>
  <c r="AJ11" i="43"/>
  <c r="AJ13" i="43" s="1"/>
  <c r="D101" i="43"/>
  <c r="D106" i="43" s="1"/>
  <c r="F101" i="43"/>
  <c r="F106" i="43" s="1"/>
  <c r="B113" i="43"/>
  <c r="I118" i="43" s="1"/>
  <c r="J118" i="43" s="1"/>
  <c r="K118" i="43" s="1"/>
  <c r="L118" i="43" s="1"/>
  <c r="M118" i="43" s="1"/>
  <c r="G101" i="43"/>
  <c r="G102" i="43" s="1"/>
  <c r="H101" i="43"/>
  <c r="H102" i="43" s="1"/>
  <c r="J22" i="43"/>
  <c r="AA11" i="43"/>
  <c r="AA13" i="43" s="1"/>
  <c r="AE11" i="43"/>
  <c r="AE13" i="43" s="1"/>
  <c r="AI11" i="43"/>
  <c r="AI13" i="43" s="1"/>
  <c r="Z11" i="43"/>
  <c r="Z13" i="43" s="1"/>
  <c r="AD11" i="43"/>
  <c r="AD13" i="43" s="1"/>
  <c r="AH11" i="43"/>
  <c r="AH13" i="43" s="1"/>
  <c r="E101" i="43"/>
  <c r="E106" i="43" s="1"/>
  <c r="M101" i="43"/>
  <c r="M109" i="43" s="1"/>
  <c r="H22" i="43"/>
  <c r="N101" i="43"/>
  <c r="N106" i="43" s="1"/>
  <c r="K101" i="43"/>
  <c r="K107" i="43" s="1"/>
  <c r="N104" i="46"/>
  <c r="O16" i="1"/>
  <c r="C17" i="74"/>
  <c r="W23" i="21"/>
  <c r="M16" i="1"/>
  <c r="L16" i="1" s="1"/>
  <c r="G5" i="3"/>
  <c r="B3" i="3" s="1"/>
  <c r="E13" i="3" s="1"/>
  <c r="G16" i="1"/>
  <c r="J10" i="40" s="1"/>
  <c r="W10" i="40" s="1"/>
  <c r="C34" i="69"/>
  <c r="C38" i="69" s="1"/>
  <c r="H16" i="1"/>
  <c r="Q16" i="1"/>
  <c r="F27" i="68" s="1"/>
  <c r="C29" i="68" s="1"/>
  <c r="D27" i="68" s="1"/>
  <c r="AZ13" i="3"/>
  <c r="AZ5" i="3" s="1"/>
  <c r="E63" i="39"/>
  <c r="AP7" i="1"/>
  <c r="E51" i="40"/>
  <c r="E56" i="39"/>
  <c r="C103" i="43"/>
  <c r="C102" i="43"/>
  <c r="C104" i="43"/>
  <c r="K20" i="6"/>
  <c r="M20" i="6" s="1"/>
  <c r="I20" i="6" s="1"/>
  <c r="S20" i="6" s="1"/>
  <c r="K19" i="6"/>
  <c r="S6" i="1" s="1"/>
  <c r="AQ6" i="1" s="1"/>
  <c r="D9" i="11"/>
  <c r="C9" i="11" s="1"/>
  <c r="K24" i="6"/>
  <c r="M24" i="6" s="1"/>
  <c r="I24" i="6" s="1"/>
  <c r="S24" i="6" s="1"/>
  <c r="C109" i="43"/>
  <c r="C105" i="43"/>
  <c r="D9" i="69"/>
  <c r="C9" i="69" s="1"/>
  <c r="D9" i="68"/>
  <c r="C9" i="68" s="1"/>
  <c r="K21" i="6"/>
  <c r="M21" i="6" s="1"/>
  <c r="I21" i="6" s="1"/>
  <c r="S21" i="6" s="1"/>
  <c r="K22" i="6"/>
  <c r="M22" i="6" s="1"/>
  <c r="I22" i="6" s="1"/>
  <c r="S22" i="6" s="1"/>
  <c r="U23" i="21"/>
  <c r="AB23" i="21"/>
  <c r="K26" i="6"/>
  <c r="M26" i="6" s="1"/>
  <c r="I26" i="6" s="1"/>
  <c r="S26" i="6" s="1"/>
  <c r="B115" i="43"/>
  <c r="C115" i="43" s="1"/>
  <c r="K23" i="6"/>
  <c r="M23" i="6" s="1"/>
  <c r="I23" i="6" s="1"/>
  <c r="K25" i="6"/>
  <c r="M25" i="6" s="1"/>
  <c r="I25" i="6" s="1"/>
  <c r="S25" i="6" s="1"/>
  <c r="C106" i="43"/>
  <c r="G118" i="43"/>
  <c r="H118" i="43" s="1"/>
  <c r="D118" i="43"/>
  <c r="E118" i="43" s="1"/>
  <c r="F118" i="43" s="1"/>
  <c r="D3" i="21"/>
  <c r="E30" i="6"/>
  <c r="E31" i="6" s="1"/>
  <c r="K15" i="1"/>
  <c r="K16" i="1" s="1"/>
  <c r="D116" i="43"/>
  <c r="E116" i="43" s="1"/>
  <c r="F116" i="43" s="1"/>
  <c r="G116" i="43" s="1"/>
  <c r="H116" i="43" s="1"/>
  <c r="D115" i="43"/>
  <c r="E115" i="43" s="1"/>
  <c r="F115" i="43" s="1"/>
  <c r="G115" i="43" s="1"/>
  <c r="H115" i="43" s="1"/>
  <c r="E59" i="40"/>
  <c r="L105" i="43"/>
  <c r="D117" i="43"/>
  <c r="E117" i="43" s="1"/>
  <c r="F117" i="43" s="1"/>
  <c r="G117" i="43" s="1"/>
  <c r="H117" i="43" s="1"/>
  <c r="I117" i="43"/>
  <c r="J117" i="43" s="1"/>
  <c r="K117" i="43" s="1"/>
  <c r="L117" i="43" s="1"/>
  <c r="M117" i="43" s="1"/>
  <c r="I116" i="43"/>
  <c r="J116" i="43" s="1"/>
  <c r="K116" i="43" s="1"/>
  <c r="L116" i="43" s="1"/>
  <c r="M116" i="43" s="1"/>
  <c r="G105" i="43"/>
  <c r="H103" i="43"/>
  <c r="H109" i="43"/>
  <c r="H106" i="43"/>
  <c r="E65" i="39"/>
  <c r="E60" i="40"/>
  <c r="E102" i="43"/>
  <c r="E103" i="43"/>
  <c r="E107" i="43"/>
  <c r="E109" i="43"/>
  <c r="M107" i="43"/>
  <c r="N105" i="43"/>
  <c r="K104" i="43"/>
  <c r="K109" i="43"/>
  <c r="K102" i="43"/>
  <c r="P7" i="1"/>
  <c r="P16" i="1" s="1"/>
  <c r="C11" i="12" s="1"/>
  <c r="E57" i="40"/>
  <c r="E62" i="39"/>
  <c r="E16" i="6"/>
  <c r="E61" i="39"/>
  <c r="E56" i="40"/>
  <c r="I109" i="43"/>
  <c r="D105" i="43"/>
  <c r="D102" i="43"/>
  <c r="D104" i="43"/>
  <c r="D107" i="43"/>
  <c r="F107" i="43"/>
  <c r="Q52" i="15"/>
  <c r="F1" i="15"/>
  <c r="W19" i="21"/>
  <c r="AC19" i="21"/>
  <c r="W37" i="21"/>
  <c r="AC37" i="21"/>
  <c r="U37" i="21"/>
  <c r="AB37" i="21"/>
  <c r="U19" i="21"/>
  <c r="AB19" i="21"/>
  <c r="AA17" i="21"/>
  <c r="S17" i="21"/>
  <c r="AB17" i="21"/>
  <c r="U17" i="21"/>
  <c r="AB15" i="21"/>
  <c r="W15" i="21"/>
  <c r="AC15" i="21"/>
  <c r="S15" i="21"/>
  <c r="AA15" i="21"/>
  <c r="S31" i="21"/>
  <c r="AA31" i="21"/>
  <c r="W31" i="21"/>
  <c r="AC31" i="21"/>
  <c r="AB25" i="39"/>
  <c r="U25" i="39"/>
  <c r="AA25" i="39"/>
  <c r="S25" i="39"/>
  <c r="AA17" i="39"/>
  <c r="S17" i="39"/>
  <c r="AB17" i="39"/>
  <c r="U17" i="39"/>
  <c r="AC17" i="39"/>
  <c r="W17" i="39"/>
  <c r="W15" i="39"/>
  <c r="AC15" i="39"/>
  <c r="AA15" i="39"/>
  <c r="S15" i="39"/>
  <c r="U15" i="39"/>
  <c r="AB15" i="39"/>
  <c r="S35" i="39"/>
  <c r="AA35" i="39"/>
  <c r="W35" i="39"/>
  <c r="AC35" i="39"/>
  <c r="B38" i="72"/>
  <c r="D20" i="53"/>
  <c r="B40" i="72" s="1"/>
  <c r="K4" i="4"/>
  <c r="B46" i="48" s="1"/>
  <c r="B4" i="62"/>
  <c r="E20" i="43"/>
  <c r="P28" i="43" s="1"/>
  <c r="K1" i="73"/>
  <c r="D58" i="33"/>
  <c r="E58" i="33" s="1"/>
  <c r="F58" i="33" s="1"/>
  <c r="G58" i="33" s="1"/>
  <c r="H58" i="33" s="1"/>
  <c r="I58" i="33" s="1"/>
  <c r="J58" i="33" s="1"/>
  <c r="K58" i="33" s="1"/>
  <c r="L58" i="33" s="1"/>
  <c r="M58" i="33" s="1"/>
  <c r="N58" i="33" s="1"/>
  <c r="O58" i="33" s="1"/>
  <c r="F7" i="33"/>
  <c r="J7" i="33"/>
  <c r="H7" i="33"/>
  <c r="C48" i="68"/>
  <c r="C30" i="69"/>
  <c r="C30" i="68"/>
  <c r="C28" i="67"/>
  <c r="C28" i="15"/>
  <c r="C48" i="69"/>
  <c r="C77" i="9"/>
  <c r="C74" i="9" s="1"/>
  <c r="C24" i="12"/>
  <c r="D52" i="37"/>
  <c r="E52" i="37" s="1"/>
  <c r="F52" i="37" s="1"/>
  <c r="G52" i="37" s="1"/>
  <c r="H52" i="37" s="1"/>
  <c r="I52" i="37" s="1"/>
  <c r="J52" i="37" s="1"/>
  <c r="K52" i="37" s="1"/>
  <c r="L52" i="37" s="1"/>
  <c r="M52" i="37" s="1"/>
  <c r="N52" i="37" s="1"/>
  <c r="O52" i="37" s="1"/>
  <c r="F7" i="37"/>
  <c r="E59" i="34"/>
  <c r="F59" i="34" s="1"/>
  <c r="G59" i="34" s="1"/>
  <c r="H59" i="34" s="1"/>
  <c r="I59" i="34" s="1"/>
  <c r="J59" i="34" s="1"/>
  <c r="K59" i="34" s="1"/>
  <c r="L59" i="34" s="1"/>
  <c r="M59" i="34" s="1"/>
  <c r="N59" i="34" s="1"/>
  <c r="O59" i="34" s="1"/>
  <c r="H7" i="34"/>
  <c r="E48" i="35"/>
  <c r="F48" i="35" s="1"/>
  <c r="G48" i="35" s="1"/>
  <c r="H48" i="35" s="1"/>
  <c r="I48" i="35" s="1"/>
  <c r="J48" i="35" s="1"/>
  <c r="K48" i="35" s="1"/>
  <c r="L48" i="35" s="1"/>
  <c r="M48" i="35" s="1"/>
  <c r="N48" i="35" s="1"/>
  <c r="O48" i="35" s="1"/>
  <c r="P24" i="43"/>
  <c r="B66" i="40" s="1"/>
  <c r="D58" i="21"/>
  <c r="E58" i="21" s="1"/>
  <c r="F58" i="21" s="1"/>
  <c r="G58" i="21" s="1"/>
  <c r="H58" i="21" s="1"/>
  <c r="I58" i="21" s="1"/>
  <c r="J58" i="21" s="1"/>
  <c r="K58" i="21" s="1"/>
  <c r="L58" i="21" s="1"/>
  <c r="M58" i="21" s="1"/>
  <c r="N58" i="21" s="1"/>
  <c r="O58" i="21" s="1"/>
  <c r="H7" i="21"/>
  <c r="C70" i="39"/>
  <c r="D68" i="39"/>
  <c r="F7" i="36"/>
  <c r="H7" i="36"/>
  <c r="D46" i="36"/>
  <c r="E46" i="36" s="1"/>
  <c r="F46" i="36" s="1"/>
  <c r="G46" i="36" s="1"/>
  <c r="H46" i="36" s="1"/>
  <c r="I46" i="36" s="1"/>
  <c r="J46" i="36" s="1"/>
  <c r="K46" i="36" s="1"/>
  <c r="L46" i="36" s="1"/>
  <c r="M46" i="36" s="1"/>
  <c r="N46" i="36" s="1"/>
  <c r="O46" i="36" s="1"/>
  <c r="J7" i="34"/>
  <c r="H7" i="40"/>
  <c r="F7" i="40"/>
  <c r="C5" i="43"/>
  <c r="D5" i="4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AE8" i="1"/>
  <c r="G1" i="73"/>
  <c r="F102" i="43" l="1"/>
  <c r="I103" i="43"/>
  <c r="I107" i="43"/>
  <c r="J106" i="43"/>
  <c r="N107" i="43"/>
  <c r="M102" i="43"/>
  <c r="G107" i="43"/>
  <c r="L102" i="43"/>
  <c r="L106" i="43"/>
  <c r="L103" i="43"/>
  <c r="D103" i="43"/>
  <c r="D109" i="43"/>
  <c r="K105" i="43"/>
  <c r="K103" i="43"/>
  <c r="K106" i="43"/>
  <c r="E105" i="43"/>
  <c r="E104" i="43"/>
  <c r="H105" i="43"/>
  <c r="H107" i="43"/>
  <c r="H104" i="43"/>
  <c r="B116" i="43"/>
  <c r="C116" i="43" s="1"/>
  <c r="I115" i="43"/>
  <c r="J115" i="43" s="1"/>
  <c r="K115" i="43" s="1"/>
  <c r="L115" i="43" s="1"/>
  <c r="M115" i="43" s="1"/>
  <c r="B118" i="43"/>
  <c r="C118" i="43" s="1"/>
  <c r="B117" i="43"/>
  <c r="C117" i="43" s="1"/>
  <c r="C36" i="69"/>
  <c r="F105" i="43"/>
  <c r="F103" i="43"/>
  <c r="I106" i="43"/>
  <c r="I102" i="43"/>
  <c r="I105" i="43"/>
  <c r="J109" i="43"/>
  <c r="J105" i="43"/>
  <c r="N109" i="43"/>
  <c r="N103" i="43"/>
  <c r="M103" i="43"/>
  <c r="G104" i="43"/>
  <c r="G103" i="43"/>
  <c r="L104" i="43"/>
  <c r="L109" i="43"/>
  <c r="B71" i="72"/>
  <c r="B4" i="72"/>
  <c r="F109" i="43"/>
  <c r="F104" i="43"/>
  <c r="J102" i="43"/>
  <c r="S3" i="43" s="1"/>
  <c r="J107" i="43"/>
  <c r="J103" i="43"/>
  <c r="N102" i="43"/>
  <c r="N104" i="43"/>
  <c r="M105" i="43"/>
  <c r="M104" i="43"/>
  <c r="M106" i="43"/>
  <c r="G106" i="43"/>
  <c r="G109" i="43"/>
  <c r="F27" i="69"/>
  <c r="C47" i="69" s="1"/>
  <c r="D45" i="69" s="1"/>
  <c r="F10" i="40"/>
  <c r="S10" i="40" s="1"/>
  <c r="F28" i="12"/>
  <c r="C29" i="12" s="1"/>
  <c r="D28" i="12" s="1"/>
  <c r="F27" i="11"/>
  <c r="C47" i="68"/>
  <c r="D45" i="68" s="1"/>
  <c r="AY6" i="3"/>
  <c r="AY27" i="3" s="1"/>
  <c r="F10" i="39"/>
  <c r="S10" i="39" s="1"/>
  <c r="N16" i="1"/>
  <c r="F11" i="12" s="1"/>
  <c r="T6" i="1"/>
  <c r="AY498" i="3"/>
  <c r="AY397" i="3"/>
  <c r="AY385" i="3"/>
  <c r="H10" i="39"/>
  <c r="U10" i="39" s="1"/>
  <c r="M19" i="6"/>
  <c r="I19" i="6" s="1"/>
  <c r="AR6" i="1"/>
  <c r="BA6" i="3"/>
  <c r="AY109" i="3"/>
  <c r="AY528" i="3"/>
  <c r="AY321" i="3"/>
  <c r="AY135" i="3"/>
  <c r="C35" i="69"/>
  <c r="AY269" i="3"/>
  <c r="AY160" i="3"/>
  <c r="AY124" i="3"/>
  <c r="AY139" i="3"/>
  <c r="AY141" i="3"/>
  <c r="AY181" i="3"/>
  <c r="AY503" i="3"/>
  <c r="AY423" i="3"/>
  <c r="AY448" i="3"/>
  <c r="AY246" i="3"/>
  <c r="AY60" i="3"/>
  <c r="AY260" i="3"/>
  <c r="AY417" i="3"/>
  <c r="AY29" i="3"/>
  <c r="AY419" i="3"/>
  <c r="AY442" i="3"/>
  <c r="AY323" i="3"/>
  <c r="AY231" i="3"/>
  <c r="AY210" i="3"/>
  <c r="AY446" i="3"/>
  <c r="AY510" i="3"/>
  <c r="AY64" i="3"/>
  <c r="AY113" i="3"/>
  <c r="AY361" i="3"/>
  <c r="AY479" i="3"/>
  <c r="AY402" i="3"/>
  <c r="AY522" i="3"/>
  <c r="BP6" i="3"/>
  <c r="AY19" i="3"/>
  <c r="AY265" i="3"/>
  <c r="AY315" i="3"/>
  <c r="AY500" i="3"/>
  <c r="AY71" i="3"/>
  <c r="AY143" i="3"/>
  <c r="AY386" i="3"/>
  <c r="AY443" i="3"/>
  <c r="BT6" i="3"/>
  <c r="AY69" i="3"/>
  <c r="AY125" i="3"/>
  <c r="AY374" i="3"/>
  <c r="AY145" i="3"/>
  <c r="AY475" i="3"/>
  <c r="AY534" i="3"/>
  <c r="AY96" i="3"/>
  <c r="AY137" i="3"/>
  <c r="AY329" i="3"/>
  <c r="AY407" i="3"/>
  <c r="AY570" i="3"/>
  <c r="AY167" i="3"/>
  <c r="AY314" i="3"/>
  <c r="H10" i="40"/>
  <c r="U10" i="40" s="1"/>
  <c r="J10" i="39"/>
  <c r="AC10" i="39" s="1"/>
  <c r="AY504" i="3"/>
  <c r="AY367" i="3"/>
  <c r="AY38" i="3"/>
  <c r="AY378" i="3"/>
  <c r="AY565" i="3"/>
  <c r="AY223" i="3"/>
  <c r="AY494" i="3"/>
  <c r="AY333" i="3"/>
  <c r="AY230" i="3"/>
  <c r="AY326" i="3"/>
  <c r="AY322" i="3"/>
  <c r="AY195" i="3"/>
  <c r="AY440" i="3"/>
  <c r="AY120" i="3"/>
  <c r="AY530" i="3"/>
  <c r="AY450" i="3"/>
  <c r="AY218" i="3"/>
  <c r="AY112" i="3"/>
  <c r="AY491" i="3"/>
  <c r="AY138" i="3"/>
  <c r="AY523" i="3"/>
  <c r="AY373" i="3"/>
  <c r="AY481" i="3"/>
  <c r="E3" i="6"/>
  <c r="AY201" i="3"/>
  <c r="AY43" i="3"/>
  <c r="AY490" i="3"/>
  <c r="AY184" i="3"/>
  <c r="AY331" i="3"/>
  <c r="AY46" i="3"/>
  <c r="AY410" i="3"/>
  <c r="AY380" i="3"/>
  <c r="AY556" i="3"/>
  <c r="AY527" i="3"/>
  <c r="AY403" i="3"/>
  <c r="AY464" i="3"/>
  <c r="AY325" i="3"/>
  <c r="AY393" i="3"/>
  <c r="AY243" i="3"/>
  <c r="AY130" i="3"/>
  <c r="AY186" i="3"/>
  <c r="AY57" i="3"/>
  <c r="BI6" i="3"/>
  <c r="AY365" i="3"/>
  <c r="AY211" i="3"/>
  <c r="AY254" i="3"/>
  <c r="AY271" i="3"/>
  <c r="AY117" i="3"/>
  <c r="AY157" i="3"/>
  <c r="AY178" i="3"/>
  <c r="AY25" i="3"/>
  <c r="AY53" i="3"/>
  <c r="AY573" i="3"/>
  <c r="AY212" i="3"/>
  <c r="AY363" i="3"/>
  <c r="AY319" i="3"/>
  <c r="AY261" i="3"/>
  <c r="AY196" i="3"/>
  <c r="AY92" i="3"/>
  <c r="AY404" i="3"/>
  <c r="AY199" i="3"/>
  <c r="AY220" i="3"/>
  <c r="AY132" i="3"/>
  <c r="AY34" i="3"/>
  <c r="AY95" i="3"/>
  <c r="AY111" i="3"/>
  <c r="AY382" i="3"/>
  <c r="AY460" i="3"/>
  <c r="AY300" i="3"/>
  <c r="AY327" i="3"/>
  <c r="AY401" i="3"/>
  <c r="BE6" i="3"/>
  <c r="AY45" i="3"/>
  <c r="AY390" i="3"/>
  <c r="AY163" i="3"/>
  <c r="AY155" i="3"/>
  <c r="AY268" i="3"/>
  <c r="AY106" i="3"/>
  <c r="AY452" i="3"/>
  <c r="AY50" i="3"/>
  <c r="AY387" i="3"/>
  <c r="AY276" i="3"/>
  <c r="AY358" i="3"/>
  <c r="AY311" i="3"/>
  <c r="AY228" i="3"/>
  <c r="AY465" i="3"/>
  <c r="AY176" i="3"/>
  <c r="E525" i="3"/>
  <c r="E154" i="3"/>
  <c r="E373" i="3"/>
  <c r="E170" i="3"/>
  <c r="E222" i="3"/>
  <c r="E112" i="3"/>
  <c r="E521" i="3"/>
  <c r="E566" i="3"/>
  <c r="E82" i="3"/>
  <c r="E179" i="3"/>
  <c r="Y6" i="3"/>
  <c r="E52" i="3"/>
  <c r="E194" i="3"/>
  <c r="E110" i="3"/>
  <c r="E155" i="3"/>
  <c r="E125" i="3"/>
  <c r="E223" i="3"/>
  <c r="E548" i="3"/>
  <c r="E367" i="3"/>
  <c r="E554" i="3"/>
  <c r="E435" i="3"/>
  <c r="E417" i="3"/>
  <c r="E56" i="3"/>
  <c r="E95" i="3"/>
  <c r="E132" i="3"/>
  <c r="E258" i="3"/>
  <c r="E273" i="3"/>
  <c r="E316" i="3"/>
  <c r="E377" i="3"/>
  <c r="E334" i="3"/>
  <c r="E572" i="3"/>
  <c r="E30" i="3"/>
  <c r="E109" i="3"/>
  <c r="E480" i="3"/>
  <c r="E484" i="3"/>
  <c r="E467" i="3"/>
  <c r="E98" i="3"/>
  <c r="E65" i="3"/>
  <c r="E138" i="3"/>
  <c r="E195" i="3"/>
  <c r="E163" i="3"/>
  <c r="E248" i="3"/>
  <c r="E209" i="3"/>
  <c r="E266" i="3"/>
  <c r="E307" i="3"/>
  <c r="E386" i="3"/>
  <c r="E354" i="3"/>
  <c r="E584" i="3"/>
  <c r="E66" i="3"/>
  <c r="E24" i="3"/>
  <c r="E48" i="3"/>
  <c r="E87" i="3"/>
  <c r="E127" i="3"/>
  <c r="E250" i="3"/>
  <c r="E284" i="3"/>
  <c r="E341" i="3"/>
  <c r="E216" i="3"/>
  <c r="E477" i="3"/>
  <c r="E413" i="3"/>
  <c r="E39" i="3"/>
  <c r="E187" i="3"/>
  <c r="E241" i="3"/>
  <c r="E363" i="3"/>
  <c r="E389" i="3"/>
  <c r="E76" i="3"/>
  <c r="E462" i="3"/>
  <c r="E96" i="3"/>
  <c r="E129" i="3"/>
  <c r="E174" i="3"/>
  <c r="E275" i="3"/>
  <c r="E324" i="3"/>
  <c r="E342" i="3"/>
  <c r="E35" i="3"/>
  <c r="E34" i="3"/>
  <c r="E206" i="3"/>
  <c r="E251" i="3"/>
  <c r="AF6" i="3"/>
  <c r="E102" i="3"/>
  <c r="E80" i="3"/>
  <c r="E113" i="3"/>
  <c r="E158" i="3"/>
  <c r="E287" i="3"/>
  <c r="E308" i="3"/>
  <c r="E326" i="3"/>
  <c r="E22" i="3"/>
  <c r="E83" i="3"/>
  <c r="E504" i="3"/>
  <c r="E90" i="3"/>
  <c r="E219" i="3"/>
  <c r="E19" i="3"/>
  <c r="E339" i="3"/>
  <c r="E378" i="3"/>
  <c r="E270" i="3"/>
  <c r="E432" i="3"/>
  <c r="E517" i="3"/>
  <c r="E479" i="3"/>
  <c r="E152" i="3"/>
  <c r="E210" i="3"/>
  <c r="E331" i="3"/>
  <c r="E384" i="3"/>
  <c r="E44" i="3"/>
  <c r="E441" i="3"/>
  <c r="E64" i="3"/>
  <c r="E103" i="3"/>
  <c r="E142" i="3"/>
  <c r="E267" i="3"/>
  <c r="E300" i="3"/>
  <c r="E310" i="3"/>
  <c r="E23" i="3"/>
  <c r="E67" i="3"/>
  <c r="E144" i="3"/>
  <c r="E233" i="3"/>
  <c r="E381" i="3"/>
  <c r="E500" i="3"/>
  <c r="E57" i="3"/>
  <c r="E292" i="3"/>
  <c r="E544" i="3"/>
  <c r="E446" i="3"/>
  <c r="E190" i="3"/>
  <c r="E235" i="3"/>
  <c r="E522" i="3"/>
  <c r="E49" i="3"/>
  <c r="E370" i="3"/>
  <c r="E20" i="3"/>
  <c r="E176" i="3"/>
  <c r="E265" i="3"/>
  <c r="E524" i="3"/>
  <c r="E21" i="3"/>
  <c r="E309" i="3"/>
  <c r="E264" i="3"/>
  <c r="E81" i="3"/>
  <c r="E68" i="3"/>
  <c r="E289" i="3"/>
  <c r="E36" i="3"/>
  <c r="E325" i="3"/>
  <c r="E234" i="3"/>
  <c r="E100" i="3"/>
  <c r="E540" i="3"/>
  <c r="E375" i="3"/>
  <c r="E297" i="3"/>
  <c r="E436" i="3"/>
  <c r="E414" i="3"/>
  <c r="E79" i="3"/>
  <c r="E455" i="3"/>
  <c r="E15" i="3"/>
  <c r="E473" i="3"/>
  <c r="E409" i="3"/>
  <c r="E75" i="3"/>
  <c r="E32" i="3"/>
  <c r="E93" i="3"/>
  <c r="E74" i="3"/>
  <c r="E31" i="3"/>
  <c r="E580" i="3"/>
  <c r="E14" i="3"/>
  <c r="E362" i="3"/>
  <c r="E318" i="3"/>
  <c r="E394" i="3"/>
  <c r="E357" i="3"/>
  <c r="E315" i="3"/>
  <c r="E351" i="3"/>
  <c r="E274" i="3"/>
  <c r="E257" i="3"/>
  <c r="E214" i="3"/>
  <c r="E272" i="3"/>
  <c r="E186" i="3"/>
  <c r="E126" i="3"/>
  <c r="E162" i="3"/>
  <c r="E92" i="3"/>
  <c r="E27" i="3"/>
  <c r="E71" i="3"/>
  <c r="E447" i="3"/>
  <c r="E546" i="3"/>
  <c r="E476" i="3"/>
  <c r="E403" i="3"/>
  <c r="AS6" i="3"/>
  <c r="E547" i="3"/>
  <c r="E505" i="3"/>
  <c r="E345" i="3"/>
  <c r="E400" i="3"/>
  <c r="E485" i="3"/>
  <c r="T6" i="3"/>
  <c r="E221" i="3"/>
  <c r="E555" i="3"/>
  <c r="E281" i="3"/>
  <c r="E242" i="3"/>
  <c r="E225" i="3"/>
  <c r="E202" i="3"/>
  <c r="E139" i="3"/>
  <c r="E119" i="3"/>
  <c r="E198" i="3"/>
  <c r="E178" i="3"/>
  <c r="E115" i="3"/>
  <c r="E108" i="3"/>
  <c r="E41" i="3"/>
  <c r="E25" i="3"/>
  <c r="E104" i="3"/>
  <c r="E40" i="3"/>
  <c r="E26" i="3"/>
  <c r="E463" i="3"/>
  <c r="E420" i="3"/>
  <c r="E401" i="3"/>
  <c r="E470" i="3"/>
  <c r="E483" i="3"/>
  <c r="E452" i="3"/>
  <c r="E419" i="3"/>
  <c r="E494" i="3"/>
  <c r="E498" i="3"/>
  <c r="J6" i="3"/>
  <c r="E497" i="3"/>
  <c r="AH6" i="3"/>
  <c r="E556" i="3"/>
  <c r="E374" i="3"/>
  <c r="E459" i="3"/>
  <c r="E416" i="3"/>
  <c r="E398" i="3"/>
  <c r="E487" i="3"/>
  <c r="E464" i="3"/>
  <c r="E529" i="3"/>
  <c r="E369" i="3"/>
  <c r="E140" i="3"/>
  <c r="E380" i="3"/>
  <c r="E337" i="3"/>
  <c r="E562" i="3"/>
  <c r="E344" i="3"/>
  <c r="E288" i="3"/>
  <c r="E465" i="3"/>
  <c r="E457" i="3"/>
  <c r="E424" i="3"/>
  <c r="E438" i="3"/>
  <c r="E406" i="3"/>
  <c r="E527" i="3"/>
  <c r="E481" i="3"/>
  <c r="E474" i="3"/>
  <c r="E472" i="3"/>
  <c r="E458" i="3"/>
  <c r="E405" i="3"/>
  <c r="E564" i="3"/>
  <c r="E393" i="3"/>
  <c r="E116" i="3"/>
  <c r="E85" i="3"/>
  <c r="E91" i="3"/>
  <c r="E231" i="3"/>
  <c r="E561" i="3"/>
  <c r="E143" i="3"/>
  <c r="E388" i="3"/>
  <c r="E268" i="3"/>
  <c r="E411" i="3"/>
  <c r="AO6" i="3"/>
  <c r="E560" i="3"/>
  <c r="Q6" i="3"/>
  <c r="K6" i="3"/>
  <c r="E330" i="3"/>
  <c r="E133" i="3"/>
  <c r="E177" i="3"/>
  <c r="E340" i="3"/>
  <c r="E259" i="3"/>
  <c r="E323" i="3"/>
  <c r="E38" i="3"/>
  <c r="E437" i="3"/>
  <c r="E491" i="3"/>
  <c r="E192" i="3"/>
  <c r="E317" i="3"/>
  <c r="E29" i="3"/>
  <c r="E46" i="3"/>
  <c r="E200" i="3"/>
  <c r="E371" i="3"/>
  <c r="E84" i="3"/>
  <c r="E184" i="3"/>
  <c r="E478" i="3"/>
  <c r="E240" i="3"/>
  <c r="E59" i="3"/>
  <c r="E220" i="3"/>
  <c r="E86" i="3"/>
  <c r="E50" i="3"/>
  <c r="E218" i="3"/>
  <c r="E101" i="3"/>
  <c r="E283" i="3"/>
  <c r="E63" i="3"/>
  <c r="E123" i="3"/>
  <c r="E299" i="3"/>
  <c r="E47" i="3"/>
  <c r="E348" i="3"/>
  <c r="E582" i="3"/>
  <c r="E412" i="3"/>
  <c r="E428" i="3"/>
  <c r="E43" i="3"/>
  <c r="E60" i="3"/>
  <c r="L6" i="3"/>
  <c r="E372" i="3"/>
  <c r="E333" i="3"/>
  <c r="E346" i="3"/>
  <c r="E276" i="3"/>
  <c r="E226" i="3"/>
  <c r="E211" i="3"/>
  <c r="E182" i="3"/>
  <c r="E70" i="3"/>
  <c r="E28" i="3"/>
  <c r="E489" i="3"/>
  <c r="E531" i="3"/>
  <c r="E557" i="3"/>
  <c r="E443" i="3"/>
  <c r="E448" i="3"/>
  <c r="E538" i="3"/>
  <c r="E279" i="3"/>
  <c r="E208" i="3"/>
  <c r="E150" i="3"/>
  <c r="E168" i="3"/>
  <c r="E111" i="3"/>
  <c r="E54" i="3"/>
  <c r="E72" i="3"/>
  <c r="E475" i="3"/>
  <c r="E433" i="3"/>
  <c r="E471" i="3"/>
  <c r="E450" i="3"/>
  <c r="E537" i="3"/>
  <c r="E571" i="3"/>
  <c r="W6" i="3"/>
  <c r="I3" i="6"/>
  <c r="E449" i="3"/>
  <c r="E541" i="3"/>
  <c r="E442" i="3"/>
  <c r="E197" i="3"/>
  <c r="AR6" i="3"/>
  <c r="E376" i="3"/>
  <c r="E490" i="3"/>
  <c r="E440" i="3"/>
  <c r="E422" i="3"/>
  <c r="E507" i="3"/>
  <c r="E486" i="3"/>
  <c r="E427" i="3"/>
  <c r="E493" i="3"/>
  <c r="E238" i="3"/>
  <c r="E185" i="3"/>
  <c r="E533" i="3"/>
  <c r="AJ6" i="3"/>
  <c r="E421" i="3"/>
  <c r="E573" i="3"/>
  <c r="E519" i="3"/>
  <c r="E193" i="3"/>
  <c r="E277" i="3"/>
  <c r="E120" i="3"/>
  <c r="E161" i="3"/>
  <c r="E135" i="3"/>
  <c r="E169" i="3"/>
  <c r="E321" i="3"/>
  <c r="E418" i="3"/>
  <c r="E523" i="3"/>
  <c r="E390" i="3"/>
  <c r="E285" i="3"/>
  <c r="E574" i="3"/>
  <c r="N6" i="3"/>
  <c r="E553" i="3"/>
  <c r="E53" i="3"/>
  <c r="E319" i="3"/>
  <c r="E501" i="3"/>
  <c r="E153" i="3"/>
  <c r="E426" i="3"/>
  <c r="E328" i="3"/>
  <c r="E509" i="3"/>
  <c r="E579" i="3"/>
  <c r="E431" i="3"/>
  <c r="E247" i="3"/>
  <c r="E201" i="3"/>
  <c r="E311" i="3"/>
  <c r="E514" i="3"/>
  <c r="E570" i="3"/>
  <c r="M6" i="3"/>
  <c r="AB6" i="3"/>
  <c r="E387" i="3"/>
  <c r="E335" i="3"/>
  <c r="E215" i="3"/>
  <c r="E189" i="3"/>
  <c r="E134" i="3"/>
  <c r="E188" i="3"/>
  <c r="E228" i="3"/>
  <c r="E181" i="3"/>
  <c r="E157" i="3"/>
  <c r="E149" i="3"/>
  <c r="E77" i="3"/>
  <c r="E212" i="3"/>
  <c r="E253" i="3"/>
  <c r="E167" i="3"/>
  <c r="E199" i="3"/>
  <c r="E141" i="3"/>
  <c r="E286" i="3"/>
  <c r="E312" i="3"/>
  <c r="E575" i="3"/>
  <c r="AD6" i="3"/>
  <c r="E499" i="3"/>
  <c r="E542" i="3"/>
  <c r="R6" i="3"/>
  <c r="E55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392" i="3"/>
  <c r="E51" i="3"/>
  <c r="E147" i="3"/>
  <c r="E460" i="3"/>
  <c r="AP6" i="3"/>
  <c r="E37" i="3"/>
  <c r="E291" i="3"/>
  <c r="AM6" i="3"/>
  <c r="E425" i="3"/>
  <c r="E160" i="3"/>
  <c r="E249" i="3"/>
  <c r="E492" i="3"/>
  <c r="E33" i="3"/>
  <c r="E355" i="3"/>
  <c r="E520" i="3"/>
  <c r="E349" i="3"/>
  <c r="E78" i="3"/>
  <c r="E383" i="3"/>
  <c r="E232" i="3"/>
  <c r="E62" i="3"/>
  <c r="E365" i="3"/>
  <c r="E513" i="3"/>
  <c r="E118" i="3"/>
  <c r="E364" i="3"/>
  <c r="AQ6" i="3"/>
  <c r="E137" i="3"/>
  <c r="E58" i="3"/>
  <c r="E131" i="3"/>
  <c r="E18" i="3"/>
  <c r="E482" i="3"/>
  <c r="E488" i="3"/>
  <c r="E94" i="3"/>
  <c r="E42" i="3"/>
  <c r="AL6" i="3"/>
  <c r="E356" i="3"/>
  <c r="E391" i="3"/>
  <c r="E332" i="3"/>
  <c r="E243" i="3"/>
  <c r="E295" i="3"/>
  <c r="E166" i="3"/>
  <c r="E121" i="3"/>
  <c r="E88" i="3"/>
  <c r="E404" i="3"/>
  <c r="E444" i="3"/>
  <c r="E581" i="3"/>
  <c r="E558" i="3"/>
  <c r="P6" i="3"/>
  <c r="E173" i="3"/>
  <c r="E322" i="3"/>
  <c r="E256" i="3"/>
  <c r="E171" i="3"/>
  <c r="E203" i="3"/>
  <c r="E146" i="3"/>
  <c r="E73" i="3"/>
  <c r="E106" i="3"/>
  <c r="E55" i="3"/>
  <c r="E454" i="3"/>
  <c r="E496" i="3"/>
  <c r="E468" i="3"/>
  <c r="E429" i="3"/>
  <c r="E577" i="3"/>
  <c r="AE6" i="3"/>
  <c r="E587" i="3"/>
  <c r="E255" i="3"/>
  <c r="E430" i="3"/>
  <c r="E466" i="3"/>
  <c r="E534" i="3"/>
  <c r="E254" i="3"/>
  <c r="E526" i="3"/>
  <c r="E360" i="3"/>
  <c r="E451" i="3"/>
  <c r="E408" i="3"/>
  <c r="E512" i="3"/>
  <c r="E469" i="3"/>
  <c r="E456" i="3"/>
  <c r="E543" i="3"/>
  <c r="E105" i="3"/>
  <c r="E180" i="3"/>
  <c r="E439" i="3"/>
  <c r="E410" i="3"/>
  <c r="E217" i="3"/>
  <c r="E502" i="3"/>
  <c r="E532" i="3"/>
  <c r="E313" i="3"/>
  <c r="E224" i="3"/>
  <c r="E45" i="3"/>
  <c r="E117" i="3"/>
  <c r="E290" i="3"/>
  <c r="E61" i="3"/>
  <c r="E298" i="3"/>
  <c r="E338" i="3"/>
  <c r="E506" i="3"/>
  <c r="S6" i="3"/>
  <c r="E97" i="3"/>
  <c r="E359" i="3"/>
  <c r="O6" i="3"/>
  <c r="E282" i="3"/>
  <c r="E366" i="3"/>
  <c r="E175" i="3"/>
  <c r="E530" i="3"/>
  <c r="E343" i="3"/>
  <c r="E305" i="3"/>
  <c r="E508" i="3"/>
  <c r="E239" i="3"/>
  <c r="E516" i="3"/>
  <c r="E569" i="3"/>
  <c r="E396" i="3"/>
  <c r="E229" i="3"/>
  <c r="E151" i="3"/>
  <c r="E358" i="3"/>
  <c r="E559" i="3"/>
  <c r="E551" i="3"/>
  <c r="V6" i="3"/>
  <c r="E407" i="3"/>
  <c r="E320" i="3"/>
  <c r="E294" i="3"/>
  <c r="E230" i="3"/>
  <c r="E130" i="3"/>
  <c r="E236" i="3"/>
  <c r="E148" i="3"/>
  <c r="E269" i="3"/>
  <c r="E122" i="3"/>
  <c r="E89" i="3"/>
  <c r="E207" i="3"/>
  <c r="E252" i="3"/>
  <c r="E271" i="3"/>
  <c r="E204" i="3"/>
  <c r="E145" i="3"/>
  <c r="E164" i="3"/>
  <c r="E107" i="3"/>
  <c r="E327" i="3"/>
  <c r="E379" i="3"/>
  <c r="E576" i="3"/>
  <c r="E585" i="3"/>
  <c r="Z6" i="3"/>
  <c r="U6" i="3"/>
  <c r="AG6" i="3"/>
  <c r="E515" i="3"/>
  <c r="E237" i="3"/>
  <c r="E261" i="3"/>
  <c r="E304" i="3"/>
  <c r="E528" i="3"/>
  <c r="E565" i="3"/>
  <c r="E183" i="3"/>
  <c r="E213" i="3"/>
  <c r="E361" i="3"/>
  <c r="E17" i="3"/>
  <c r="E503" i="3"/>
  <c r="E302" i="3"/>
  <c r="E347" i="3"/>
  <c r="E583" i="3"/>
  <c r="AA6" i="3"/>
  <c r="X6" i="3"/>
  <c r="E399" i="3"/>
  <c r="E336" i="3"/>
  <c r="E280" i="3"/>
  <c r="E246" i="3"/>
  <c r="E293" i="3"/>
  <c r="E314" i="3"/>
  <c r="E511" i="3"/>
  <c r="E16" i="3"/>
  <c r="AK6" i="3"/>
  <c r="E434" i="3"/>
  <c r="E306" i="3"/>
  <c r="E296" i="3"/>
  <c r="E262" i="3"/>
  <c r="E136" i="3"/>
  <c r="E124" i="3"/>
  <c r="E397" i="3"/>
  <c r="E568" i="3"/>
  <c r="I6" i="3"/>
  <c r="E536" i="3"/>
  <c r="E549" i="3"/>
  <c r="E453" i="3"/>
  <c r="E368" i="3"/>
  <c r="E244" i="3"/>
  <c r="E196" i="3"/>
  <c r="E156" i="3"/>
  <c r="S7" i="1"/>
  <c r="AR7" i="1" s="1"/>
  <c r="S8" i="1"/>
  <c r="AB10" i="40"/>
  <c r="C17" i="4"/>
  <c r="B4" i="52" s="1"/>
  <c r="B43" i="72" s="1"/>
  <c r="D14" i="12"/>
  <c r="D17" i="12" s="1"/>
  <c r="C17" i="12" s="1"/>
  <c r="D113" i="43"/>
  <c r="C13" i="12"/>
  <c r="F34" i="11"/>
  <c r="AC10" i="40"/>
  <c r="S4" i="43"/>
  <c r="K27" i="6"/>
  <c r="S6" i="43"/>
  <c r="S23" i="6"/>
  <c r="AA10" i="40"/>
  <c r="AB10" i="39"/>
  <c r="E66" i="39"/>
  <c r="C15" i="12"/>
  <c r="C12" i="12"/>
  <c r="F50" i="11"/>
  <c r="F50" i="68"/>
  <c r="F50" i="69"/>
  <c r="O28" i="43"/>
  <c r="M28" i="43"/>
  <c r="N28" i="43"/>
  <c r="B40" i="1"/>
  <c r="F22" i="68" s="1"/>
  <c r="U7" i="40"/>
  <c r="AB7" i="40"/>
  <c r="T42" i="40" s="1"/>
  <c r="G42" i="40" s="1"/>
  <c r="AC7" i="34"/>
  <c r="V49" i="34" s="1"/>
  <c r="I49" i="34" s="1"/>
  <c r="W7" i="34"/>
  <c r="U7" i="36"/>
  <c r="AB7" i="36"/>
  <c r="T36" i="36" s="1"/>
  <c r="G36" i="36" s="1"/>
  <c r="S7" i="36"/>
  <c r="AA7" i="36"/>
  <c r="R36" i="36" s="1"/>
  <c r="U7" i="21"/>
  <c r="AB7" i="21"/>
  <c r="T48" i="21" s="1"/>
  <c r="G48" i="21" s="1"/>
  <c r="U7" i="34"/>
  <c r="AB7" i="34"/>
  <c r="T49" i="34" s="1"/>
  <c r="G49" i="34" s="1"/>
  <c r="S7" i="37"/>
  <c r="AA7" i="37"/>
  <c r="R42" i="37" s="1"/>
  <c r="AB7" i="33"/>
  <c r="T48" i="33" s="1"/>
  <c r="G48" i="33" s="1"/>
  <c r="U7" i="33"/>
  <c r="S7" i="33"/>
  <c r="AA7" i="33"/>
  <c r="R48" i="33" s="1"/>
  <c r="S7" i="40"/>
  <c r="AA7" i="40"/>
  <c r="R42" i="40" s="1"/>
  <c r="J7" i="35"/>
  <c r="J7" i="36"/>
  <c r="D70" i="39"/>
  <c r="E68" i="39"/>
  <c r="F7" i="21"/>
  <c r="J7" i="21"/>
  <c r="F7" i="35"/>
  <c r="H7" i="35"/>
  <c r="F7" i="34"/>
  <c r="J7" i="37"/>
  <c r="H7" i="37"/>
  <c r="W7" i="33"/>
  <c r="AC7" i="33"/>
  <c r="V48" i="33" s="1"/>
  <c r="I48" i="33" s="1"/>
  <c r="D6" i="71"/>
  <c r="M20" i="43" s="1"/>
  <c r="C19" i="43" s="1"/>
  <c r="C19" i="67"/>
  <c r="C20" i="67" s="1"/>
  <c r="C26" i="67" s="1"/>
  <c r="J24" i="67"/>
  <c r="J26" i="67"/>
  <c r="J29" i="67" s="1"/>
  <c r="J18" i="67"/>
  <c r="C53" i="67"/>
  <c r="C48" i="67" s="1"/>
  <c r="C10" i="67"/>
  <c r="C5" i="67" s="1"/>
  <c r="J24" i="15"/>
  <c r="J18" i="15"/>
  <c r="J26" i="15"/>
  <c r="C53" i="15"/>
  <c r="C48" i="15" s="1"/>
  <c r="C10" i="15"/>
  <c r="C5" i="15" s="1"/>
  <c r="C17" i="15"/>
  <c r="F41" i="15"/>
  <c r="T7" i="1" l="1"/>
  <c r="E8" i="70"/>
  <c r="E2" i="70" s="1"/>
  <c r="AY308" i="3"/>
  <c r="AY422" i="3"/>
  <c r="AY516" i="3"/>
  <c r="AY559" i="3"/>
  <c r="AY259" i="3"/>
  <c r="AY487" i="3"/>
  <c r="D3" i="6"/>
  <c r="E61" i="40" s="1"/>
  <c r="AY280" i="3"/>
  <c r="AY517" i="3"/>
  <c r="AY241" i="3"/>
  <c r="AY511" i="3"/>
  <c r="AY100" i="3"/>
  <c r="AY59" i="3"/>
  <c r="AY441" i="3"/>
  <c r="AY85" i="3"/>
  <c r="AY324" i="3"/>
  <c r="AY405" i="3"/>
  <c r="AY24" i="3"/>
  <c r="AY561" i="3"/>
  <c r="AY142" i="3"/>
  <c r="AY336" i="3"/>
  <c r="AY17" i="3"/>
  <c r="AY47" i="3"/>
  <c r="AY383" i="3"/>
  <c r="AY576" i="3"/>
  <c r="AY272" i="3"/>
  <c r="AY15" i="3"/>
  <c r="AY154" i="3"/>
  <c r="AY56" i="3"/>
  <c r="AY411" i="3"/>
  <c r="AY189" i="3"/>
  <c r="AY458" i="3"/>
  <c r="AY78" i="3"/>
  <c r="AY560" i="3"/>
  <c r="AY119" i="3"/>
  <c r="AY459" i="3"/>
  <c r="AY558" i="3"/>
  <c r="AY232" i="3"/>
  <c r="AY94" i="3"/>
  <c r="AY502" i="3"/>
  <c r="AY468" i="3"/>
  <c r="AY266" i="3"/>
  <c r="AY194" i="3"/>
  <c r="AY501" i="3"/>
  <c r="AY398" i="3"/>
  <c r="AY353" i="3"/>
  <c r="AY73" i="3"/>
  <c r="AY262" i="3"/>
  <c r="AY185" i="3"/>
  <c r="AY229" i="3"/>
  <c r="AY521" i="3"/>
  <c r="AY307" i="3"/>
  <c r="AY257" i="3"/>
  <c r="AY200" i="3"/>
  <c r="AY568" i="3"/>
  <c r="AY451" i="3"/>
  <c r="AY394" i="3"/>
  <c r="AY151" i="3"/>
  <c r="AY79" i="3"/>
  <c r="AY551" i="3"/>
  <c r="AY505" i="3"/>
  <c r="AY445" i="3"/>
  <c r="AY305" i="3"/>
  <c r="AY250" i="3"/>
  <c r="AY174" i="3"/>
  <c r="AY519" i="3"/>
  <c r="BM6" i="3"/>
  <c r="AY332" i="3"/>
  <c r="AY104" i="3"/>
  <c r="AY206" i="3"/>
  <c r="AY376" i="3"/>
  <c r="AY532" i="3"/>
  <c r="AY341" i="3"/>
  <c r="AY227" i="3"/>
  <c r="AY425" i="3"/>
  <c r="AY371" i="3"/>
  <c r="AY41" i="3"/>
  <c r="AY170" i="3"/>
  <c r="AY469" i="3"/>
  <c r="AY496" i="3"/>
  <c r="AY309" i="3"/>
  <c r="AY384" i="3"/>
  <c r="AY539" i="3"/>
  <c r="AY244" i="3"/>
  <c r="AY26" i="3"/>
  <c r="AY58" i="3"/>
  <c r="BK6" i="3"/>
  <c r="AY116" i="3"/>
  <c r="AY581" i="3"/>
  <c r="AY110" i="3"/>
  <c r="AY413" i="3"/>
  <c r="AY37" i="3"/>
  <c r="AY159" i="3"/>
  <c r="AY328" i="3"/>
  <c r="AY421" i="3"/>
  <c r="AY542" i="3"/>
  <c r="F69" i="15"/>
  <c r="J29" i="15"/>
  <c r="S2" i="43"/>
  <c r="T2" i="43" s="1"/>
  <c r="V2" i="43" s="1"/>
  <c r="C23" i="43"/>
  <c r="C21" i="43" s="1"/>
  <c r="M27" i="6"/>
  <c r="S5" i="43"/>
  <c r="S7" i="43"/>
  <c r="M19" i="9"/>
  <c r="C118" i="9" s="1"/>
  <c r="C14" i="74" s="1"/>
  <c r="W10" i="39"/>
  <c r="H22" i="6"/>
  <c r="AA10" i="39"/>
  <c r="T8" i="1"/>
  <c r="T16" i="1" s="1"/>
  <c r="H21" i="6"/>
  <c r="C29" i="69"/>
  <c r="D27" i="69" s="1"/>
  <c r="AY173" i="3"/>
  <c r="AY209" i="3"/>
  <c r="AY42" i="3"/>
  <c r="AY108" i="3"/>
  <c r="AY90" i="3"/>
  <c r="AY114" i="3"/>
  <c r="AY357" i="3"/>
  <c r="AY299" i="3"/>
  <c r="AY379" i="3"/>
  <c r="AY148" i="3"/>
  <c r="AY192" i="3"/>
  <c r="AY345" i="3"/>
  <c r="AY520" i="3"/>
  <c r="AY449" i="3"/>
  <c r="AY258" i="3"/>
  <c r="BB6" i="3"/>
  <c r="AY255" i="3"/>
  <c r="AY198" i="3"/>
  <c r="AY455" i="3"/>
  <c r="AY61" i="3"/>
  <c r="AY31" i="3"/>
  <c r="AY236" i="3"/>
  <c r="AY420" i="3"/>
  <c r="AY237" i="3"/>
  <c r="AY342" i="3"/>
  <c r="AY180" i="3"/>
  <c r="AY444" i="3"/>
  <c r="AY310" i="3"/>
  <c r="AY215" i="3"/>
  <c r="AY554" i="3"/>
  <c r="AY205" i="3"/>
  <c r="AY399" i="3"/>
  <c r="AY216" i="3"/>
  <c r="AY288" i="3"/>
  <c r="AY190" i="3"/>
  <c r="AY430" i="3"/>
  <c r="AY471" i="3"/>
  <c r="AY437" i="3"/>
  <c r="AY306" i="3"/>
  <c r="AY44" i="3"/>
  <c r="AY457" i="3"/>
  <c r="AY548" i="3"/>
  <c r="AY474" i="3"/>
  <c r="AY101" i="3"/>
  <c r="C47" i="11"/>
  <c r="D45" i="11" s="1"/>
  <c r="C29" i="11"/>
  <c r="D27" i="11" s="1"/>
  <c r="AY245" i="3"/>
  <c r="AY168" i="3"/>
  <c r="AY438" i="3"/>
  <c r="AY290" i="3"/>
  <c r="AY122" i="3"/>
  <c r="AY564" i="3"/>
  <c r="AY347" i="3"/>
  <c r="AY208" i="3"/>
  <c r="AY133" i="3"/>
  <c r="AY585" i="3"/>
  <c r="AY439" i="3"/>
  <c r="AY587" i="3"/>
  <c r="AY416" i="3"/>
  <c r="AY409" i="3"/>
  <c r="AY297" i="3"/>
  <c r="AY335" i="3"/>
  <c r="AY225" i="3"/>
  <c r="AY193" i="3"/>
  <c r="AY277" i="3"/>
  <c r="AY546" i="3"/>
  <c r="AY304" i="3"/>
  <c r="AY30" i="3"/>
  <c r="AY102" i="3"/>
  <c r="AY583" i="3"/>
  <c r="AY166" i="3"/>
  <c r="AY169" i="3"/>
  <c r="AY187" i="3"/>
  <c r="AY273" i="3"/>
  <c r="F34" i="68"/>
  <c r="C34" i="68" s="1"/>
  <c r="L19" i="9"/>
  <c r="D25" i="6"/>
  <c r="H24" i="6"/>
  <c r="AY82" i="3"/>
  <c r="AY98" i="3"/>
  <c r="AY188" i="3"/>
  <c r="AY541" i="3"/>
  <c r="AY470" i="3"/>
  <c r="AY66" i="3"/>
  <c r="AY535" i="3"/>
  <c r="AY569" i="3"/>
  <c r="AY395" i="3"/>
  <c r="AY318" i="3"/>
  <c r="AY131" i="3"/>
  <c r="AY83" i="3"/>
  <c r="AY334" i="3"/>
  <c r="AY574" i="3"/>
  <c r="AY103" i="3"/>
  <c r="AY544" i="3"/>
  <c r="AY463" i="3"/>
  <c r="AY217" i="3"/>
  <c r="AY529" i="3"/>
  <c r="AY303" i="3"/>
  <c r="AY253" i="3"/>
  <c r="AY152" i="3"/>
  <c r="AY144" i="3"/>
  <c r="AY87" i="3"/>
  <c r="AY292" i="3"/>
  <c r="AY486" i="3"/>
  <c r="AY355" i="3"/>
  <c r="BO6" i="3"/>
  <c r="AY76" i="3"/>
  <c r="AY191" i="3"/>
  <c r="AY183" i="3"/>
  <c r="AY289" i="3"/>
  <c r="AY497" i="3"/>
  <c r="AY478" i="3"/>
  <c r="AY89"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287" i="3"/>
  <c r="AY313" i="3"/>
  <c r="AY453" i="3"/>
  <c r="AY579" i="3"/>
  <c r="AY99" i="3"/>
  <c r="AY156" i="3"/>
  <c r="AY221" i="3"/>
  <c r="AY456" i="3"/>
  <c r="AY91" i="3"/>
  <c r="AY128" i="3"/>
  <c r="AY391" i="3"/>
  <c r="AY429" i="3"/>
  <c r="AY123" i="3"/>
  <c r="AY436" i="3"/>
  <c r="AY28" i="3"/>
  <c r="AY77" i="3"/>
  <c r="AY207" i="3"/>
  <c r="AY284" i="3"/>
  <c r="AY134" i="3"/>
  <c r="AY161" i="3"/>
  <c r="AY580" i="3"/>
  <c r="AY499" i="3"/>
  <c r="BD6" i="3"/>
  <c r="AY214" i="3"/>
  <c r="AY377" i="3"/>
  <c r="AY414" i="3"/>
  <c r="AY16" i="3"/>
  <c r="AY32" i="3"/>
  <c r="AY298" i="3"/>
  <c r="AY352" i="3"/>
  <c r="AY492" i="3"/>
  <c r="AY431" i="3"/>
  <c r="AY575" i="3"/>
  <c r="AY563" i="3"/>
  <c r="AY203" i="3"/>
  <c r="AY233" i="3"/>
  <c r="AY330" i="3"/>
  <c r="AY13" i="3"/>
  <c r="AY39" i="3"/>
  <c r="AY136" i="3"/>
  <c r="AY375" i="3"/>
  <c r="AY432" i="3"/>
  <c r="AY567" i="3"/>
  <c r="AY52" i="3"/>
  <c r="AY283" i="3"/>
  <c r="AY360" i="3"/>
  <c r="AY295" i="3"/>
  <c r="AY472" i="3"/>
  <c r="AY571" i="3"/>
  <c r="AY65" i="3"/>
  <c r="AY129" i="3"/>
  <c r="AY344" i="3"/>
  <c r="AY506" i="3"/>
  <c r="AY531" i="3"/>
  <c r="AY127" i="3"/>
  <c r="AY466" i="3"/>
  <c r="AY86" i="3"/>
  <c r="AY179" i="3"/>
  <c r="AY256" i="3"/>
  <c r="AY338" i="3"/>
  <c r="AY550" i="3"/>
  <c r="AY512" i="3"/>
  <c r="AY424" i="3"/>
  <c r="AY362" i="3"/>
  <c r="AY285" i="3"/>
  <c r="AY35" i="3"/>
  <c r="AY578" i="3"/>
  <c r="AY509" i="3"/>
  <c r="AY14" i="3"/>
  <c r="AY426" i="3"/>
  <c r="AY312" i="3"/>
  <c r="AY369" i="3"/>
  <c r="AY282" i="3"/>
  <c r="AY158" i="3"/>
  <c r="AY48" i="3"/>
  <c r="AY582" i="3"/>
  <c r="AY495" i="3"/>
  <c r="BQ6" i="3"/>
  <c r="AY462" i="3"/>
  <c r="AY348" i="3"/>
  <c r="AY242" i="3"/>
  <c r="AY202" i="3"/>
  <c r="BH6" i="3"/>
  <c r="AY219" i="3"/>
  <c r="AY278" i="3"/>
  <c r="AY165" i="3"/>
  <c r="AY33" i="3"/>
  <c r="AY557" i="3"/>
  <c r="AY252"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584" i="3"/>
  <c r="BF6" i="3"/>
  <c r="AY427" i="3"/>
  <c r="AY488" i="3"/>
  <c r="AY349" i="3"/>
  <c r="AY177" i="3"/>
  <c r="AY381" i="3"/>
  <c r="AY118" i="3"/>
  <c r="AY489" i="3"/>
  <c r="AY70" i="3"/>
  <c r="AY63" i="3"/>
  <c r="AY234" i="3"/>
  <c r="AY536" i="3"/>
  <c r="AY480" i="3"/>
  <c r="AY275" i="3"/>
  <c r="AY507" i="3"/>
  <c r="AY286" i="3"/>
  <c r="AY20" i="3"/>
  <c r="AY204" i="3"/>
  <c r="AY97" i="3"/>
  <c r="AY18" i="3"/>
  <c r="AY366" i="3"/>
  <c r="AY549" i="3"/>
  <c r="AY171" i="3"/>
  <c r="AY513" i="3"/>
  <c r="AY433" i="3"/>
  <c r="AY274" i="3"/>
  <c r="AY197" i="3"/>
  <c r="BJ6" i="3"/>
  <c r="AY392" i="3"/>
  <c r="AY263" i="3"/>
  <c r="AY149" i="3"/>
  <c r="AY84" i="3"/>
  <c r="AY586" i="3"/>
  <c r="AY224" i="3"/>
  <c r="BL6" i="3"/>
  <c r="AY264" i="3"/>
  <c r="BR6" i="3"/>
  <c r="AY484" i="3"/>
  <c r="AY80" i="3"/>
  <c r="AY543" i="3"/>
  <c r="AY572" i="3"/>
  <c r="AY406" i="3"/>
  <c r="AY483" i="3"/>
  <c r="AY370" i="3"/>
  <c r="AY121" i="3"/>
  <c r="AY72" i="3"/>
  <c r="AY368" i="3"/>
  <c r="AY238" i="3"/>
  <c r="AY291" i="3"/>
  <c r="AY162" i="3"/>
  <c r="AY68" i="3"/>
  <c r="AY343" i="3"/>
  <c r="AY74" i="3"/>
  <c r="AY67" i="3"/>
  <c r="AY562" i="3"/>
  <c r="AY350" i="3"/>
  <c r="AY51" i="3"/>
  <c r="AY281" i="3"/>
  <c r="AY473" i="3"/>
  <c r="AY372" i="3"/>
  <c r="AY533" i="3"/>
  <c r="AY447" i="3"/>
  <c r="AY23" i="3"/>
  <c r="AY428" i="3"/>
  <c r="AY553" i="3"/>
  <c r="AY115" i="3"/>
  <c r="AY75" i="3"/>
  <c r="AY555" i="3"/>
  <c r="AY147" i="3"/>
  <c r="AY270" i="3"/>
  <c r="AY552" i="3"/>
  <c r="AY540" i="3"/>
  <c r="AY317" i="3"/>
  <c r="AY514" i="3"/>
  <c r="AY235" i="3"/>
  <c r="AY461" i="3"/>
  <c r="AY537" i="3"/>
  <c r="AY140" i="3"/>
  <c r="AY482" i="3"/>
  <c r="AY22" i="3"/>
  <c r="AY339" i="3"/>
  <c r="AY412" i="3"/>
  <c r="AY247" i="3"/>
  <c r="AY388" i="3"/>
  <c r="BG6" i="3"/>
  <c r="AY251" i="3"/>
  <c r="AY524" i="3"/>
  <c r="AY249" i="3"/>
  <c r="AY55" i="3"/>
  <c r="AY213" i="3"/>
  <c r="BC6" i="3"/>
  <c r="AY526" i="3"/>
  <c r="AY88" i="3"/>
  <c r="AY294" i="3"/>
  <c r="AY49" i="3"/>
  <c r="AY418" i="3"/>
  <c r="AY296" i="3"/>
  <c r="AY175" i="3"/>
  <c r="AY105" i="3"/>
  <c r="AY316" i="3"/>
  <c r="AY364" i="3"/>
  <c r="AY346" i="3"/>
  <c r="AY354" i="3"/>
  <c r="D21" i="6"/>
  <c r="R21" i="6" s="1"/>
  <c r="R8" i="1" s="1"/>
  <c r="AQ8" i="1"/>
  <c r="AR8" i="1"/>
  <c r="D19" i="11"/>
  <c r="C19" i="11" s="1"/>
  <c r="C20" i="11" s="1"/>
  <c r="C28" i="11" s="1"/>
  <c r="C27" i="11" s="1"/>
  <c r="D19" i="6"/>
  <c r="D14" i="6"/>
  <c r="D11" i="6"/>
  <c r="D10" i="6"/>
  <c r="D23" i="6"/>
  <c r="S16" i="1"/>
  <c r="H6" i="3"/>
  <c r="D3" i="33"/>
  <c r="D3" i="34"/>
  <c r="M18" i="9"/>
  <c r="B118" i="9" s="1"/>
  <c r="B14" i="74" s="1"/>
  <c r="E6" i="6"/>
  <c r="D37" i="11"/>
  <c r="C37" i="11" s="1"/>
  <c r="D3" i="37"/>
  <c r="L18" i="9"/>
  <c r="AC6" i="3"/>
  <c r="E6" i="3" s="1"/>
  <c r="D29" i="6"/>
  <c r="AQ7" i="1"/>
  <c r="C14" i="12"/>
  <c r="C16" i="12" s="1"/>
  <c r="C34" i="11"/>
  <c r="C36" i="11"/>
  <c r="F24" i="67"/>
  <c r="C24" i="67" s="1"/>
  <c r="C19" i="68"/>
  <c r="I27" i="6"/>
  <c r="S19" i="6"/>
  <c r="S27" i="6" s="1"/>
  <c r="F25" i="12"/>
  <c r="F22" i="11"/>
  <c r="F24" i="15"/>
  <c r="C24" i="15" s="1"/>
  <c r="F22" i="69"/>
  <c r="I52" i="33"/>
  <c r="J52" i="33" s="1"/>
  <c r="AC7" i="37"/>
  <c r="V42" i="37" s="1"/>
  <c r="I42" i="37" s="1"/>
  <c r="W7" i="37"/>
  <c r="AB7" i="35"/>
  <c r="T38" i="35" s="1"/>
  <c r="G38" i="35" s="1"/>
  <c r="U7" i="35"/>
  <c r="W7" i="21"/>
  <c r="AC7" i="21"/>
  <c r="V48" i="21" s="1"/>
  <c r="I48" i="21" s="1"/>
  <c r="G53" i="21" s="1"/>
  <c r="H53" i="21" s="1"/>
  <c r="F68" i="39"/>
  <c r="E70" i="39"/>
  <c r="W7" i="36"/>
  <c r="AC7" i="36"/>
  <c r="V36" i="36" s="1"/>
  <c r="I36" i="36" s="1"/>
  <c r="E42" i="40"/>
  <c r="R43" i="40"/>
  <c r="E48" i="33"/>
  <c r="R49" i="33"/>
  <c r="E42" i="37"/>
  <c r="R43" i="37"/>
  <c r="G53" i="34"/>
  <c r="H53" i="34" s="1"/>
  <c r="G54" i="34"/>
  <c r="H54" i="34" s="1"/>
  <c r="G52" i="21"/>
  <c r="H52" i="21" s="1"/>
  <c r="I53" i="34"/>
  <c r="J53" i="34" s="1"/>
  <c r="AB7" i="37"/>
  <c r="T42" i="37" s="1"/>
  <c r="G42" i="37" s="1"/>
  <c r="U7" i="37"/>
  <c r="S7" i="34"/>
  <c r="AA7" i="34"/>
  <c r="R49" i="34" s="1"/>
  <c r="S7" i="35"/>
  <c r="AA7" i="35"/>
  <c r="R38" i="35" s="1"/>
  <c r="S7" i="21"/>
  <c r="AA7" i="21"/>
  <c r="R48" i="21" s="1"/>
  <c r="AC7" i="35"/>
  <c r="V38" i="35" s="1"/>
  <c r="I38" i="35" s="1"/>
  <c r="W7" i="35"/>
  <c r="G52" i="33"/>
  <c r="H52" i="33" s="1"/>
  <c r="G53" i="33"/>
  <c r="H53" i="33" s="1"/>
  <c r="E36" i="36"/>
  <c r="R37" i="36"/>
  <c r="G40" i="36"/>
  <c r="H40" i="36" s="1"/>
  <c r="G41" i="36"/>
  <c r="H41" i="36" s="1"/>
  <c r="G46" i="40"/>
  <c r="H46" i="40" s="1"/>
  <c r="G47" i="40"/>
  <c r="H47" i="40" s="1"/>
  <c r="C37" i="43"/>
  <c r="T14" i="43"/>
  <c r="V14" i="43" s="1"/>
  <c r="T13" i="43"/>
  <c r="V13" i="43" s="1"/>
  <c r="T4" i="43"/>
  <c r="V4" i="43" s="1"/>
  <c r="C35" i="43"/>
  <c r="C34" i="43"/>
  <c r="T8" i="43"/>
  <c r="V8" i="43" s="1"/>
  <c r="T11" i="43"/>
  <c r="V11" i="43" s="1"/>
  <c r="C36" i="43"/>
  <c r="T10" i="43"/>
  <c r="V10"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66" i="15"/>
  <c r="C60" i="15"/>
  <c r="C60" i="67"/>
  <c r="C66" i="67"/>
  <c r="C38" i="67"/>
  <c r="C32" i="67"/>
  <c r="C14" i="15"/>
  <c r="F35" i="15"/>
  <c r="M21" i="15"/>
  <c r="H19" i="6" l="1"/>
  <c r="D8" i="6"/>
  <c r="D9" i="6"/>
  <c r="H20" i="6"/>
  <c r="D15" i="6"/>
  <c r="D20" i="6"/>
  <c r="D24" i="6"/>
  <c r="R24" i="6" s="1"/>
  <c r="D13" i="6"/>
  <c r="H26" i="6"/>
  <c r="D22" i="6"/>
  <c r="R22" i="6" s="1"/>
  <c r="C18" i="4"/>
  <c r="D5" i="6"/>
  <c r="H25" i="6"/>
  <c r="D12" i="6"/>
  <c r="C18" i="15"/>
  <c r="C15" i="15"/>
  <c r="D26" i="6"/>
  <c r="R26" i="6" s="1"/>
  <c r="D28" i="6"/>
  <c r="D30" i="6" s="1"/>
  <c r="H23" i="6"/>
  <c r="R23" i="6" s="1"/>
  <c r="J20" i="15"/>
  <c r="F63" i="15"/>
  <c r="C62" i="15" s="1"/>
  <c r="C34" i="15"/>
  <c r="D27" i="6"/>
  <c r="A10" i="51"/>
  <c r="B9" i="72" s="1"/>
  <c r="R25" i="6"/>
  <c r="C36" i="68"/>
  <c r="D16" i="6"/>
  <c r="R20" i="6"/>
  <c r="R7" i="1" s="1"/>
  <c r="D10" i="11"/>
  <c r="C10" i="11" s="1"/>
  <c r="D20" i="12"/>
  <c r="C20" i="12" s="1"/>
  <c r="D6" i="6"/>
  <c r="D10" i="68"/>
  <c r="D10" i="69"/>
  <c r="C23" i="67"/>
  <c r="C29" i="67" s="1"/>
  <c r="J14" i="67" s="1"/>
  <c r="C38" i="11"/>
  <c r="C35" i="11"/>
  <c r="C38" i="68"/>
  <c r="C35" i="68"/>
  <c r="H27" i="6"/>
  <c r="R19" i="6"/>
  <c r="C26" i="12"/>
  <c r="D25" i="12" s="1"/>
  <c r="C26" i="11"/>
  <c r="D22" i="11" s="1"/>
  <c r="C25" i="11"/>
  <c r="C44" i="11"/>
  <c r="D41" i="11" s="1"/>
  <c r="C24" i="11"/>
  <c r="C23" i="11"/>
  <c r="C44" i="69"/>
  <c r="D41" i="69" s="1"/>
  <c r="C26" i="69"/>
  <c r="D22" i="69" s="1"/>
  <c r="E40" i="36"/>
  <c r="F40" i="36" s="1"/>
  <c r="E41" i="36"/>
  <c r="F41" i="36" s="1"/>
  <c r="I42" i="35"/>
  <c r="J42" i="35" s="1"/>
  <c r="I43" i="35"/>
  <c r="J43" i="35" s="1"/>
  <c r="G47" i="37"/>
  <c r="H47" i="37" s="1"/>
  <c r="G46" i="37"/>
  <c r="H46" i="37" s="1"/>
  <c r="E46" i="37"/>
  <c r="F46" i="37" s="1"/>
  <c r="E47" i="37"/>
  <c r="F47" i="37" s="1"/>
  <c r="E53" i="33"/>
  <c r="F53" i="33" s="1"/>
  <c r="E52" i="33"/>
  <c r="F52" i="33" s="1"/>
  <c r="E46" i="40"/>
  <c r="F46" i="40" s="1"/>
  <c r="I47" i="40"/>
  <c r="J47" i="40" s="1"/>
  <c r="E47" i="40"/>
  <c r="F47" i="40" s="1"/>
  <c r="F70" i="39"/>
  <c r="G68" i="39"/>
  <c r="G43" i="35"/>
  <c r="H43" i="35" s="1"/>
  <c r="G42" i="35"/>
  <c r="H42" i="35" s="1"/>
  <c r="I47" i="37"/>
  <c r="J47" i="37" s="1"/>
  <c r="I46" i="37"/>
  <c r="J46" i="37" s="1"/>
  <c r="I53" i="33"/>
  <c r="J53" i="33" s="1"/>
  <c r="C36" i="36"/>
  <c r="C37" i="36"/>
  <c r="B2" i="36" s="1"/>
  <c r="B3" i="36" s="1"/>
  <c r="E48" i="21"/>
  <c r="I53" i="21" s="1"/>
  <c r="J53" i="21" s="1"/>
  <c r="R49" i="21"/>
  <c r="E38" i="35"/>
  <c r="R39" i="35"/>
  <c r="R50" i="34"/>
  <c r="E49" i="34"/>
  <c r="C42" i="37"/>
  <c r="C43" i="37"/>
  <c r="B2" i="37" s="1"/>
  <c r="B3" i="37" s="1"/>
  <c r="C49" i="33"/>
  <c r="B2" i="33" s="1"/>
  <c r="B3" i="33" s="1"/>
  <c r="C48" i="33"/>
  <c r="C42" i="40"/>
  <c r="C43" i="40"/>
  <c r="I41" i="36"/>
  <c r="J41" i="36" s="1"/>
  <c r="I40" i="36"/>
  <c r="J40" i="36" s="1"/>
  <c r="I52" i="21"/>
  <c r="J52"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 i="52" l="1"/>
  <c r="B45" i="72" s="1"/>
  <c r="A7" i="51"/>
  <c r="B7" i="72" s="1"/>
  <c r="D31" i="6"/>
  <c r="I6" i="6" s="1"/>
  <c r="C19" i="15"/>
  <c r="C20" i="15" s="1"/>
  <c r="C10" i="68"/>
  <c r="B29" i="1" s="1"/>
  <c r="C8" i="68" s="1"/>
  <c r="D19" i="68"/>
  <c r="D37" i="68" s="1"/>
  <c r="C37" i="68" s="1"/>
  <c r="C33" i="68" s="1"/>
  <c r="C39" i="68" s="1"/>
  <c r="C43" i="68" s="1"/>
  <c r="C10" i="69"/>
  <c r="C8" i="69" s="1"/>
  <c r="C5" i="69" s="1"/>
  <c r="C23" i="69" s="1"/>
  <c r="D19" i="69"/>
  <c r="I5" i="6"/>
  <c r="C33" i="11"/>
  <c r="C39" i="11" s="1"/>
  <c r="C46" i="11" s="1"/>
  <c r="C45" i="11" s="1"/>
  <c r="J19" i="67"/>
  <c r="J17" i="67" s="1"/>
  <c r="C33" i="67"/>
  <c r="C31" i="67" s="1"/>
  <c r="C36" i="67"/>
  <c r="C57" i="67"/>
  <c r="C61" i="67" s="1"/>
  <c r="C59" i="67" s="1"/>
  <c r="J59" i="67"/>
  <c r="J60" i="67" s="1"/>
  <c r="Q48" i="67" s="1"/>
  <c r="Q49" i="67"/>
  <c r="C13" i="67"/>
  <c r="C75" i="67" s="1"/>
  <c r="C22" i="11"/>
  <c r="C31" i="11" s="1"/>
  <c r="R27" i="6"/>
  <c r="R6" i="1"/>
  <c r="R16" i="1" s="1"/>
  <c r="C33" i="15"/>
  <c r="C31" i="15" s="1"/>
  <c r="J59" i="15"/>
  <c r="J60" i="15" s="1"/>
  <c r="Q48" i="1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54" i="34"/>
  <c r="F54" i="34" s="1"/>
  <c r="E53" i="34"/>
  <c r="F53" i="34" s="1"/>
  <c r="I54" i="34"/>
  <c r="J54" i="34" s="1"/>
  <c r="C38" i="35"/>
  <c r="C39" i="35"/>
  <c r="B2" i="35" s="1"/>
  <c r="B3" i="35" s="1"/>
  <c r="C48" i="21"/>
  <c r="C49" i="21"/>
  <c r="B2" i="21" s="1"/>
  <c r="B3" i="21" s="1"/>
  <c r="D6" i="12" s="1"/>
  <c r="C50" i="34"/>
  <c r="B2" i="34" s="1"/>
  <c r="B3" i="34" s="1"/>
  <c r="C49" i="34"/>
  <c r="E42" i="35"/>
  <c r="F42" i="35" s="1"/>
  <c r="E43" i="35"/>
  <c r="F43" i="35" s="1"/>
  <c r="E52" i="21"/>
  <c r="F52" i="21" s="1"/>
  <c r="E53" i="21"/>
  <c r="F53" i="21" s="1"/>
  <c r="H68" i="39"/>
  <c r="G70" i="39"/>
  <c r="C26" i="43"/>
  <c r="B2" i="43" s="1"/>
  <c r="C27" i="43"/>
  <c r="J13" i="67"/>
  <c r="J23" i="67" s="1"/>
  <c r="J22" i="67"/>
  <c r="E6" i="76"/>
  <c r="B6" i="76"/>
  <c r="C26" i="15" l="1"/>
  <c r="C23" i="15"/>
  <c r="C6" i="12"/>
  <c r="C18" i="12"/>
  <c r="C21" i="12" s="1"/>
  <c r="C22" i="12" s="1"/>
  <c r="D37" i="69"/>
  <c r="C37" i="69" s="1"/>
  <c r="C33" i="69" s="1"/>
  <c r="C19" i="69"/>
  <c r="C42" i="11"/>
  <c r="C43" i="11"/>
  <c r="L46" i="67"/>
  <c r="C56" i="67"/>
  <c r="C65" i="67" s="1"/>
  <c r="C42" i="68"/>
  <c r="C41" i="68" s="1"/>
  <c r="C64" i="67"/>
  <c r="C37" i="67"/>
  <c r="C30" i="67" s="1"/>
  <c r="C39" i="67" s="1"/>
  <c r="Q69" i="67" s="1"/>
  <c r="C46" i="68"/>
  <c r="C45" i="68" s="1"/>
  <c r="D8" i="12"/>
  <c r="Q70" i="67"/>
  <c r="L46" i="15"/>
  <c r="I68" i="39"/>
  <c r="H70" i="39"/>
  <c r="E2" i="76"/>
  <c r="B2" i="76"/>
  <c r="B3" i="43"/>
  <c r="J16" i="67"/>
  <c r="J25" i="67" s="1"/>
  <c r="L51" i="67"/>
  <c r="C29" i="15" l="1"/>
  <c r="C8" i="12"/>
  <c r="C4" i="12" s="1"/>
  <c r="C20" i="69"/>
  <c r="C24" i="69"/>
  <c r="C39" i="69"/>
  <c r="C42" i="69"/>
  <c r="C41" i="11"/>
  <c r="C49" i="11" s="1"/>
  <c r="C51" i="11" s="1"/>
  <c r="C52" i="11" s="1"/>
  <c r="B2" i="11" s="1"/>
  <c r="B3" i="11" s="1"/>
  <c r="C58" i="67"/>
  <c r="C67" i="67" s="1"/>
  <c r="C68" i="67" s="1"/>
  <c r="C71" i="67" s="1"/>
  <c r="C49" i="68"/>
  <c r="C51" i="68" s="1"/>
  <c r="C40" i="67"/>
  <c r="Q56" i="67" s="1"/>
  <c r="Q68" i="67"/>
  <c r="C80" i="67"/>
  <c r="C79" i="67" s="1"/>
  <c r="J68" i="39"/>
  <c r="I70" i="39"/>
  <c r="B3" i="76"/>
  <c r="Q67" i="67"/>
  <c r="L57" i="67"/>
  <c r="L60" i="67" s="1"/>
  <c r="L57" i="15"/>
  <c r="L60" i="15" s="1"/>
  <c r="Q49" i="15" l="1"/>
  <c r="C57" i="15"/>
  <c r="J14" i="15"/>
  <c r="J19" i="15"/>
  <c r="J17" i="15" s="1"/>
  <c r="C13" i="15"/>
  <c r="C36" i="15"/>
  <c r="C46" i="69"/>
  <c r="C45" i="69" s="1"/>
  <c r="C43" i="69"/>
  <c r="C41" i="69" s="1"/>
  <c r="C28" i="69"/>
  <c r="C27" i="69" s="1"/>
  <c r="C25" i="69"/>
  <c r="C22" i="69" s="1"/>
  <c r="C56" i="11"/>
  <c r="C57" i="11" s="1"/>
  <c r="C45" i="67"/>
  <c r="C46" i="67" s="1"/>
  <c r="C43" i="67"/>
  <c r="C83" i="67"/>
  <c r="C82" i="67" s="1"/>
  <c r="Q47" i="67"/>
  <c r="Q53" i="67" s="1"/>
  <c r="D2" i="67"/>
  <c r="B2" i="67" s="1"/>
  <c r="Q65" i="67"/>
  <c r="C31" i="12"/>
  <c r="C23" i="12"/>
  <c r="K68" i="39"/>
  <c r="J70" i="39"/>
  <c r="Q57" i="15"/>
  <c r="Q66" i="15"/>
  <c r="Q66" i="67"/>
  <c r="Q57" i="67"/>
  <c r="Q62" i="67" s="1"/>
  <c r="Q75" i="67" l="1"/>
  <c r="C56" i="15"/>
  <c r="C65" i="15" s="1"/>
  <c r="Q70" i="15"/>
  <c r="C75" i="15"/>
  <c r="C37" i="15"/>
  <c r="C30" i="15" s="1"/>
  <c r="C39" i="15" s="1"/>
  <c r="J22" i="15"/>
  <c r="J13" i="15"/>
  <c r="J23" i="15" s="1"/>
  <c r="C64" i="15"/>
  <c r="C61" i="15"/>
  <c r="C59" i="15" s="1"/>
  <c r="C31" i="69"/>
  <c r="C49" i="69"/>
  <c r="C51" i="69" s="1"/>
  <c r="B3" i="67"/>
  <c r="C30" i="12"/>
  <c r="C28" i="12" s="1"/>
  <c r="C27" i="12"/>
  <c r="C25" i="12" s="1"/>
  <c r="L68" i="39"/>
  <c r="K70" i="39"/>
  <c r="L51" i="15"/>
  <c r="C80" i="15" l="1"/>
  <c r="C79" i="15" s="1"/>
  <c r="Q67" i="15"/>
  <c r="C58" i="15"/>
  <c r="C67" i="15" s="1"/>
  <c r="C68" i="15" s="1"/>
  <c r="J16" i="15"/>
  <c r="J25" i="15" s="1"/>
  <c r="Q69" i="15"/>
  <c r="Q68" i="15" s="1"/>
  <c r="C40" i="15"/>
  <c r="C52" i="69"/>
  <c r="B2" i="69" s="1"/>
  <c r="B3" i="69" s="1"/>
  <c r="C32" i="12"/>
  <c r="B2" i="12" s="1"/>
  <c r="B3" i="12" s="1"/>
  <c r="M68" i="39"/>
  <c r="L70" i="39"/>
  <c r="D20" i="9"/>
  <c r="D19" i="9"/>
  <c r="B2" i="15" l="1"/>
  <c r="Q65" i="15"/>
  <c r="Q75" i="15" s="1"/>
  <c r="Q56" i="15"/>
  <c r="Q62" i="15" s="1"/>
  <c r="Q47" i="15"/>
  <c r="Q53" i="15" s="1"/>
  <c r="C43" i="15"/>
  <c r="C83" i="15"/>
  <c r="C82" i="15" s="1"/>
  <c r="C71" i="15"/>
  <c r="C46" i="15"/>
  <c r="C57" i="69"/>
  <c r="C56" i="69" s="1"/>
  <c r="D21" i="9"/>
  <c r="D102" i="9"/>
  <c r="D103" i="9"/>
  <c r="N68" i="39"/>
  <c r="M70" i="39"/>
  <c r="AO8" i="1"/>
  <c r="B8" i="70" l="1"/>
  <c r="B2" i="70" s="1"/>
  <c r="B3" i="70" s="1"/>
  <c r="B3" i="15"/>
  <c r="N70" i="39"/>
  <c r="O68" i="39"/>
  <c r="O70" i="39" s="1"/>
  <c r="J7" i="39" l="1"/>
  <c r="F7" i="39"/>
  <c r="H7" i="39"/>
  <c r="D18" i="74" l="1"/>
  <c r="S7" i="39"/>
  <c r="AA7" i="39"/>
  <c r="R47" i="39" s="1"/>
  <c r="AB7" i="39"/>
  <c r="T47" i="39" s="1"/>
  <c r="G47" i="39" s="1"/>
  <c r="U7" i="39"/>
  <c r="AC7" i="39"/>
  <c r="V47" i="39" s="1"/>
  <c r="I47" i="39" s="1"/>
  <c r="W7" i="39"/>
  <c r="E18" i="74" l="1"/>
  <c r="F18" i="74"/>
  <c r="D16" i="74"/>
  <c r="E47" i="39"/>
  <c r="I52" i="39" s="1"/>
  <c r="J52" i="39" s="1"/>
  <c r="R48" i="39"/>
  <c r="I51" i="39"/>
  <c r="J51" i="39" s="1"/>
  <c r="G52" i="39"/>
  <c r="H52" i="39" s="1"/>
  <c r="G51" i="39"/>
  <c r="H51" i="39" s="1"/>
  <c r="G16" i="74" l="1"/>
  <c r="F16" i="74"/>
  <c r="E16" i="74"/>
  <c r="C48" i="39"/>
  <c r="C47" i="39"/>
  <c r="E52" i="39"/>
  <c r="F52" i="39" s="1"/>
  <c r="E51" i="39"/>
  <c r="F51" i="39" s="1"/>
  <c r="G18" i="74" l="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6" i="68" l="1"/>
  <c r="C7" i="68" s="1"/>
  <c r="C5" i="68" s="1"/>
  <c r="C20" i="68" s="1"/>
  <c r="C23" i="68" l="1"/>
  <c r="C28" i="68"/>
  <c r="C27" i="68" s="1"/>
  <c r="C25" i="68"/>
  <c r="C22" i="68" l="1"/>
  <c r="C31" i="68" s="1"/>
  <c r="C52" i="68" s="1"/>
  <c r="B2" i="68" s="1"/>
  <c r="C19" i="9"/>
  <c r="C57" i="68" l="1"/>
  <c r="C56" i="68" s="1"/>
  <c r="G19" i="9"/>
  <c r="C102" i="9"/>
  <c r="D22" i="9"/>
  <c r="C21" i="9"/>
  <c r="B3" i="68"/>
  <c r="D35" i="9"/>
  <c r="C20" i="9"/>
  <c r="D34" i="9"/>
  <c r="G20" i="9" l="1"/>
  <c r="C103" i="9"/>
  <c r="G21" i="9"/>
  <c r="C32" i="9"/>
  <c r="H118" i="9" l="1"/>
  <c r="C35" i="9"/>
  <c r="F118" i="9" s="1"/>
  <c r="F4" i="52" l="1"/>
  <c r="G118" i="9"/>
  <c r="G4" i="52" s="1"/>
  <c r="F119" i="9"/>
  <c r="F5" i="52" s="1"/>
  <c r="C34" i="9"/>
  <c r="D118" i="9" s="1"/>
  <c r="H101" i="9"/>
  <c r="D14" i="74"/>
  <c r="C104" i="9"/>
  <c r="I118" i="9"/>
  <c r="H4" i="52"/>
  <c r="H119" i="9"/>
  <c r="H5" i="52" s="1"/>
  <c r="D17" i="74" l="1"/>
  <c r="B53" i="72"/>
  <c r="B51" i="72"/>
  <c r="B52" i="72"/>
  <c r="H102" i="9"/>
  <c r="D7" i="53" s="1"/>
  <c r="E118" i="9"/>
  <c r="E4" i="52" s="1"/>
  <c r="C105" i="9"/>
  <c r="I4" i="52"/>
  <c r="F14" i="74"/>
  <c r="E14" i="74"/>
  <c r="D4" i="52"/>
  <c r="D119" i="9"/>
  <c r="D5" i="52" s="1"/>
  <c r="D5" i="53"/>
  <c r="M48" i="9"/>
  <c r="H107" i="9"/>
  <c r="D45" i="9"/>
  <c r="B47" i="72" l="1"/>
  <c r="B21" i="72"/>
  <c r="B49" i="72"/>
  <c r="B48" i="72"/>
  <c r="E17" i="74"/>
  <c r="F17" i="74"/>
  <c r="M49" i="9"/>
  <c r="D122" i="9"/>
  <c r="H108" i="9"/>
  <c r="D15" i="53" s="1"/>
  <c r="D13" i="53"/>
  <c r="B20" i="72"/>
  <c r="D6" i="53"/>
  <c r="C64" i="9"/>
  <c r="C63" i="9" s="1"/>
  <c r="C67" i="9" s="1"/>
  <c r="C68" i="9" s="1"/>
  <c r="D54" i="9" s="1"/>
  <c r="C85" i="9"/>
  <c r="D55" i="9"/>
  <c r="M53" i="9" s="1"/>
  <c r="C78" i="9"/>
  <c r="C73" i="9" s="1"/>
  <c r="D52" i="9"/>
  <c r="C72" i="9"/>
  <c r="C93" i="9"/>
  <c r="C86" i="9" s="1"/>
  <c r="D53" i="9"/>
  <c r="B22" i="72" l="1"/>
  <c r="B31" i="72"/>
  <c r="C79" i="9"/>
  <c r="C80" i="9" s="1"/>
  <c r="E80" i="9" s="1"/>
  <c r="E81" i="9" s="1"/>
  <c r="C95" i="9"/>
  <c r="C96" i="9" s="1"/>
  <c r="E96" i="9" s="1"/>
  <c r="E97" i="9" s="1"/>
  <c r="B30" i="72"/>
  <c r="D14" i="53"/>
  <c r="D8" i="52"/>
  <c r="G14" i="74"/>
  <c r="D123" i="9"/>
  <c r="D9" i="52" s="1"/>
  <c r="L65" i="9"/>
  <c r="M65" i="9" s="1"/>
  <c r="L67" i="9"/>
  <c r="M67" i="9" s="1"/>
  <c r="L66" i="9"/>
  <c r="M66" i="9" s="1"/>
  <c r="L64" i="9"/>
  <c r="M64" i="9" s="1"/>
  <c r="L68" i="9"/>
  <c r="M68" i="9" s="1"/>
  <c r="L63" i="9"/>
  <c r="M63" i="9" s="1"/>
  <c r="B32" i="72" l="1"/>
  <c r="C81" i="9"/>
  <c r="M69" i="9"/>
  <c r="N69" i="9" s="1"/>
  <c r="C97" i="9"/>
  <c r="D58" i="9" s="1"/>
  <c r="D56" i="9" s="1"/>
  <c r="M54" i="9" s="1"/>
  <c r="N57" i="9" s="1"/>
  <c r="N59" i="9" s="1"/>
  <c r="N61" i="9" s="1"/>
  <c r="G17" i="74" l="1"/>
  <c r="P57" i="9"/>
  <c r="N60" i="9"/>
  <c r="N58" i="9"/>
  <c r="B15" i="74" l="1"/>
  <c r="B1" i="74" s="1"/>
  <c r="C15" i="74" l="1"/>
  <c r="B2" i="74" s="1"/>
  <c r="C8" i="74"/>
  <c r="C7" i="74"/>
  <c r="D7" i="74" l="1"/>
  <c r="D8" i="74"/>
  <c r="D15" i="74" l="1"/>
  <c r="G15" i="74" l="1"/>
  <c r="B6" i="74" s="1"/>
  <c r="E15" i="74"/>
  <c r="F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T44" authorId="0">
      <text>
        <r>
          <rPr>
            <b/>
            <sz val="9"/>
            <color indexed="81"/>
            <rFont val="宋体"/>
            <family val="3"/>
            <charset val="134"/>
          </rPr>
          <t>USER:</t>
        </r>
        <r>
          <rPr>
            <sz val="9"/>
            <color indexed="81"/>
            <rFont val="宋体"/>
            <family val="3"/>
            <charset val="134"/>
          </rPr>
          <t xml:space="preserve">
3层</t>
        </r>
      </text>
    </comment>
    <comment ref="S45" authorId="0">
      <text>
        <r>
          <rPr>
            <b/>
            <sz val="9"/>
            <color indexed="81"/>
            <rFont val="宋体"/>
            <family val="3"/>
            <charset val="134"/>
          </rPr>
          <t>USER:</t>
        </r>
        <r>
          <rPr>
            <sz val="9"/>
            <color indexed="81"/>
            <rFont val="宋体"/>
            <family val="3"/>
            <charset val="134"/>
          </rPr>
          <t xml:space="preserve">
1层</t>
        </r>
      </text>
    </comment>
    <comment ref="S47" authorId="0">
      <text>
        <r>
          <rPr>
            <b/>
            <sz val="9"/>
            <color indexed="81"/>
            <rFont val="宋体"/>
            <family val="3"/>
            <charset val="134"/>
          </rPr>
          <t>USER:</t>
        </r>
        <r>
          <rPr>
            <sz val="9"/>
            <color indexed="81"/>
            <rFont val="宋体"/>
            <family val="3"/>
            <charset val="134"/>
          </rPr>
          <t xml:space="preserve">
3层</t>
        </r>
      </text>
    </comment>
    <comment ref="S48" authorId="0">
      <text>
        <r>
          <rPr>
            <b/>
            <sz val="9"/>
            <color indexed="81"/>
            <rFont val="宋体"/>
            <family val="3"/>
            <charset val="134"/>
          </rPr>
          <t>USER:</t>
        </r>
        <r>
          <rPr>
            <sz val="9"/>
            <color indexed="81"/>
            <rFont val="宋体"/>
            <family val="3"/>
            <charset val="134"/>
          </rPr>
          <t xml:space="preserve">
5、6层</t>
        </r>
      </text>
    </comment>
    <comment ref="S50" authorId="0">
      <text>
        <r>
          <rPr>
            <b/>
            <sz val="9"/>
            <color indexed="81"/>
            <rFont val="宋体"/>
            <family val="3"/>
            <charset val="134"/>
          </rPr>
          <t>USER:</t>
        </r>
        <r>
          <rPr>
            <sz val="9"/>
            <color indexed="81"/>
            <rFont val="宋体"/>
            <family val="3"/>
            <charset val="134"/>
          </rPr>
          <t xml:space="preserve">
6层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<sst xmlns="http://schemas.openxmlformats.org/spreadsheetml/2006/main" count="19335" uniqueCount="5520">
  <si>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</si>
  <si>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</si>
  <si>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</si>
  <si>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</si>
  <si>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</si>
  <si>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</si>
  <si>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</si>
  <si>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</si>
  <si>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</si>
  <si>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</si>
  <si>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</si>
  <si>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</si>
  <si>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</si>
  <si>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</si>
  <si>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</si>
  <si>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</si>
  <si>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</si>
  <si>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</si>
  <si>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</si>
  <si>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</si>
  <si>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</si>
  <si>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</si>
  <si>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</si>
  <si>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</si>
  <si>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</si>
  <si>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</si>
  <si>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</si>
  <si>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</si>
  <si>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</si>
  <si>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</si>
  <si>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</si>
  <si>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</si>
  <si>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</si>
  <si>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</si>
  <si>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</si>
  <si>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</si>
  <si>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</si>
  <si>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</si>
  <si>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</si>
  <si>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</si>
  <si>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</si>
  <si>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</si>
  <si>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</si>
  <si>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</si>
  <si>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</si>
  <si>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</si>
  <si>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</si>
  <si>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</si>
  <si>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</si>
  <si>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</si>
  <si>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</si>
  <si>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</si>
  <si>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</si>
  <si>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</si>
  <si>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</si>
  <si>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</si>
  <si>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</si>
  <si>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</si>
  <si>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</si>
  <si>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</si>
  <si>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</si>
  <si>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</si>
  <si>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</si>
  <si>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</si>
  <si>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</si>
  <si>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</si>
  <si>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</si>
  <si>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</si>
  <si>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</si>
  <si>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</si>
  <si>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</si>
  <si>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</si>
  <si>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</si>
  <si>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</si>
  <si>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</si>
  <si>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</si>
  <si>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</si>
  <si>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</si>
  <si>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</si>
  <si>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</si>
  <si>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</si>
  <si>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</si>
  <si>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</si>
  <si>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</si>
  <si>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</si>
  <si>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</si>
  <si>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</si>
  <si>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</si>
  <si>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</si>
  <si>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</si>
  <si>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</si>
  <si>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</si>
  <si>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</si>
  <si>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</si>
  <si>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</si>
  <si>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</si>
  <si>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</si>
  <si>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</si>
  <si>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</si>
  <si>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</si>
  <si>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</si>
  <si>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</si>
  <si>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</si>
  <si>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</si>
  <si>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</si>
  <si>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</si>
  <si>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</si>
  <si>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</si>
  <si>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</si>
  <si>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</si>
  <si>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</si>
  <si>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</si>
  <si>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</si>
  <si>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</si>
  <si>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</si>
  <si>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</si>
  <si>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</si>
  <si>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</si>
  <si>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</si>
  <si>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</si>
  <si>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</si>
  <si>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</si>
  <si>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</si>
  <si>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</si>
  <si>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</si>
  <si>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</si>
  <si>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</si>
  <si>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</si>
  <si>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</si>
  <si>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</si>
  <si>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</si>
  <si>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</si>
  <si>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</si>
  <si>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</si>
  <si>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</si>
  <si>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</si>
  <si>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</si>
  <si>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</si>
  <si>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</si>
  <si>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</si>
  <si>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</si>
  <si>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</si>
  <si>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</si>
  <si>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</si>
  <si>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</si>
  <si>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</si>
  <si>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</si>
  <si>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</si>
  <si>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</si>
  <si>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</si>
  <si>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</si>
  <si>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</si>
  <si>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</si>
  <si>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</si>
  <si>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</si>
  <si>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</si>
  <si>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</si>
  <si>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</si>
  <si>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</si>
  <si>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</si>
  <si>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</si>
  <si>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</si>
  <si>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</si>
  <si>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</si>
  <si>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</si>
  <si>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</si>
  <si>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</si>
  <si>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</si>
  <si>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</si>
  <si>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</si>
  <si>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</si>
  <si>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</si>
  <si>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</si>
  <si>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</si>
  <si>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</si>
  <si>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</si>
  <si>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</si>
  <si>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</si>
  <si>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</si>
  <si>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</si>
  <si>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</si>
  <si>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</si>
  <si>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</si>
  <si>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</si>
  <si>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</si>
  <si>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</si>
  <si>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</si>
  <si>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</si>
  <si>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</si>
  <si>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</si>
  <si>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</si>
  <si>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</si>
  <si>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</si>
  <si>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</si>
  <si>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</si>
  <si>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</si>
  <si>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</si>
  <si>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</si>
  <si>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</si>
  <si>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</si>
  <si>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</si>
  <si>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</si>
  <si>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</si>
  <si>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</si>
  <si>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</si>
  <si>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</si>
  <si>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</si>
  <si>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</si>
  <si>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</si>
  <si>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</si>
  <si>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</si>
  <si>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</si>
  <si>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</si>
  <si>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</si>
  <si>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</si>
  <si>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</si>
  <si>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</si>
  <si>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</si>
  <si>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</si>
  <si>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</si>
  <si>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</si>
  <si>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</si>
  <si>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</si>
  <si>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</si>
  <si>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</si>
  <si>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</si>
  <si>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</si>
  <si>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</si>
  <si>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</si>
  <si>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</si>
  <si>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</si>
  <si>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</si>
  <si>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</si>
  <si>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</si>
  <si>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</si>
  <si>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</si>
  <si>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</si>
  <si>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</si>
  <si>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</si>
  <si>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</si>
  <si>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</si>
  <si>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</si>
  <si>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</si>
  <si>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</si>
  <si>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</si>
  <si>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</si>
  <si>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</si>
  <si>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</si>
  <si>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</si>
  <si>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</si>
  <si>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</si>
  <si>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</si>
  <si>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</si>
  <si>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</si>
  <si>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</si>
  <si>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</si>
  <si>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</si>
  <si>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</si>
  <si>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</si>
  <si>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</si>
  <si>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</si>
  <si>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</si>
  <si>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</si>
  <si>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</si>
  <si>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</si>
  <si>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</si>
  <si>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</si>
  <si>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</si>
  <si>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</si>
  <si>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</si>
  <si>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</si>
  <si>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</si>
  <si>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</si>
  <si>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</si>
  <si>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</si>
  <si>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</si>
  <si>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</si>
  <si>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</si>
  <si>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</si>
  <si>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</si>
  <si>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</si>
  <si>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</si>
  <si>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</si>
  <si>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</si>
  <si>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</si>
  <si>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</si>
  <si>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</si>
  <si>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</si>
  <si>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</si>
  <si>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</si>
  <si>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</si>
  <si>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</si>
  <si>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</si>
  <si>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</si>
  <si>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</si>
  <si>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</si>
  <si>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</si>
  <si>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</si>
  <si>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</si>
  <si>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</si>
  <si>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</si>
  <si>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</si>
  <si>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</si>
  <si>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</si>
  <si>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</si>
  <si>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</si>
  <si>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</si>
  <si>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</si>
  <si>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</si>
  <si>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</si>
  <si>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</si>
  <si>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</si>
  <si>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</si>
  <si>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</si>
  <si>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</si>
  <si>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</si>
  <si>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</si>
  <si>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</si>
  <si>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</si>
  <si>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</si>
  <si>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</si>
  <si>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</si>
  <si>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</si>
  <si>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</si>
  <si>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</si>
  <si>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</si>
  <si>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</si>
  <si>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</si>
  <si>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</si>
  <si>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</si>
  <si>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</si>
  <si>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</si>
  <si>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</si>
  <si>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</si>
  <si>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</si>
  <si>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</si>
  <si>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</si>
  <si>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</si>
  <si>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</si>
  <si>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</si>
  <si>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</si>
  <si>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</si>
  <si>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</si>
  <si>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</si>
  <si>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</si>
  <si>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</si>
  <si>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</si>
  <si>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</si>
  <si>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</si>
  <si>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</si>
  <si>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</si>
  <si>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</si>
  <si>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</si>
  <si>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</si>
  <si>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</si>
  <si>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</si>
  <si>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</si>
  <si>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</si>
  <si>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</si>
  <si>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</si>
  <si>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</si>
  <si>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</si>
  <si>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</si>
  <si>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</si>
  <si>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</si>
  <si>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</si>
  <si>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</si>
  <si>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</si>
  <si>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</si>
  <si>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</si>
  <si>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</si>
  <si>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</si>
  <si>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</si>
  <si>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</si>
  <si>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</si>
  <si>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</si>
  <si>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</si>
  <si>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</si>
  <si>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</si>
  <si>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</si>
  <si>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</si>
  <si>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</si>
  <si>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</si>
  <si>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</si>
  <si>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</si>
  <si>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</si>
  <si>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</si>
  <si>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</si>
  <si>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</si>
  <si>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</si>
  <si>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</si>
  <si>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</si>
  <si>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</si>
  <si>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</si>
  <si>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</si>
  <si>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</si>
  <si>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</si>
  <si>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</si>
  <si>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</si>
  <si>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</si>
  <si>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</si>
  <si>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</si>
  <si>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</si>
  <si>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</si>
  <si>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</si>
  <si>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</si>
  <si>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</si>
  <si>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</si>
  <si>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</si>
  <si>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</si>
  <si>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</si>
  <si>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</si>
  <si>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</si>
  <si>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</si>
  <si>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</si>
  <si>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</si>
  <si>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</si>
  <si>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</si>
  <si>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</si>
  <si>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</si>
  <si>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</si>
  <si>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</si>
  <si>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</si>
  <si>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</si>
  <si>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</si>
  <si>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</si>
  <si>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</si>
  <si>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</si>
  <si>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</si>
  <si>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</si>
  <si>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</si>
  <si>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</si>
  <si>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</si>
  <si>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</si>
  <si>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</si>
  <si>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</si>
  <si>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</si>
  <si>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</si>
  <si>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</si>
  <si>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</si>
  <si>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</si>
  <si>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</si>
  <si>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</si>
  <si>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</si>
  <si>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</si>
  <si>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</si>
  <si>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</si>
  <si>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</si>
  <si>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</si>
  <si>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</si>
  <si>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</si>
  <si>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</si>
  <si>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</si>
  <si>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</si>
  <si>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</si>
  <si>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</si>
  <si>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</si>
  <si>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</si>
  <si>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</si>
  <si>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</si>
  <si>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</si>
  <si>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</si>
  <si>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</si>
  <si>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</si>
  <si>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</si>
  <si>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</si>
  <si>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</si>
  <si>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</si>
  <si>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</si>
  <si>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</si>
  <si>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</si>
  <si>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</si>
  <si>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</si>
  <si>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</si>
  <si>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</si>
  <si>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</si>
  <si>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</si>
  <si>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</si>
  <si>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</si>
  <si>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</si>
  <si>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</si>
  <si>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</si>
  <si>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</si>
  <si>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</si>
  <si>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</si>
  <si>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</si>
  <si>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</si>
  <si>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</si>
  <si>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</si>
  <si>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</si>
  <si>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</si>
  <si>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</si>
  <si>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</si>
  <si>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</si>
  <si>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</si>
  <si>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</si>
  <si>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</si>
  <si>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</si>
  <si>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</si>
  <si>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</si>
  <si>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</si>
  <si>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</si>
  <si>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</si>
  <si>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</si>
  <si>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</si>
  <si>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</si>
  <si>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</si>
  <si>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</si>
  <si>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</si>
  <si>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</si>
  <si>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</si>
  <si>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</si>
  <si>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</si>
  <si>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</si>
  <si>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</si>
  <si>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</si>
  <si>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</si>
  <si>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</si>
  <si>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</si>
  <si>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</si>
  <si>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</si>
  <si>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</si>
  <si>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</si>
  <si>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</si>
  <si>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</si>
  <si>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</si>
  <si>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</si>
  <si>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</si>
  <si>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</si>
  <si>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</si>
  <si>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</si>
  <si>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</si>
  <si>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</si>
  <si>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</si>
  <si>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</si>
  <si>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</si>
  <si>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</si>
  <si>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</si>
  <si>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</si>
  <si>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</si>
  <si>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</si>
  <si>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</si>
  <si>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</si>
  <si>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</si>
  <si>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</si>
  <si>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</si>
  <si>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</si>
  <si>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</si>
  <si>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</si>
  <si>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</si>
  <si>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</si>
  <si>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</si>
  <si>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</si>
  <si>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</si>
  <si>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</si>
  <si>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</si>
  <si>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</si>
  <si>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</si>
  <si>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</si>
  <si>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</si>
  <si>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</si>
  <si>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</si>
  <si>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</si>
  <si>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</si>
  <si>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</si>
  <si>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</si>
  <si>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</si>
  <si>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</si>
  <si>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</si>
  <si>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</si>
  <si>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</si>
  <si>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</si>
  <si>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</si>
  <si>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</si>
  <si>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</si>
  <si>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</si>
  <si>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</si>
  <si>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</si>
  <si>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</si>
  <si>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</si>
  <si>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</si>
  <si>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</si>
  <si>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</si>
  <si>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</si>
  <si>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</si>
  <si>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</si>
  <si>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</si>
  <si>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</si>
  <si>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</si>
  <si>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</si>
  <si>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</si>
  <si>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</si>
  <si>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</si>
  <si>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</si>
  <si>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</si>
  <si>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</si>
  <si>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</si>
  <si>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</si>
  <si>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</si>
  <si>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</si>
  <si>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</si>
  <si>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</si>
  <si>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</si>
  <si>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</si>
  <si>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</si>
  <si>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</si>
  <si>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</si>
  <si>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</si>
  <si>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</si>
  <si>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</si>
  <si>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</si>
  <si>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</si>
  <si>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</si>
  <si>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</si>
  <si>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</si>
  <si>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</si>
  <si>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</si>
  <si>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</si>
  <si>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</si>
  <si>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</si>
  <si>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</si>
  <si>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</si>
  <si>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</si>
  <si>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</si>
  <si>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</si>
  <si>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</si>
  <si>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</si>
  <si>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</si>
  <si>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</si>
  <si>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</si>
  <si>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</si>
  <si>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</si>
  <si>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</si>
  <si>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</si>
  <si>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</si>
  <si>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</si>
  <si>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</si>
  <si>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</si>
  <si>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</si>
  <si>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</si>
  <si>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</si>
  <si>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</si>
  <si>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</si>
  <si>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</si>
  <si>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</si>
  <si>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</si>
  <si>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</si>
  <si>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</si>
  <si>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</si>
  <si>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</si>
  <si>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</si>
  <si>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</si>
  <si>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</si>
  <si>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</si>
  <si>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</si>
  <si>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</si>
  <si>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</si>
  <si>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</si>
  <si>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</si>
  <si>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</si>
  <si>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</si>
  <si>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</si>
  <si>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</si>
  <si>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</si>
  <si>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</si>
  <si>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</si>
  <si>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</si>
  <si>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</si>
  <si>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</si>
  <si>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</si>
  <si>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</si>
  <si>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</si>
  <si>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</si>
  <si>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</si>
  <si>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</si>
  <si>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</si>
  <si>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</si>
  <si>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</si>
  <si>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</si>
  <si>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</si>
  <si>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</si>
  <si>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</si>
  <si>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</si>
  <si>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</si>
  <si>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</si>
  <si>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</si>
  <si>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</si>
  <si>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</si>
  <si>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</si>
  <si>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</si>
  <si>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</si>
  <si>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</si>
  <si>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</si>
  <si>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</si>
  <si>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</si>
  <si>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</si>
  <si>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</si>
  <si>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</si>
  <si>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</si>
  <si>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</si>
  <si>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</si>
  <si>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</si>
  <si>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</si>
  <si>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</si>
  <si>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</si>
  <si>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</si>
  <si>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</si>
  <si>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</si>
  <si>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</si>
  <si>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</si>
  <si>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</si>
  <si>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</si>
  <si>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</si>
  <si>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</si>
  <si>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</si>
  <si>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</si>
  <si>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</si>
  <si>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</si>
  <si>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</si>
  <si>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</si>
  <si>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</si>
  <si>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</si>
  <si>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</si>
  <si>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</si>
  <si>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</si>
  <si>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</si>
  <si>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</si>
  <si>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</si>
  <si>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</si>
  <si>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</si>
  <si>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</si>
  <si>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</si>
  <si>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</si>
  <si>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</si>
  <si>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</si>
  <si>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</si>
  <si>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</si>
  <si>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</si>
  <si>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</si>
  <si>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</si>
  <si>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</si>
  <si>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</si>
  <si>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</si>
  <si>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</si>
  <si>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</si>
  <si>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</si>
  <si>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</si>
  <si>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</si>
  <si>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</si>
  <si>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</si>
  <si>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</si>
  <si>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</si>
  <si>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</si>
  <si>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</si>
  <si>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</si>
  <si>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</si>
  <si>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</si>
  <si>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</si>
  <si>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</si>
  <si>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</si>
  <si>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</si>
  <si>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</si>
  <si>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</si>
  <si>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</si>
  <si>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</si>
  <si>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</si>
  <si>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</si>
  <si>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</si>
  <si>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</si>
  <si>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</si>
  <si>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</si>
  <si>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</si>
  <si>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</si>
  <si>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</si>
  <si>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</si>
  <si>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</si>
  <si>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</si>
  <si>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</si>
  <si>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</si>
  <si>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</si>
  <si>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</si>
  <si>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</si>
  <si>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</si>
  <si>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</si>
  <si>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</si>
  <si>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</si>
  <si>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</si>
  <si>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</si>
  <si>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</si>
  <si>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</si>
  <si>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</si>
  <si>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</si>
  <si>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</si>
  <si>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</si>
  <si>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</si>
  <si>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</si>
  <si>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</si>
  <si>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</si>
  <si>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</si>
  <si>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</si>
  <si>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</si>
  <si>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</si>
  <si>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</si>
  <si>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</si>
  <si>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</si>
  <si>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</si>
  <si>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</si>
  <si>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</si>
  <si>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</si>
  <si>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</si>
  <si>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</si>
  <si>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</si>
  <si>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</si>
  <si>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</si>
  <si>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</si>
  <si>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</si>
  <si>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</si>
  <si>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</si>
  <si>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</si>
  <si>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</si>
  <si>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</si>
  <si>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</si>
  <si>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</si>
  <si>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</si>
  <si>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</si>
  <si>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</si>
  <si>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</si>
  <si>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</si>
  <si>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</si>
  <si>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</si>
  <si>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</si>
  <si>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</si>
  <si>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</si>
  <si>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</si>
  <si>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</si>
  <si>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</si>
  <si>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</si>
  <si>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</si>
  <si>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</si>
  <si>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</si>
  <si>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</si>
  <si>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</si>
  <si>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</si>
  <si>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</si>
  <si>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</si>
  <si>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</si>
  <si>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</si>
  <si>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</si>
  <si>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</si>
  <si>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</si>
  <si>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</si>
  <si>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</si>
  <si>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</si>
  <si>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</si>
  <si>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</si>
  <si>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</si>
  <si>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</si>
  <si>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</si>
  <si>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</si>
  <si>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</si>
  <si>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</si>
  <si>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</si>
  <si>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</si>
  <si>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</si>
  <si>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</si>
  <si>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</si>
  <si>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</si>
  <si>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</si>
  <si>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</si>
  <si>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</si>
  <si>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</si>
  <si>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</si>
  <si>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</si>
  <si>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</si>
  <si>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</si>
  <si>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</si>
  <si>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</si>
  <si>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</si>
  <si>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</si>
  <si>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</si>
  <si>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</si>
  <si>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</si>
  <si>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</si>
  <si>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</si>
  <si>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</si>
  <si>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</si>
  <si>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</si>
  <si>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</si>
  <si>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</si>
  <si>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</si>
  <si>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</si>
  <si>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</si>
  <si>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</si>
  <si>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</si>
  <si>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</si>
  <si>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</si>
  <si>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</si>
  <si>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</si>
  <si>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</si>
  <si>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</si>
  <si>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</si>
  <si>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</si>
  <si>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</si>
  <si>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</si>
  <si>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</si>
  <si>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</si>
  <si>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</si>
  <si>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</si>
  <si>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</si>
  <si>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</si>
  <si>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</si>
  <si>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</si>
  <si>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</si>
  <si>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</si>
  <si>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</si>
  <si>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</si>
  <si>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</si>
  <si>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</si>
  <si>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</si>
  <si>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</si>
  <si>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</si>
  <si>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</si>
  <si>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</si>
  <si>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</si>
  <si>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</si>
  <si>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</si>
  <si>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</si>
  <si>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</si>
  <si>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</si>
  <si>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</si>
  <si>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</si>
  <si>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</si>
  <si>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</si>
  <si>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</si>
  <si>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</si>
  <si>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</si>
  <si>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</si>
  <si>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</si>
  <si>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</si>
  <si>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</si>
  <si>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</si>
  <si>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</si>
  <si>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</si>
  <si>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</si>
  <si>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</si>
  <si>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</si>
  <si>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</si>
  <si>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</si>
  <si>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</si>
  <si>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</si>
  <si>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</si>
  <si>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</si>
  <si>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</si>
  <si>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</si>
  <si>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</si>
  <si>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</si>
  <si>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</si>
  <si>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</si>
  <si>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</si>
  <si>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</si>
  <si>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</si>
  <si>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</si>
  <si>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</si>
  <si>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</si>
  <si>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</si>
  <si>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</si>
  <si>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</si>
  <si>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</si>
  <si>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</si>
  <si>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</si>
  <si>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</si>
  <si>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</si>
  <si>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</si>
  <si>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</si>
  <si>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</si>
  <si>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</si>
  <si>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</si>
  <si>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</si>
  <si>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</si>
  <si>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</si>
  <si>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</si>
  <si>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</si>
  <si>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</si>
  <si>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</si>
  <si>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</si>
  <si>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</si>
  <si>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</si>
  <si>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</si>
  <si>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</si>
  <si>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</si>
  <si>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</si>
  <si>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</si>
  <si>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</si>
  <si>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</si>
  <si>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</si>
  <si>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</si>
  <si>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</si>
  <si>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</si>
  <si>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</si>
  <si>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</si>
  <si>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</si>
  <si>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</si>
  <si>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</si>
  <si>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</si>
  <si>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</si>
  <si>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</si>
  <si>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</si>
  <si>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</si>
  <si>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</si>
  <si>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</si>
  <si>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</si>
  <si>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</si>
  <si>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</si>
  <si>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</si>
  <si>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</si>
  <si>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</si>
  <si>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</si>
  <si>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</si>
  <si>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</si>
  <si>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</si>
  <si>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</si>
  <si>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</si>
  <si>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</si>
  <si>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</si>
  <si>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</si>
  <si>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</si>
  <si>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</si>
  <si>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</si>
  <si>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</si>
  <si>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</si>
  <si>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</si>
  <si>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</si>
  <si>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</si>
  <si>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</si>
  <si>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</si>
  <si>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</si>
  <si>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</si>
  <si>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</si>
  <si>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</si>
  <si>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</si>
  <si>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</si>
  <si>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</si>
  <si>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</si>
  <si>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</si>
  <si>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</si>
  <si>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</si>
  <si>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</si>
  <si>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</si>
  <si>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</si>
  <si>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</si>
  <si>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</si>
  <si>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</si>
  <si>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</si>
  <si>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</si>
  <si>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</si>
  <si>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</si>
  <si>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</si>
  <si>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</si>
  <si>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</si>
  <si>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</si>
  <si>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</si>
  <si>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</si>
  <si>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</si>
  <si>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</si>
  <si>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</si>
  <si>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</si>
  <si>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</si>
  <si>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</si>
  <si>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</si>
  <si>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</si>
  <si>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</si>
  <si>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</si>
  <si>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</si>
  <si>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</si>
  <si>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</si>
  <si>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</si>
  <si>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</si>
  <si>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</si>
  <si>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</si>
  <si>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</si>
  <si>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</si>
  <si>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</si>
  <si>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</si>
  <si>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</si>
  <si>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</si>
  <si>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</si>
  <si>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</si>
  <si>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</si>
  <si>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</si>
  <si>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</si>
  <si>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</si>
  <si>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</si>
  <si>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</si>
  <si>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</si>
  <si>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</si>
  <si>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</si>
  <si>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</si>
  <si>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</si>
  <si>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</si>
  <si>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</si>
  <si>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</si>
  <si>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</si>
  <si>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</si>
  <si>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</si>
  <si>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</si>
  <si>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</si>
  <si>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</si>
  <si>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</si>
  <si>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</si>
  <si>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</si>
  <si>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</si>
  <si>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</si>
  <si>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</si>
  <si>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</si>
  <si>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</si>
  <si>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</si>
  <si>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</si>
  <si>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</si>
  <si>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</si>
  <si>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</si>
  <si>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</si>
  <si>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</si>
  <si>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</si>
  <si>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</si>
  <si>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</si>
  <si>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</si>
  <si>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</si>
  <si>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</si>
  <si>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</si>
  <si>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</si>
  <si>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</si>
  <si>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</si>
  <si>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</si>
  <si>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</si>
  <si>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</si>
  <si>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</si>
  <si>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</si>
  <si>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</si>
  <si>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</si>
  <si>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</si>
  <si>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</si>
  <si>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</si>
  <si>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</si>
  <si>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</si>
  <si>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</si>
  <si>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</si>
  <si>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</si>
  <si>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</si>
  <si>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</si>
  <si>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</si>
  <si>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</si>
  <si>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</si>
  <si>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</si>
  <si>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</si>
  <si>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</si>
  <si>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</si>
  <si>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</si>
  <si>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</si>
  <si>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</si>
  <si>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</si>
  <si>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</si>
  <si>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</si>
  <si>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</si>
  <si>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</si>
  <si>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</si>
  <si>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</si>
  <si>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</si>
  <si>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</si>
  <si>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</si>
  <si>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</si>
  <si>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</si>
  <si>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</si>
  <si>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</si>
  <si>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</si>
  <si>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</si>
  <si>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</si>
  <si>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</si>
  <si>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</si>
  <si>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</si>
  <si>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</si>
  <si>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</si>
  <si>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</si>
  <si>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</si>
  <si>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</si>
  <si>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</si>
  <si>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</si>
  <si>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</si>
  <si>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</si>
  <si>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</si>
  <si>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</si>
  <si>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</si>
  <si>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</si>
  <si>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</si>
  <si>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</si>
  <si>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</si>
  <si>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</si>
  <si>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</si>
  <si>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</si>
  <si>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</si>
  <si>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</si>
  <si>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</si>
  <si>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</si>
  <si>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</si>
  <si>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</si>
  <si>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</si>
  <si>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</si>
  <si>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</si>
  <si>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</si>
  <si>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</si>
  <si>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</si>
  <si>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</si>
  <si>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</si>
  <si>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</si>
  <si>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</si>
  <si>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</si>
  <si>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</si>
  <si>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</si>
  <si>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</si>
  <si>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</si>
  <si>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</si>
  <si>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</si>
  <si>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</si>
  <si>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</si>
  <si>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</si>
  <si>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</si>
  <si>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</si>
  <si>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</si>
  <si>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</si>
  <si>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</si>
  <si>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</si>
  <si>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</si>
  <si>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</si>
  <si>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</si>
  <si>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</si>
  <si>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</si>
  <si>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</si>
  <si>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</si>
  <si>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</si>
  <si>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</si>
  <si>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</si>
  <si>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</si>
  <si>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</si>
  <si>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</si>
  <si>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</si>
  <si>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</si>
  <si>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</si>
  <si>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</si>
  <si>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</si>
  <si>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</si>
  <si>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</si>
  <si>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</si>
  <si>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</si>
  <si>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</si>
  <si>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</si>
  <si>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</si>
  <si>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</si>
  <si>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</si>
  <si>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</si>
  <si>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</si>
  <si>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</si>
  <si>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</si>
  <si>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</si>
  <si>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</si>
  <si>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</si>
  <si>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</si>
  <si>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</si>
  <si>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</si>
  <si>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</si>
  <si>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</si>
  <si>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</si>
  <si>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</si>
  <si>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</si>
  <si>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</si>
  <si>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</si>
  <si>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</si>
  <si>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</si>
  <si>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</si>
  <si>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</si>
  <si>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</si>
  <si>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</si>
  <si>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</si>
  <si>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</si>
  <si>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</si>
  <si>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</si>
  <si>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</si>
  <si>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</si>
  <si>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</si>
  <si>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</si>
  <si>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</si>
  <si>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</si>
  <si>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</si>
  <si>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</si>
  <si>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</si>
  <si>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</si>
  <si>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</si>
  <si>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</si>
  <si>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</si>
  <si>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</si>
  <si>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</si>
  <si>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</si>
  <si>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</si>
  <si>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</si>
  <si>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</si>
  <si>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</si>
  <si>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</si>
  <si>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</si>
  <si>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</si>
  <si>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</si>
  <si>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</si>
  <si>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</si>
  <si>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</si>
  <si>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</si>
  <si>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</si>
  <si>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</si>
  <si>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</si>
  <si>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</si>
  <si>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</si>
  <si>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</si>
  <si>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</si>
  <si>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</si>
  <si>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</si>
  <si>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</si>
  <si>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</si>
  <si>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</si>
  <si>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</si>
  <si>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</si>
  <si>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</si>
  <si>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</si>
  <si>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</si>
  <si>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</si>
  <si>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</si>
  <si>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</si>
  <si>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</si>
  <si>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</si>
  <si>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</si>
  <si>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</si>
  <si>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</si>
  <si>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</si>
  <si>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</si>
  <si>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</si>
  <si>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</si>
  <si>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</si>
  <si>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</si>
  <si>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</si>
  <si>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</si>
  <si>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</si>
  <si>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</si>
  <si>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</si>
  <si>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</si>
  <si>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</si>
  <si>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</si>
  <si>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</si>
  <si>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</si>
  <si>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</si>
  <si>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</si>
  <si>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</si>
  <si>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</si>
  <si>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</si>
  <si>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</si>
  <si>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</si>
  <si>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</si>
  <si>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</si>
  <si>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</si>
  <si>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</si>
  <si>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</si>
  <si>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</si>
  <si>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</si>
  <si>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</si>
  <si>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</si>
  <si>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</si>
  <si>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</si>
  <si>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</si>
  <si>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</si>
  <si>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</si>
  <si>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</si>
  <si>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</si>
  <si>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</si>
  <si>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</si>
  <si>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</si>
  <si>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</si>
  <si>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</si>
  <si>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</si>
  <si>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</si>
  <si>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</si>
  <si>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</si>
  <si>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</si>
  <si>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</si>
  <si>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</si>
  <si>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</si>
  <si>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</si>
  <si>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</si>
  <si>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</si>
  <si>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</si>
  <si>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</si>
  <si>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</si>
  <si>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</si>
  <si>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</si>
  <si>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</si>
  <si>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</si>
  <si>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</si>
  <si>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</si>
  <si>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</si>
  <si>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</si>
  <si>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</si>
  <si>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</si>
  <si>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</si>
  <si>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</si>
  <si>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</si>
  <si>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</si>
  <si>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</si>
  <si>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</si>
  <si>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</si>
  <si>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</si>
  <si>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</si>
  <si>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</si>
  <si>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</si>
  <si>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</si>
  <si>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</si>
  <si>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</si>
  <si>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</si>
  <si>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</si>
  <si>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</si>
  <si>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</si>
  <si>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</si>
  <si>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</si>
  <si>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</si>
  <si>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</si>
  <si>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</si>
  <si>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</si>
  <si>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</si>
  <si>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</si>
  <si>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</si>
  <si>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</si>
  <si>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</si>
  <si>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</si>
  <si>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</si>
  <si>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</si>
  <si>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</si>
  <si>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</si>
  <si>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</si>
  <si>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</si>
  <si>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</si>
  <si>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</si>
  <si>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</si>
  <si>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</si>
  <si>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</si>
  <si>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</si>
  <si>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</si>
  <si>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</si>
  <si>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</si>
  <si>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</si>
  <si>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</si>
  <si>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</si>
  <si>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</si>
  <si>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</si>
  <si>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</si>
  <si>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</si>
  <si>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</si>
  <si>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</si>
  <si>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</si>
  <si>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</si>
  <si>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</si>
  <si>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</si>
  <si>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</si>
  <si>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</si>
  <si>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</si>
  <si>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</si>
  <si>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</si>
  <si>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</si>
  <si>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</si>
  <si>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</si>
  <si>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</si>
  <si>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</si>
  <si>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</si>
  <si>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</si>
  <si>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</si>
  <si>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</si>
  <si>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</si>
  <si>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</si>
  <si>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</si>
  <si>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</si>
  <si>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</si>
  <si>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</si>
  <si>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</si>
  <si>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</si>
  <si>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</si>
  <si>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</si>
  <si>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</si>
  <si>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</si>
  <si>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</si>
  <si>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</si>
  <si>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</si>
  <si>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</si>
  <si>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</si>
  <si>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</si>
  <si>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</si>
  <si>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</si>
  <si>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</si>
  <si>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</si>
  <si>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</si>
  <si>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</si>
  <si>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</si>
  <si>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</si>
  <si>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</si>
  <si>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</si>
  <si>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</si>
  <si>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</si>
  <si>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</si>
  <si>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</si>
  <si>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</si>
  <si>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</si>
  <si>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</si>
  <si>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</si>
  <si>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</si>
  <si>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</si>
  <si>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</si>
  <si>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</si>
  <si>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</si>
  <si>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</si>
  <si>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</si>
  <si>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</si>
  <si>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</si>
  <si>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</si>
  <si>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</si>
  <si>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</si>
  <si>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</si>
  <si>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</si>
  <si>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</si>
  <si>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</si>
  <si>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</si>
  <si>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</si>
  <si>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</si>
  <si>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</si>
  <si>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</si>
  <si>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</si>
  <si>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</si>
  <si>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</si>
  <si>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</si>
  <si>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</si>
  <si>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</si>
  <si>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</si>
  <si>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</si>
  <si>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</si>
  <si>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</si>
  <si>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</si>
  <si>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</si>
  <si>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</si>
  <si>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</si>
  <si>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</si>
  <si>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</si>
  <si>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</si>
  <si>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</si>
  <si>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</si>
  <si>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</si>
  <si>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</si>
  <si>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</si>
  <si>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</si>
  <si>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</si>
  <si>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</si>
  <si>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</si>
  <si>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</si>
  <si>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</si>
  <si>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</si>
  <si>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</si>
  <si>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</si>
  <si>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</si>
  <si>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</si>
  <si>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</si>
  <si>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</si>
  <si>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</si>
  <si>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</si>
  <si>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</si>
  <si>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</si>
  <si>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</si>
  <si>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</si>
  <si>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</si>
  <si>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</si>
  <si>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</si>
  <si>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</si>
  <si>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</si>
  <si>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</si>
  <si>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</si>
  <si>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</si>
  <si>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</si>
  <si>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</si>
  <si>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</si>
  <si>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</si>
  <si>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</si>
  <si>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</si>
  <si>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</si>
  <si>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</si>
  <si>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</si>
  <si>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</si>
  <si>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</si>
  <si>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</si>
  <si>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</si>
  <si>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</si>
  <si>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</si>
  <si>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</si>
  <si>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</si>
  <si>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</si>
  <si>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</si>
  <si>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</si>
  <si>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</si>
  <si>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</si>
  <si>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</si>
  <si>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</si>
  <si>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</si>
  <si>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</si>
  <si>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</si>
  <si>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</si>
  <si>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</si>
  <si>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</si>
  <si>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</si>
  <si>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</si>
  <si>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</si>
  <si>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</si>
  <si>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</si>
  <si>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</si>
  <si>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</si>
  <si>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</si>
  <si>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</si>
  <si>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</si>
  <si>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</si>
  <si>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</si>
  <si>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</si>
  <si>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</si>
  <si>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</si>
  <si>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</si>
  <si>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</si>
  <si>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</si>
  <si>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</si>
  <si>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</si>
  <si>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</si>
  <si>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</si>
  <si>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</si>
  <si>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</si>
  <si>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</si>
  <si>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</si>
  <si>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</si>
  <si>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</si>
  <si>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</si>
  <si>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</si>
  <si>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</si>
  <si>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</si>
  <si>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</si>
  <si>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</si>
  <si>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</si>
  <si>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</si>
  <si>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</si>
  <si>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</si>
  <si>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</si>
  <si>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</si>
  <si>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</si>
  <si>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</si>
  <si>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</si>
  <si>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</si>
  <si>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</si>
  <si>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</si>
  <si>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</si>
  <si>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</si>
  <si>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</si>
  <si>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</si>
  <si>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</si>
  <si>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</si>
  <si>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</si>
  <si>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</si>
  <si>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</si>
  <si>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</si>
  <si>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</si>
  <si>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</si>
  <si>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</si>
  <si>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</si>
  <si>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</si>
  <si>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</si>
  <si>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</si>
  <si>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</si>
  <si>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</si>
  <si>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</si>
  <si>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</si>
  <si>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</si>
  <si>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</si>
  <si>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</si>
  <si>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</si>
  <si>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</si>
  <si>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</si>
  <si>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</si>
  <si>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</si>
  <si>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</si>
  <si>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</si>
  <si>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</si>
  <si>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</si>
  <si>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</si>
  <si>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</si>
  <si>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</si>
  <si>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</si>
  <si>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</si>
  <si>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</si>
  <si>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</si>
  <si>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</si>
  <si>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</si>
  <si>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</si>
  <si>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</si>
  <si>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</si>
  <si>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</si>
  <si>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</si>
  <si>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</si>
  <si>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</si>
  <si>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</si>
  <si>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</si>
  <si>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</si>
  <si>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</si>
  <si>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</si>
  <si>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</si>
  <si>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</si>
  <si>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</si>
  <si>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</si>
  <si>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</si>
  <si>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</si>
  <si>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</si>
  <si>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</si>
  <si>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</si>
  <si>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</si>
  <si>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</si>
  <si>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</si>
  <si>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</si>
  <si>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</si>
  <si>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</si>
  <si>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</si>
  <si>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</si>
  <si>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</si>
  <si>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</si>
  <si>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</si>
  <si>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</si>
  <si>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</si>
  <si>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</si>
  <si>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</si>
  <si>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</si>
  <si>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</si>
  <si>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</si>
  <si>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</si>
  <si>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</si>
  <si>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</si>
  <si>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</si>
  <si>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</si>
  <si>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</si>
  <si>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</si>
  <si>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</si>
  <si>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</si>
  <si>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</si>
  <si>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</si>
  <si>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</si>
  <si>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</si>
  <si>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</si>
  <si>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</si>
  <si>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</si>
  <si>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</si>
  <si>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</si>
  <si>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</si>
  <si>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</si>
  <si>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</si>
  <si>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</si>
  <si>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</si>
  <si>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</si>
  <si>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</si>
  <si>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</si>
  <si>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</si>
  <si>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</si>
  <si>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</si>
  <si>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</si>
  <si>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</si>
  <si>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</si>
  <si>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</si>
  <si>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</si>
  <si>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</si>
  <si>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</si>
  <si>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</si>
  <si>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</si>
  <si>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</si>
  <si>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</si>
  <si>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</si>
  <si>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</si>
  <si>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</si>
  <si>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</si>
  <si>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</si>
  <si>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</si>
  <si>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</si>
  <si>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</si>
  <si>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</si>
  <si>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</si>
  <si>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</si>
  <si>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</si>
  <si>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</si>
  <si>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</si>
  <si>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</si>
  <si>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</si>
  <si>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</si>
  <si>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</si>
  <si>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</si>
  <si>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</si>
  <si>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</si>
  <si>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</si>
  <si>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</si>
  <si>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</si>
  <si>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</si>
  <si>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</si>
  <si>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</si>
  <si>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</si>
  <si>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</si>
  <si>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</si>
  <si>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</si>
  <si>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</si>
  <si>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</si>
  <si>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</si>
  <si>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</si>
  <si>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</si>
  <si>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</si>
  <si>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</si>
  <si>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</si>
  <si>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</si>
  <si>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</si>
  <si>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</si>
  <si>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</si>
  <si>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</si>
  <si>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</si>
  <si>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</si>
  <si>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</si>
  <si>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</si>
  <si>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</si>
  <si>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</si>
  <si>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</si>
  <si>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</si>
  <si>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</si>
  <si>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</si>
  <si>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</si>
  <si>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</si>
  <si>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</si>
  <si>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</si>
  <si>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</si>
  <si>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</si>
  <si>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</si>
  <si>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</si>
  <si>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</si>
  <si>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</si>
  <si>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</si>
  <si>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</si>
  <si>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</si>
  <si>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</si>
  <si>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</si>
  <si>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</si>
  <si>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</si>
  <si>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</si>
  <si>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</si>
  <si>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</si>
  <si>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</si>
  <si>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</si>
  <si>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</si>
  <si>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</si>
  <si>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</si>
  <si>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</si>
  <si>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</si>
  <si>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</si>
  <si>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</si>
  <si>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</si>
  <si>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</si>
  <si>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</si>
  <si>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</si>
  <si>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</si>
  <si>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</si>
  <si>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</si>
  <si>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</si>
  <si>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</si>
  <si>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</si>
  <si>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</si>
  <si>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</si>
  <si>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</si>
  <si>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</si>
  <si>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</si>
  <si>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</si>
  <si>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</si>
  <si>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</si>
  <si>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</si>
  <si>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</si>
  <si>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</si>
  <si>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</si>
  <si>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</si>
  <si>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</si>
  <si>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</si>
  <si>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</si>
  <si>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</si>
  <si>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</si>
  <si>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</si>
  <si>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</si>
  <si>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</si>
  <si>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</si>
  <si>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</si>
  <si>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</si>
  <si>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</si>
  <si>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</si>
  <si>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</si>
  <si>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</si>
  <si>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</si>
  <si>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</si>
  <si>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</si>
  <si>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</si>
  <si>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</si>
  <si>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</si>
  <si>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</si>
  <si>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</si>
  <si>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</si>
  <si>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</si>
  <si>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</si>
  <si>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</si>
  <si>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</si>
  <si>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</si>
  <si>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</si>
  <si>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</si>
  <si>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</si>
  <si>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</si>
  <si>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</si>
  <si>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</si>
  <si>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</si>
  <si>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</si>
  <si>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</si>
  <si>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</si>
  <si>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</si>
  <si>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</si>
  <si>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</si>
  <si>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</si>
  <si>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</si>
  <si>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</si>
  <si>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</si>
  <si>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</si>
  <si>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</si>
  <si>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</si>
  <si>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</si>
  <si>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</si>
  <si>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</si>
  <si>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</si>
  <si>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</si>
  <si>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</si>
  <si>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</si>
  <si>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</si>
  <si>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</si>
  <si>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</si>
  <si>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</si>
  <si>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</si>
  <si>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</si>
  <si>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</si>
  <si>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</si>
  <si>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</si>
  <si>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</si>
  <si>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</si>
  <si>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</si>
  <si>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</si>
  <si>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</si>
  <si>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</si>
  <si>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</si>
  <si>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</si>
  <si>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</si>
  <si>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</si>
  <si>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</si>
  <si>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</si>
  <si>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</si>
  <si>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</si>
  <si>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</si>
  <si>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</si>
  <si>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</si>
  <si>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</si>
  <si>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</si>
  <si>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</si>
  <si>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</si>
  <si>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</si>
  <si>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</si>
  <si>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</si>
  <si>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</si>
  <si>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</si>
  <si>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</si>
  <si>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</si>
  <si>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</si>
  <si>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</si>
  <si>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</si>
  <si>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</si>
  <si>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</si>
  <si>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</si>
  <si>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</si>
  <si>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</si>
  <si>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</si>
  <si>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</si>
  <si>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</si>
  <si>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</si>
  <si>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</si>
  <si>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</si>
  <si>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</si>
  <si>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</si>
  <si>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</si>
  <si>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</si>
  <si>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</si>
  <si>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</si>
  <si>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</si>
  <si>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</si>
  <si>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</si>
  <si>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</si>
  <si>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</si>
  <si>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</si>
  <si>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</si>
  <si>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</si>
  <si>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</si>
  <si>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</si>
  <si>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</si>
  <si>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</si>
  <si>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</si>
  <si>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</si>
  <si>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</si>
  <si>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</si>
  <si>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</si>
  <si>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</si>
  <si>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</si>
  <si>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</si>
  <si>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</si>
  <si>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</si>
  <si>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</si>
  <si>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</si>
  <si>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</si>
  <si>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</si>
  <si>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</si>
  <si>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</si>
  <si>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</si>
  <si>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</si>
  <si>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</si>
  <si>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</si>
  <si>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</si>
  <si>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</si>
  <si>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</si>
  <si>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</si>
  <si>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</si>
  <si>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</si>
  <si>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</si>
  <si>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</si>
  <si>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</si>
  <si>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</si>
  <si>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</si>
  <si>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</si>
  <si>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</si>
  <si>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</si>
  <si>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</si>
  <si>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</si>
  <si>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</si>
  <si>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</si>
  <si>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</si>
  <si>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</si>
  <si>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</si>
  <si>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</si>
  <si>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</si>
  <si>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</si>
  <si>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</si>
  <si>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</si>
  <si>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</si>
  <si>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</si>
  <si>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</si>
  <si>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</si>
  <si>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</si>
  <si>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</si>
  <si>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</si>
  <si>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</si>
  <si>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</si>
  <si>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</si>
  <si>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</si>
  <si>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</si>
  <si>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</si>
  <si>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</si>
  <si>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</si>
  <si>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</si>
  <si>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</si>
  <si>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</si>
  <si>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</si>
  <si>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</si>
  <si>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</si>
  <si>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</si>
  <si>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</si>
  <si>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</si>
  <si>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</si>
  <si>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</si>
  <si>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</si>
  <si>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</si>
  <si>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</si>
  <si>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</si>
  <si>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</si>
  <si>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</si>
  <si>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</si>
  <si>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</si>
  <si>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</si>
  <si>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</si>
  <si>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</si>
  <si>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</si>
  <si>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</si>
  <si>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</si>
  <si>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</si>
  <si>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</si>
  <si>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</si>
  <si>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</si>
  <si>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</si>
  <si>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</si>
  <si>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</si>
  <si>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</si>
  <si>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</si>
  <si>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</si>
  <si>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</si>
  <si>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</si>
  <si>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</si>
  <si>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</si>
  <si>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</si>
  <si>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</si>
  <si>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</si>
  <si>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</si>
  <si>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</si>
  <si>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</si>
  <si>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</si>
  <si>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</si>
  <si>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</si>
  <si>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</si>
  <si>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</si>
  <si>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</si>
  <si>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</si>
  <si>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</si>
  <si>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</si>
  <si>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</si>
  <si>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</si>
  <si>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</si>
  <si>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</si>
  <si>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</si>
  <si>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</si>
  <si>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</si>
  <si>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</si>
  <si>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</si>
  <si>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</si>
  <si>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</si>
  <si>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</si>
  <si>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</si>
  <si>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</si>
  <si>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</si>
  <si>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</si>
  <si>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</si>
  <si>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</si>
  <si>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</si>
  <si>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</si>
  <si>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</si>
  <si>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</si>
  <si>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</si>
  <si>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</si>
  <si>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</si>
  <si>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</si>
  <si>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</si>
  <si>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</si>
  <si>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</si>
  <si>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</si>
  <si>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</si>
  <si>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</si>
  <si>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</si>
  <si>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</si>
  <si>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</si>
  <si>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</si>
  <si>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</si>
  <si>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</si>
  <si>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</si>
  <si>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</si>
  <si>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</si>
  <si>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</si>
  <si>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</si>
  <si>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</si>
  <si>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</si>
  <si>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</si>
  <si>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</si>
  <si>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</si>
  <si>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</si>
  <si>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</si>
  <si>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</si>
  <si>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</si>
  <si>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</si>
  <si>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</si>
  <si>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</si>
  <si>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</si>
  <si>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</si>
  <si>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</si>
  <si>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</si>
  <si>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</si>
  <si>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</si>
  <si>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</si>
  <si>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</si>
  <si>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</si>
  <si>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</si>
  <si>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</si>
  <si>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</si>
  <si>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</si>
  <si>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</si>
  <si>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</si>
  <si>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</si>
  <si>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</si>
  <si>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</si>
  <si>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</si>
  <si>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</si>
  <si>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</si>
  <si>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</si>
  <si>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</si>
  <si>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</si>
  <si>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</si>
  <si>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</si>
  <si>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</si>
  <si>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</si>
  <si>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</si>
  <si>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</si>
  <si>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</si>
  <si>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</si>
  <si>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</si>
  <si>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</si>
  <si>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</si>
  <si>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</si>
  <si>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</si>
  <si>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</si>
  <si>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</si>
  <si>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</si>
  <si>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</si>
  <si>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</si>
  <si>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</si>
  <si>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</si>
  <si>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</si>
  <si>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</si>
  <si>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</si>
  <si>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</si>
  <si>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</si>
  <si>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</si>
  <si>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</si>
  <si>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</si>
  <si>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</si>
  <si>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</si>
  <si>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</si>
  <si>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</si>
  <si>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</si>
  <si>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</si>
  <si>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</si>
  <si>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</si>
  <si>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</si>
  <si>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</si>
  <si>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</si>
  <si>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</si>
  <si>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</si>
  <si>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</si>
  <si>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</si>
  <si>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</si>
  <si>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</si>
  <si>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</si>
  <si>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</si>
  <si>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</si>
  <si>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</si>
  <si>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</si>
  <si>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</si>
  <si>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</si>
  <si>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</si>
  <si>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</si>
  <si>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</si>
  <si>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</si>
  <si>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</si>
  <si>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</si>
  <si>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</si>
  <si>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</si>
  <si>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</si>
  <si>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</si>
  <si>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</si>
  <si>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</si>
  <si>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</si>
  <si>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</si>
  <si>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</si>
  <si>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</si>
  <si>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</si>
  <si>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</si>
  <si>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</si>
  <si>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</si>
  <si>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</si>
  <si>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</si>
  <si>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</si>
  <si>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</si>
  <si>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</si>
  <si>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</si>
  <si>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</si>
  <si>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</si>
  <si>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</si>
  <si>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</si>
  <si>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</si>
  <si>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</si>
  <si>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</si>
  <si>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</si>
  <si>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</si>
  <si>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</si>
  <si>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</si>
  <si>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</si>
  <si>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</si>
  <si>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</si>
  <si>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</si>
  <si>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</si>
  <si>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</si>
  <si>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</si>
  <si>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</si>
  <si>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</si>
  <si>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</si>
  <si>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</si>
  <si>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</si>
  <si>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</si>
  <si>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</si>
  <si>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</si>
  <si>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</si>
  <si>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</si>
  <si>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</si>
  <si>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</si>
  <si>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</si>
  <si>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</si>
  <si>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</si>
  <si>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</si>
  <si>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</si>
  <si>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</si>
  <si>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</si>
  <si>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</si>
  <si>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</si>
  <si>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</si>
  <si>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</si>
  <si>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</si>
  <si>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</si>
  <si>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</si>
  <si>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</si>
  <si>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</si>
  <si>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</si>
  <si>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</si>
  <si>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</si>
  <si>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</si>
  <si>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</si>
  <si>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</si>
  <si>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</si>
  <si>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</si>
  <si>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</si>
  <si>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</si>
  <si>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</si>
  <si>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</si>
  <si>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</si>
  <si>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</si>
  <si>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</si>
  <si>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</si>
  <si>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</si>
  <si>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</si>
  <si>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</si>
  <si>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</si>
  <si>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</si>
  <si>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</si>
  <si>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</si>
  <si>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</si>
  <si>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</si>
  <si>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</si>
  <si>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</si>
  <si>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</si>
  <si>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</si>
  <si>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</si>
  <si>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</si>
  <si>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</si>
  <si>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</si>
  <si>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</si>
  <si>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</si>
  <si>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</si>
  <si>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</si>
  <si>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</si>
  <si>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</si>
  <si>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</si>
  <si>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</si>
  <si>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</si>
  <si>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</si>
  <si>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</si>
  <si>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</si>
  <si>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</si>
  <si>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</si>
  <si>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</si>
  <si>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</si>
  <si>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</si>
  <si>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</si>
  <si>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</si>
  <si>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</si>
  <si>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</si>
  <si>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</si>
  <si>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</si>
  <si>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</si>
  <si>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</si>
  <si>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</si>
  <si>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</si>
  <si>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</si>
  <si>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</si>
  <si>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</si>
  <si>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</si>
  <si>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</si>
  <si>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</si>
  <si>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</si>
  <si>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</si>
  <si>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</si>
  <si>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</si>
  <si>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</si>
  <si>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</si>
  <si>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</si>
  <si>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</si>
  <si>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</si>
  <si>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</si>
  <si>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</si>
  <si>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</si>
  <si>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</si>
  <si>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</si>
  <si>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</si>
  <si>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</si>
  <si>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</si>
  <si>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</si>
  <si>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</si>
  <si>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</si>
  <si>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</si>
  <si>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</si>
  <si>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</si>
  <si>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</si>
  <si>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</si>
  <si>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</si>
  <si>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</si>
  <si>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</si>
  <si>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</si>
  <si>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</si>
  <si>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</si>
  <si>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</si>
  <si>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</si>
  <si>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</si>
  <si>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</si>
  <si>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</si>
  <si>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</si>
  <si>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</si>
  <si>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</si>
  <si>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</si>
  <si>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</si>
  <si>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</si>
  <si>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</si>
  <si>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</si>
  <si>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</si>
  <si>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</si>
  <si>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</si>
  <si>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</si>
  <si>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</si>
  <si>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</si>
  <si>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</si>
  <si>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</si>
  <si>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</si>
  <si>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</si>
  <si>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</si>
  <si>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</si>
  <si>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</si>
  <si>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</si>
  <si>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</si>
  <si>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</si>
  <si>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</si>
  <si>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</si>
  <si>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</si>
  <si>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</si>
  <si>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</si>
  <si>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</si>
  <si>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</si>
  <si>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</si>
  <si>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</si>
  <si>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</si>
  <si>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</si>
  <si>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</si>
  <si>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</si>
  <si>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</si>
  <si>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</si>
  <si>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</si>
  <si>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</si>
  <si>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</si>
  <si>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</si>
  <si>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</si>
  <si>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</si>
  <si>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</si>
  <si>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</si>
  <si>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</si>
  <si>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</si>
  <si>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</si>
  <si>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</si>
  <si>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</si>
  <si>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</si>
  <si>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</si>
  <si>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</si>
  <si>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</si>
  <si>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</si>
  <si>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</si>
  <si>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</si>
  <si>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</si>
  <si>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</si>
  <si>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</si>
  <si>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</si>
  <si>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</si>
  <si>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</si>
  <si>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</si>
  <si>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</si>
  <si>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</si>
  <si>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</si>
  <si>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</si>
  <si>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</si>
  <si>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</si>
  <si>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</si>
  <si>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</si>
  <si>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</si>
  <si>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</si>
  <si>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</si>
  <si>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</si>
  <si>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</si>
  <si>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</si>
  <si>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</si>
  <si>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</si>
  <si>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</si>
  <si>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</si>
  <si>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</si>
  <si>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</si>
  <si>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</si>
  <si>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</si>
  <si>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</si>
  <si>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</si>
  <si>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</si>
  <si>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</si>
  <si>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</si>
  <si>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</si>
  <si>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</si>
  <si>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</si>
  <si>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</si>
  <si>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</si>
  <si>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</si>
  <si>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</si>
  <si>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</si>
  <si>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</si>
  <si>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</si>
  <si>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</si>
  <si>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</si>
  <si>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</si>
  <si>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</si>
  <si>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</si>
  <si>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</si>
  <si>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</si>
  <si>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</si>
  <si>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</si>
  <si>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</si>
  <si>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</si>
  <si>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</si>
  <si>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</si>
  <si>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</si>
  <si>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</si>
  <si>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</si>
  <si>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</si>
  <si>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</si>
  <si>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</si>
  <si>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</si>
  <si>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</si>
  <si>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</si>
  <si>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</si>
  <si>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</si>
  <si>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</si>
  <si>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</si>
  <si>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</si>
  <si>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</si>
  <si>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</si>
  <si>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</si>
  <si>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</si>
  <si>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</si>
  <si>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</si>
  <si>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</si>
  <si>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</si>
  <si>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</si>
  <si>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</si>
  <si>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</si>
  <si>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</si>
  <si>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</si>
  <si>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</si>
  <si>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</si>
  <si>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</si>
  <si>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</si>
  <si>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</si>
  <si>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</si>
  <si>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</si>
  <si>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</si>
  <si>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</si>
  <si>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</si>
  <si>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</si>
  <si>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</si>
  <si>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</si>
  <si>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</si>
  <si>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</si>
  <si>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</si>
  <si>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</si>
  <si>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</si>
  <si>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</si>
  <si>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</si>
  <si>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</si>
  <si>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</si>
  <si>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</si>
  <si>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</si>
  <si>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</si>
  <si>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</si>
  <si>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</si>
  <si>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</si>
  <si>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</si>
  <si>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</si>
  <si>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</si>
  <si>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</si>
  <si>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</si>
  <si>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</si>
  <si>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</si>
  <si>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</si>
  <si>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</si>
  <si>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</si>
  <si>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</si>
  <si>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</si>
  <si>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</si>
  <si>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</si>
  <si>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</si>
  <si>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</si>
  <si>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</si>
  <si>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</si>
  <si>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</si>
  <si>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</si>
  <si>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</si>
  <si>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</si>
  <si>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</si>
  <si>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</si>
  <si>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</si>
  <si>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</si>
  <si>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</si>
  <si>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</si>
  <si>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</si>
  <si>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</si>
  <si>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</si>
  <si>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</si>
  <si>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</si>
  <si>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</si>
  <si>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</si>
  <si>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</si>
  <si>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</si>
  <si>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</si>
  <si>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</si>
  <si>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</si>
  <si>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</si>
  <si>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</si>
  <si>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</si>
  <si>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</si>
  <si>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</si>
  <si>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</si>
  <si>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</si>
  <si>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</si>
  <si>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</si>
  <si>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</si>
  <si>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</si>
  <si>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</si>
  <si>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</si>
  <si>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</si>
  <si>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</si>
  <si>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</si>
  <si>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</si>
  <si>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</si>
  <si>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</si>
  <si>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</si>
  <si>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</si>
  <si>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</si>
  <si>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</si>
  <si>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</si>
  <si>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</si>
  <si>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</si>
  <si>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</si>
  <si>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</si>
  <si>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</si>
  <si>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</si>
  <si>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</si>
  <si>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</si>
  <si>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</si>
  <si>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</si>
  <si>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</si>
  <si>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</si>
  <si>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</si>
  <si>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</si>
  <si>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</si>
  <si>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</si>
  <si>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</si>
  <si>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</si>
  <si>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</si>
  <si>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</si>
  <si>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</si>
  <si>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</si>
  <si>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</si>
  <si>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</si>
  <si>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</si>
  <si>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</si>
  <si>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</si>
  <si>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</si>
  <si>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</si>
  <si>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</si>
  <si>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</si>
  <si>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</si>
  <si>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</si>
  <si>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</si>
  <si>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</si>
  <si>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</si>
  <si>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</si>
  <si>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</si>
  <si>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</si>
  <si>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</si>
  <si>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</si>
  <si>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</si>
  <si>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</si>
  <si>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</si>
  <si>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</si>
  <si>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</si>
  <si>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</si>
  <si>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</si>
  <si>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</si>
  <si>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</si>
  <si>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</si>
  <si>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</si>
  <si>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</si>
  <si>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</si>
  <si>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</si>
  <si>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</si>
  <si>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</si>
  <si>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</si>
  <si>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</si>
  <si>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</si>
  <si>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</si>
  <si>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</si>
  <si>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</si>
  <si>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</si>
  <si>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</si>
  <si>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</si>
  <si>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</si>
  <si>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</si>
  <si>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</si>
  <si>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</si>
  <si>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</si>
  <si>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</si>
  <si>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</si>
  <si>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</si>
  <si>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</si>
  <si>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</si>
  <si>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</si>
  <si>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</si>
  <si>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</si>
  <si>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</si>
  <si>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</si>
  <si>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</si>
  <si>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</si>
  <si>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</si>
  <si>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</si>
  <si>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</si>
  <si>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</si>
  <si>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</si>
  <si>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</si>
  <si>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</si>
  <si>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</si>
  <si>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</si>
  <si>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</si>
  <si>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</si>
  <si>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</si>
  <si>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</si>
  <si>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</si>
  <si>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</si>
  <si>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</si>
  <si>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</si>
  <si>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</si>
  <si>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</si>
  <si>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</si>
  <si>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</si>
  <si>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</si>
  <si>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</si>
  <si>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</si>
  <si>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</si>
  <si>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</si>
  <si>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</si>
  <si>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</si>
  <si>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</si>
  <si>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</si>
  <si>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</si>
  <si>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</si>
  <si>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</si>
  <si>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</si>
  <si>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</si>
  <si>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</si>
  <si>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</si>
  <si>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</si>
  <si>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</si>
  <si>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</si>
  <si>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</si>
  <si>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</si>
  <si>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</si>
  <si>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</si>
  <si>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</si>
  <si>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</si>
  <si>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</si>
  <si>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</si>
  <si>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</si>
  <si>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</si>
  <si>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</si>
  <si>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</si>
  <si>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</si>
  <si>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</si>
  <si>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</si>
  <si>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</si>
  <si>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</si>
  <si>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</si>
  <si>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</si>
  <si>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</si>
  <si>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</si>
  <si>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</si>
  <si>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</si>
  <si>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</si>
  <si>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</si>
  <si>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</si>
  <si>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</si>
  <si>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</si>
  <si>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</si>
  <si>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</si>
  <si>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</si>
  <si>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</si>
  <si>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</si>
  <si>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</si>
  <si>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</si>
  <si>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</si>
  <si>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</si>
  <si>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</si>
  <si>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</si>
  <si>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</si>
  <si>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</si>
  <si>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</si>
  <si>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</si>
  <si>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</si>
  <si>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</si>
  <si>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</si>
  <si>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</si>
  <si>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</si>
  <si>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</si>
  <si>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</si>
  <si>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</si>
  <si>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</si>
  <si>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</si>
  <si>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</si>
  <si>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</si>
  <si>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</si>
  <si>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</si>
  <si>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</si>
  <si>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</si>
  <si>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</si>
  <si>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</si>
  <si>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</si>
  <si>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</si>
  <si>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</si>
  <si>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</si>
  <si>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</si>
  <si>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</si>
  <si>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</si>
  <si>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</si>
  <si>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</si>
  <si>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</si>
  <si>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</si>
  <si>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</si>
  <si>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</si>
  <si>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</si>
  <si>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</si>
  <si>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</si>
  <si>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</si>
  <si>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</si>
  <si>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</si>
  <si>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</si>
  <si>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</si>
  <si>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</si>
  <si>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</si>
  <si>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</si>
  <si>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</si>
  <si>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</si>
  <si>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</si>
  <si>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</si>
  <si>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</si>
  <si>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</si>
  <si>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</si>
  <si>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</si>
  <si>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</si>
  <si>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</si>
  <si>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</si>
  <si>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</si>
  <si>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</si>
  <si>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</si>
  <si>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</si>
  <si>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</si>
  <si>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</si>
  <si>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</si>
  <si>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</si>
  <si>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</si>
  <si>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</si>
  <si>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</si>
  <si>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</si>
  <si>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</si>
  <si>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</si>
  <si>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</si>
  <si>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</si>
  <si>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</si>
  <si>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</si>
  <si>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</si>
  <si>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</si>
  <si>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</si>
  <si>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</si>
  <si>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</si>
  <si>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</si>
  <si>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</si>
  <si>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</si>
  <si>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</si>
  <si>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</si>
  <si>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</si>
  <si>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</si>
  <si>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</si>
  <si>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</si>
  <si>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</si>
  <si>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</si>
  <si>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</si>
  <si>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</si>
  <si>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</si>
  <si>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</si>
  <si>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</si>
  <si>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</si>
  <si>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</si>
  <si>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</si>
  <si>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</si>
  <si>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</si>
  <si>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</si>
  <si>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</si>
  <si>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</si>
  <si>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</si>
  <si>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</si>
  <si>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</si>
  <si>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</si>
  <si>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</si>
  <si>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</si>
  <si>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</si>
  <si>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</si>
  <si>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</si>
  <si>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</si>
  <si>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</si>
  <si>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</si>
  <si>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</si>
  <si>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</si>
  <si>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</si>
  <si>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</si>
  <si>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</si>
  <si>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</si>
  <si>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</si>
  <si>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</si>
  <si>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</si>
  <si>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</si>
  <si>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</si>
  <si>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</si>
  <si>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</si>
  <si>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</si>
  <si>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</si>
  <si>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</si>
  <si>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</si>
  <si>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</si>
  <si>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</si>
  <si>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</si>
  <si>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</si>
  <si>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</si>
  <si>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</si>
  <si>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</si>
  <si>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</si>
  <si>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</si>
  <si>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</si>
  <si>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</si>
  <si>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</si>
  <si>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</si>
  <si>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</si>
  <si>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</si>
  <si>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</si>
  <si>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</si>
  <si>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</si>
  <si>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</si>
  <si>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</si>
  <si>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</si>
  <si>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</si>
  <si>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</si>
  <si>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</si>
  <si>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</si>
  <si>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</si>
  <si>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</si>
  <si>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</si>
  <si>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</si>
  <si>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</si>
  <si>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</si>
  <si>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</si>
  <si>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</si>
  <si>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</si>
  <si>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</si>
  <si>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</si>
  <si>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</si>
  <si>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</si>
  <si>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</si>
  <si>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</si>
  <si>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</si>
  <si>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</si>
  <si>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</si>
  <si>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</si>
  <si>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</si>
  <si>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</si>
  <si>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</si>
  <si>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</si>
  <si>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</si>
  <si>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</si>
  <si>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</si>
  <si>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</si>
  <si>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</si>
  <si>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</si>
  <si>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</si>
  <si>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</si>
  <si>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</si>
  <si>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</si>
  <si>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</si>
  <si>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</si>
  <si>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</si>
  <si>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</si>
  <si>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</si>
  <si>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</si>
  <si>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</si>
  <si>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</si>
  <si>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</si>
  <si>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</si>
  <si>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</si>
  <si>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</si>
  <si>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</si>
  <si>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</si>
  <si>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</si>
  <si>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</si>
  <si>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</si>
  <si>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</si>
  <si>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</si>
  <si>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</si>
  <si>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</si>
  <si>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</si>
  <si>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</si>
  <si>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</si>
  <si>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</si>
  <si>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</si>
  <si>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</si>
  <si>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</si>
  <si>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</si>
  <si>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</si>
  <si>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地块</t>
  </si>
  <si>
    <t>不动产权证书证号</t>
  </si>
  <si>
    <t>权利人</t>
  </si>
  <si>
    <t>共有情况</t>
  </si>
  <si>
    <t>坐落</t>
  </si>
  <si>
    <t>不动产单元号</t>
  </si>
  <si>
    <t>权利类型</t>
  </si>
  <si>
    <t>权利性质</t>
  </si>
  <si>
    <t>面积</t>
  </si>
  <si>
    <t>使用期限</t>
  </si>
  <si>
    <t>鄂（2018）武汉市东西湖不动产权第0000711号</t>
  </si>
  <si>
    <t>金兆佳置业（武汉）有限公司</t>
  </si>
  <si>
    <t>/</t>
  </si>
  <si>
    <t>东西湖区泾河街金北一路以北、吴新干线以东</t>
  </si>
  <si>
    <t>420112409001GB00004W00000000</t>
    <phoneticPr fontId="144" type="noConversion"/>
  </si>
  <si>
    <t>国有建设用地使用权</t>
  </si>
  <si>
    <t>出让</t>
  </si>
  <si>
    <t>城镇住宅用地</t>
  </si>
  <si>
    <t>住宅2087-12-4、商业2057-12-4</t>
  </si>
  <si>
    <t>鄂（2018）武汉市东西湖不动产权第0000710号</t>
  </si>
  <si>
    <t>420112409001GB00005W00000000</t>
    <phoneticPr fontId="144" type="noConversion"/>
  </si>
  <si>
    <t>鄂（2018）武汉市东西湖不动产权第0000709号</t>
  </si>
  <si>
    <t>420112409001GB00006W00000000</t>
    <phoneticPr fontId="144" type="noConversion"/>
  </si>
  <si>
    <t>项目总土地面积</t>
    <phoneticPr fontId="144" type="noConversion"/>
  </si>
  <si>
    <t>项目计容建筑面积</t>
    <phoneticPr fontId="144" type="noConversion"/>
  </si>
  <si>
    <t>计容容积率</t>
    <phoneticPr fontId="144" type="noConversion"/>
  </si>
  <si>
    <t>楼号</t>
    <phoneticPr fontId="144" type="noConversion"/>
  </si>
  <si>
    <t>楼层</t>
    <phoneticPr fontId="144" type="noConversion"/>
  </si>
  <si>
    <t>不动产权证书</t>
    <phoneticPr fontId="144" type="noConversion"/>
  </si>
  <si>
    <t>规划建筑面积（《建设工程规划许可证》[建字第武规（东）建[2018]072号]）</t>
    <phoneticPr fontId="144" type="noConversion"/>
  </si>
  <si>
    <t>规划建筑面积（测绘）</t>
    <phoneticPr fontId="144" type="noConversion"/>
  </si>
  <si>
    <t>工程进度</t>
    <phoneticPr fontId="144" type="noConversion"/>
  </si>
  <si>
    <t>销售单价</t>
    <phoneticPr fontId="144" type="noConversion"/>
  </si>
  <si>
    <t>证号</t>
    <phoneticPr fontId="144" type="noConversion"/>
  </si>
  <si>
    <t>不动产单元号</t>
    <phoneticPr fontId="144" type="noConversion"/>
  </si>
  <si>
    <t>土地面积</t>
    <phoneticPr fontId="144" type="noConversion"/>
  </si>
  <si>
    <t>合计</t>
    <phoneticPr fontId="144" type="noConversion"/>
  </si>
  <si>
    <t>住宅</t>
    <phoneticPr fontId="144" type="noConversion"/>
  </si>
  <si>
    <t>商业</t>
    <phoneticPr fontId="144" type="noConversion"/>
  </si>
  <si>
    <t>计容设备及其他</t>
    <phoneticPr fontId="144" type="noConversion"/>
  </si>
  <si>
    <t>不计容设备及其他</t>
    <phoneticPr fontId="144" type="noConversion"/>
  </si>
  <si>
    <t>物业管理</t>
    <phoneticPr fontId="144" type="noConversion"/>
  </si>
  <si>
    <t>社区用房</t>
    <phoneticPr fontId="144" type="noConversion"/>
  </si>
  <si>
    <t>其他</t>
    <phoneticPr fontId="144" type="noConversion"/>
  </si>
  <si>
    <t>23#</t>
    <phoneticPr fontId="144" type="noConversion"/>
  </si>
  <si>
    <t>十二层墙柱钢筋绑扎</t>
    <phoneticPr fontId="144" type="noConversion"/>
  </si>
  <si>
    <t>24#</t>
  </si>
  <si>
    <t>主楼底板浇筑</t>
    <phoneticPr fontId="144" type="noConversion"/>
  </si>
  <si>
    <t>25#</t>
  </si>
  <si>
    <t>八层墙柱钢筋绑扎</t>
    <phoneticPr fontId="144" type="noConversion"/>
  </si>
  <si>
    <t>26#</t>
  </si>
  <si>
    <t>二层梁板钢筋绑扎</t>
    <phoneticPr fontId="144" type="noConversion"/>
  </si>
  <si>
    <t>27#</t>
  </si>
  <si>
    <t>负一层顶板钢筋绑扎</t>
  </si>
  <si>
    <t>5#公变</t>
    <phoneticPr fontId="144" type="noConversion"/>
  </si>
  <si>
    <t>6#公变</t>
  </si>
  <si>
    <t>3#门楼</t>
    <phoneticPr fontId="144" type="noConversion"/>
  </si>
  <si>
    <t>小计</t>
    <phoneticPr fontId="144" type="noConversion"/>
  </si>
  <si>
    <t>9#</t>
    <phoneticPr fontId="144" type="noConversion"/>
  </si>
  <si>
    <r>
      <t>10#</t>
    </r>
    <r>
      <rPr>
        <sz val="11"/>
        <color theme="1"/>
        <rFont val="宋体"/>
        <family val="3"/>
        <charset val="134"/>
        <scheme val="minor"/>
      </rPr>
      <t/>
    </r>
  </si>
  <si>
    <t>首层墙柱钢筋绑扎</t>
    <phoneticPr fontId="144" type="noConversion"/>
  </si>
  <si>
    <r>
      <t>11#</t>
    </r>
    <r>
      <rPr>
        <sz val="11"/>
        <color theme="1"/>
        <rFont val="宋体"/>
        <family val="3"/>
        <charset val="134"/>
        <scheme val="minor"/>
      </rPr>
      <t/>
    </r>
  </si>
  <si>
    <r>
      <t>12#</t>
    </r>
    <r>
      <rPr>
        <sz val="11"/>
        <color theme="1"/>
        <rFont val="宋体"/>
        <family val="3"/>
        <charset val="134"/>
        <scheme val="minor"/>
      </rPr>
      <t/>
    </r>
  </si>
  <si>
    <t>六层墙柱钢筋绑扎完成</t>
    <phoneticPr fontId="144" type="noConversion"/>
  </si>
  <si>
    <r>
      <t>13#</t>
    </r>
    <r>
      <rPr>
        <sz val="11"/>
        <color theme="1"/>
        <rFont val="宋体"/>
        <family val="3"/>
        <charset val="134"/>
        <scheme val="minor"/>
      </rPr>
      <t/>
    </r>
  </si>
  <si>
    <t>基础垫层浇筑完成</t>
    <phoneticPr fontId="144" type="noConversion"/>
  </si>
  <si>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</si>
  <si>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</si>
  <si>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</si>
  <si>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</si>
  <si>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</si>
  <si>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</si>
  <si>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</si>
  <si>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r>
      <t>21#</t>
    </r>
    <r>
      <rPr>
        <sz val="11"/>
        <color theme="1"/>
        <rFont val="宋体"/>
        <family val="3"/>
        <charset val="134"/>
        <scheme val="minor"/>
      </rPr>
      <t/>
    </r>
  </si>
  <si>
    <r>
      <t>22#</t>
    </r>
    <r>
      <rPr>
        <sz val="11"/>
        <color theme="1"/>
        <rFont val="宋体"/>
        <family val="3"/>
        <charset val="134"/>
        <scheme val="minor"/>
      </rPr>
      <t/>
    </r>
  </si>
  <si>
    <t>东单元二层墙柱钢筋绑扎，首层墙柱拆模；西单元梁筋绑扎完成，铝模调教完成</t>
    <phoneticPr fontId="144" type="noConversion"/>
  </si>
  <si>
    <t>S5#</t>
    <phoneticPr fontId="144" type="noConversion"/>
  </si>
  <si>
    <t>S6#</t>
  </si>
  <si>
    <t>S7#</t>
  </si>
  <si>
    <t>幼儿园</t>
    <phoneticPr fontId="144" type="noConversion"/>
  </si>
  <si>
    <t>2#公变</t>
  </si>
  <si>
    <t>3#公变</t>
    <phoneticPr fontId="144" type="noConversion"/>
  </si>
  <si>
    <t>4#公变</t>
  </si>
  <si>
    <t>2#门楼</t>
    <phoneticPr fontId="144" type="noConversion"/>
  </si>
  <si>
    <t>地下室人行出入口</t>
    <phoneticPr fontId="144" type="noConversion"/>
  </si>
  <si>
    <t>小计</t>
    <phoneticPr fontId="144" type="noConversion"/>
  </si>
  <si>
    <t>1#</t>
    <phoneticPr fontId="144" type="noConversion"/>
  </si>
  <si>
    <t>主体结构已封顶，2-4、6层砌筑完成，7、8层砌体完成50%，6-8层厨卫反坎施工完成，6层压顶梁支模</t>
    <phoneticPr fontId="144" type="noConversion"/>
  </si>
  <si>
    <t>2#</t>
    <phoneticPr fontId="144" type="noConversion"/>
  </si>
  <si>
    <t>主体结构已封顶，2-4层砌筑完成，6-8层砌体施工完成，9层砌体施工中，2-4、6-12层厨卫反坎施工完成50%，10、12层砌体施工完成70%</t>
    <phoneticPr fontId="144" type="noConversion"/>
  </si>
  <si>
    <t>3#</t>
    <phoneticPr fontId="144" type="noConversion"/>
  </si>
  <si>
    <t>主体结构已封顶</t>
    <phoneticPr fontId="144" type="noConversion"/>
  </si>
  <si>
    <t>4#</t>
  </si>
  <si>
    <t>七层外架搭设</t>
    <phoneticPr fontId="144" type="noConversion"/>
  </si>
  <si>
    <t>5#</t>
  </si>
  <si>
    <t>六层墙柱钢筋绑扎</t>
    <phoneticPr fontId="144" type="noConversion"/>
  </si>
  <si>
    <t>6#</t>
  </si>
  <si>
    <t>五层墙柱钢筋绑扎</t>
    <phoneticPr fontId="144" type="noConversion"/>
  </si>
  <si>
    <t>7#</t>
  </si>
  <si>
    <t>主体结构已封顶</t>
    <phoneticPr fontId="144" type="noConversion"/>
  </si>
  <si>
    <t>8#</t>
  </si>
  <si>
    <t>五层支模施工</t>
    <phoneticPr fontId="144" type="noConversion"/>
  </si>
  <si>
    <t>S1#</t>
    <phoneticPr fontId="144" type="noConversion"/>
  </si>
  <si>
    <t>S2#</t>
  </si>
  <si>
    <t>S3#</t>
  </si>
  <si>
    <t>S4#</t>
  </si>
  <si>
    <t>1#公变</t>
    <phoneticPr fontId="144" type="noConversion"/>
  </si>
  <si>
    <t>1#门楼</t>
    <phoneticPr fontId="144" type="noConversion"/>
  </si>
  <si>
    <t>小计</t>
    <phoneticPr fontId="144" type="noConversion"/>
  </si>
  <si>
    <t>地下室</t>
    <phoneticPr fontId="144" type="noConversion"/>
  </si>
  <si>
    <t>合计</t>
    <phoneticPr fontId="144" type="noConversion"/>
  </si>
  <si>
    <t>郑燚</t>
  </si>
  <si>
    <t>王鹏</t>
  </si>
  <si>
    <t>其他：</t>
  </si>
  <si>
    <t>企业</t>
  </si>
  <si>
    <t>房地产抵押价值</t>
  </si>
  <si>
    <t>抵押</t>
  </si>
  <si>
    <t>东西湖区泾河街金北一路以北、吴新干线以东“佳兆业·悦府”居住项目局部</t>
    <phoneticPr fontId="7" type="noConversion"/>
  </si>
  <si>
    <t>湖北省武汉市</t>
    <phoneticPr fontId="7" type="noConversion"/>
  </si>
  <si>
    <t>中诚信托有限责任公司</t>
    <phoneticPr fontId="7" type="noConversion"/>
  </si>
  <si>
    <t>住宅2087-12-4、商业2057-12-4</t>
    <phoneticPr fontId="144" type="noConversion"/>
  </si>
  <si>
    <t>住宅、商业</t>
  </si>
  <si>
    <t>住宅、商业</t>
    <phoneticPr fontId="7" type="noConversion"/>
  </si>
  <si>
    <r>
      <rPr>
        <sz val="12"/>
        <color theme="9" tint="-0.249977111117893"/>
        <rFont val="宋体"/>
        <family val="3"/>
        <charset val="134"/>
      </rPr>
      <t>住宅</t>
    </r>
    <r>
      <rPr>
        <sz val="12"/>
        <color theme="9" tint="-0.249977111117893"/>
        <rFont val="Arial"/>
        <family val="2"/>
      </rPr>
      <t>68.6</t>
    </r>
    <r>
      <rPr>
        <sz val="12"/>
        <color theme="9" tint="-0.249977111117893"/>
        <rFont val="宋体"/>
        <family val="3"/>
        <charset val="134"/>
      </rPr>
      <t>年、商业</t>
    </r>
    <r>
      <rPr>
        <sz val="12"/>
        <color theme="9" tint="-0.249977111117893"/>
        <rFont val="Arial"/>
        <family val="2"/>
      </rPr>
      <t>38.6</t>
    </r>
    <r>
      <rPr>
        <sz val="12"/>
        <color theme="9" tint="-0.249977111117893"/>
        <rFont val="宋体"/>
        <family val="3"/>
        <charset val="134"/>
      </rPr>
      <t>年</t>
    </r>
    <phoneticPr fontId="7" type="noConversion"/>
  </si>
  <si>
    <t>《不动产权证书》</t>
  </si>
  <si>
    <t>居住项目</t>
  </si>
  <si>
    <t>在建</t>
  </si>
  <si>
    <r>
      <rPr>
        <sz val="12"/>
        <color indexed="8"/>
        <rFont val="宋体"/>
        <family val="3"/>
        <charset val="134"/>
      </rPr>
      <t>一、</t>
    </r>
    <r>
      <rPr>
        <sz val="12"/>
        <color indexed="8"/>
        <rFont val="Arial"/>
        <family val="2"/>
      </rPr>
      <t>A</t>
    </r>
    <r>
      <rPr>
        <sz val="12"/>
        <color indexed="8"/>
        <rFont val="宋体"/>
        <family val="3"/>
        <charset val="134"/>
      </rPr>
      <t>、</t>
    </r>
    <r>
      <rPr>
        <sz val="12"/>
        <color indexed="8"/>
        <rFont val="Arial"/>
        <family val="2"/>
      </rPr>
      <t>C</t>
    </r>
    <r>
      <rPr>
        <sz val="12"/>
        <color indexed="8"/>
        <rFont val="宋体"/>
        <family val="3"/>
        <charset val="134"/>
      </rPr>
      <t xml:space="preserve">地块（一期融兴）：
</t>
    </r>
    <r>
      <rPr>
        <sz val="12"/>
        <color indexed="8"/>
        <rFont val="Arial"/>
        <family val="2"/>
      </rPr>
      <t>1</t>
    </r>
    <r>
      <rPr>
        <sz val="12"/>
        <color indexed="8"/>
        <rFont val="宋体"/>
        <family val="3"/>
        <charset val="134"/>
      </rPr>
      <t>、</t>
    </r>
    <r>
      <rPr>
        <sz val="12"/>
        <color indexed="8"/>
        <rFont val="Arial"/>
        <family val="2"/>
      </rPr>
      <t xml:space="preserve"> 23#</t>
    </r>
    <r>
      <rPr>
        <sz val="12"/>
        <color indexed="8"/>
        <rFont val="宋体"/>
        <family val="3"/>
        <charset val="134"/>
      </rPr>
      <t xml:space="preserve">楼：十二层墙柱钢筋绑扎；
</t>
    </r>
    <r>
      <rPr>
        <sz val="12"/>
        <color indexed="8"/>
        <rFont val="Arial"/>
        <family val="2"/>
      </rPr>
      <t>2</t>
    </r>
    <r>
      <rPr>
        <sz val="12"/>
        <color indexed="8"/>
        <rFont val="宋体"/>
        <family val="3"/>
        <charset val="134"/>
      </rPr>
      <t>、</t>
    </r>
    <r>
      <rPr>
        <sz val="12"/>
        <color indexed="8"/>
        <rFont val="Arial"/>
        <family val="2"/>
      </rPr>
      <t xml:space="preserve"> 24#</t>
    </r>
    <r>
      <rPr>
        <sz val="12"/>
        <color indexed="8"/>
        <rFont val="宋体"/>
        <family val="3"/>
        <charset val="134"/>
      </rPr>
      <t xml:space="preserve">楼：主楼底板浇筑；
</t>
    </r>
    <r>
      <rPr>
        <sz val="12"/>
        <color indexed="8"/>
        <rFont val="Arial"/>
        <family val="2"/>
      </rPr>
      <t>3</t>
    </r>
    <r>
      <rPr>
        <sz val="12"/>
        <color indexed="8"/>
        <rFont val="宋体"/>
        <family val="3"/>
        <charset val="134"/>
      </rPr>
      <t>、</t>
    </r>
    <r>
      <rPr>
        <sz val="12"/>
        <color indexed="8"/>
        <rFont val="Arial"/>
        <family val="2"/>
      </rPr>
      <t xml:space="preserve"> 25#</t>
    </r>
    <r>
      <rPr>
        <sz val="12"/>
        <color indexed="8"/>
        <rFont val="宋体"/>
        <family val="3"/>
        <charset val="134"/>
      </rPr>
      <t xml:space="preserve">楼：八层墙柱钢筋绑扎；
</t>
    </r>
    <r>
      <rPr>
        <sz val="12"/>
        <color indexed="8"/>
        <rFont val="Arial"/>
        <family val="2"/>
      </rPr>
      <t>4</t>
    </r>
    <r>
      <rPr>
        <sz val="12"/>
        <color indexed="8"/>
        <rFont val="宋体"/>
        <family val="3"/>
        <charset val="134"/>
      </rPr>
      <t>、</t>
    </r>
    <r>
      <rPr>
        <sz val="12"/>
        <color indexed="8"/>
        <rFont val="Arial"/>
        <family val="2"/>
      </rPr>
      <t xml:space="preserve"> 26#</t>
    </r>
    <r>
      <rPr>
        <sz val="12"/>
        <color indexed="8"/>
        <rFont val="宋体"/>
        <family val="3"/>
        <charset val="134"/>
      </rPr>
      <t xml:space="preserve">楼：二层梁板钢筋绑扎；
</t>
    </r>
    <r>
      <rPr>
        <sz val="12"/>
        <color indexed="8"/>
        <rFont val="Arial"/>
        <family val="2"/>
      </rPr>
      <t>5</t>
    </r>
    <r>
      <rPr>
        <sz val="12"/>
        <color indexed="8"/>
        <rFont val="宋体"/>
        <family val="3"/>
        <charset val="134"/>
      </rPr>
      <t>、</t>
    </r>
    <r>
      <rPr>
        <sz val="12"/>
        <color indexed="8"/>
        <rFont val="Arial"/>
        <family val="2"/>
      </rPr>
      <t xml:space="preserve"> 27#</t>
    </r>
    <r>
      <rPr>
        <sz val="12"/>
        <color indexed="8"/>
        <rFont val="宋体"/>
        <family val="3"/>
        <charset val="134"/>
      </rPr>
      <t xml:space="preserve">楼：负一层顶板钢筋绑扎；
</t>
    </r>
    <r>
      <rPr>
        <sz val="12"/>
        <color indexed="8"/>
        <rFont val="Arial"/>
        <family val="2"/>
      </rPr>
      <t>6</t>
    </r>
    <r>
      <rPr>
        <sz val="12"/>
        <color indexed="8"/>
        <rFont val="宋体"/>
        <family val="3"/>
        <charset val="134"/>
      </rPr>
      <t>、</t>
    </r>
    <r>
      <rPr>
        <sz val="12"/>
        <color indexed="8"/>
        <rFont val="Arial"/>
        <family val="2"/>
      </rPr>
      <t xml:space="preserve"> 1#</t>
    </r>
    <r>
      <rPr>
        <sz val="12"/>
        <color indexed="8"/>
        <rFont val="宋体"/>
        <family val="3"/>
        <charset val="134"/>
      </rPr>
      <t>栋：主体结构已封顶，</t>
    </r>
    <r>
      <rPr>
        <sz val="12"/>
        <color indexed="8"/>
        <rFont val="Arial"/>
        <family val="2"/>
      </rPr>
      <t>2-4</t>
    </r>
    <r>
      <rPr>
        <sz val="12"/>
        <color indexed="8"/>
        <rFont val="宋体"/>
        <family val="3"/>
        <charset val="134"/>
      </rPr>
      <t>、</t>
    </r>
    <r>
      <rPr>
        <sz val="12"/>
        <color indexed="8"/>
        <rFont val="Arial"/>
        <family val="2"/>
      </rPr>
      <t>6</t>
    </r>
    <r>
      <rPr>
        <sz val="12"/>
        <color indexed="8"/>
        <rFont val="宋体"/>
        <family val="3"/>
        <charset val="134"/>
      </rPr>
      <t>层砌筑完成，</t>
    </r>
    <r>
      <rPr>
        <sz val="12"/>
        <color indexed="8"/>
        <rFont val="Arial"/>
        <family val="2"/>
      </rPr>
      <t>7</t>
    </r>
    <r>
      <rPr>
        <sz val="12"/>
        <color indexed="8"/>
        <rFont val="宋体"/>
        <family val="3"/>
        <charset val="134"/>
      </rPr>
      <t>、</t>
    </r>
    <r>
      <rPr>
        <sz val="12"/>
        <color indexed="8"/>
        <rFont val="Arial"/>
        <family val="2"/>
      </rPr>
      <t>8</t>
    </r>
    <r>
      <rPr>
        <sz val="12"/>
        <color indexed="8"/>
        <rFont val="宋体"/>
        <family val="3"/>
        <charset val="134"/>
      </rPr>
      <t>层砌体完成</t>
    </r>
    <r>
      <rPr>
        <sz val="12"/>
        <color indexed="8"/>
        <rFont val="Arial"/>
        <family val="2"/>
      </rPr>
      <t>50%</t>
    </r>
    <r>
      <rPr>
        <sz val="12"/>
        <color indexed="8"/>
        <rFont val="宋体"/>
        <family val="3"/>
        <charset val="134"/>
      </rPr>
      <t>，</t>
    </r>
    <r>
      <rPr>
        <sz val="12"/>
        <color indexed="8"/>
        <rFont val="Arial"/>
        <family val="2"/>
      </rPr>
      <t>6-8</t>
    </r>
    <r>
      <rPr>
        <sz val="12"/>
        <color indexed="8"/>
        <rFont val="宋体"/>
        <family val="3"/>
        <charset val="134"/>
      </rPr>
      <t>层厨卫反坎施工完成，</t>
    </r>
    <r>
      <rPr>
        <sz val="12"/>
        <color indexed="8"/>
        <rFont val="Arial"/>
        <family val="2"/>
      </rPr>
      <t>6</t>
    </r>
    <r>
      <rPr>
        <sz val="12"/>
        <color indexed="8"/>
        <rFont val="宋体"/>
        <family val="3"/>
        <charset val="134"/>
      </rPr>
      <t xml:space="preserve">层压顶梁支模；
</t>
    </r>
    <r>
      <rPr>
        <sz val="12"/>
        <color indexed="8"/>
        <rFont val="Arial"/>
        <family val="2"/>
      </rPr>
      <t>7</t>
    </r>
    <r>
      <rPr>
        <sz val="12"/>
        <color indexed="8"/>
        <rFont val="宋体"/>
        <family val="3"/>
        <charset val="134"/>
      </rPr>
      <t>、</t>
    </r>
    <r>
      <rPr>
        <sz val="12"/>
        <color indexed="8"/>
        <rFont val="Arial"/>
        <family val="2"/>
      </rPr>
      <t xml:space="preserve"> 2#</t>
    </r>
    <r>
      <rPr>
        <sz val="12"/>
        <color indexed="8"/>
        <rFont val="宋体"/>
        <family val="3"/>
        <charset val="134"/>
      </rPr>
      <t>栋：主体结构已封顶，</t>
    </r>
    <r>
      <rPr>
        <sz val="12"/>
        <color indexed="8"/>
        <rFont val="Arial"/>
        <family val="2"/>
      </rPr>
      <t>2-4</t>
    </r>
    <r>
      <rPr>
        <sz val="12"/>
        <color indexed="8"/>
        <rFont val="宋体"/>
        <family val="3"/>
        <charset val="134"/>
      </rPr>
      <t>层砌筑完成，</t>
    </r>
    <r>
      <rPr>
        <sz val="12"/>
        <color indexed="8"/>
        <rFont val="Arial"/>
        <family val="2"/>
      </rPr>
      <t>6-8</t>
    </r>
    <r>
      <rPr>
        <sz val="12"/>
        <color indexed="8"/>
        <rFont val="宋体"/>
        <family val="3"/>
        <charset val="134"/>
      </rPr>
      <t>层砌体施工完成，</t>
    </r>
    <r>
      <rPr>
        <sz val="12"/>
        <color indexed="8"/>
        <rFont val="Arial"/>
        <family val="2"/>
      </rPr>
      <t>9</t>
    </r>
    <r>
      <rPr>
        <sz val="12"/>
        <color indexed="8"/>
        <rFont val="宋体"/>
        <family val="3"/>
        <charset val="134"/>
      </rPr>
      <t>层砌体施工中，</t>
    </r>
    <r>
      <rPr>
        <sz val="12"/>
        <color indexed="8"/>
        <rFont val="Arial"/>
        <family val="2"/>
      </rPr>
      <t>2-4</t>
    </r>
    <r>
      <rPr>
        <sz val="12"/>
        <color indexed="8"/>
        <rFont val="宋体"/>
        <family val="3"/>
        <charset val="134"/>
      </rPr>
      <t>、</t>
    </r>
    <r>
      <rPr>
        <sz val="12"/>
        <color indexed="8"/>
        <rFont val="Arial"/>
        <family val="2"/>
      </rPr>
      <t>6-12</t>
    </r>
    <r>
      <rPr>
        <sz val="12"/>
        <color indexed="8"/>
        <rFont val="宋体"/>
        <family val="3"/>
        <charset val="134"/>
      </rPr>
      <t>层厨卫反坎施工完成</t>
    </r>
    <r>
      <rPr>
        <sz val="12"/>
        <color indexed="8"/>
        <rFont val="Arial"/>
        <family val="2"/>
      </rPr>
      <t>50%</t>
    </r>
    <r>
      <rPr>
        <sz val="12"/>
        <color indexed="8"/>
        <rFont val="宋体"/>
        <family val="3"/>
        <charset val="134"/>
      </rPr>
      <t>，</t>
    </r>
    <r>
      <rPr>
        <sz val="12"/>
        <color indexed="8"/>
        <rFont val="Arial"/>
        <family val="2"/>
      </rPr>
      <t>10</t>
    </r>
    <r>
      <rPr>
        <sz val="12"/>
        <color indexed="8"/>
        <rFont val="宋体"/>
        <family val="3"/>
        <charset val="134"/>
      </rPr>
      <t>、</t>
    </r>
    <r>
      <rPr>
        <sz val="12"/>
        <color indexed="8"/>
        <rFont val="Arial"/>
        <family val="2"/>
      </rPr>
      <t>12</t>
    </r>
    <r>
      <rPr>
        <sz val="12"/>
        <color indexed="8"/>
        <rFont val="宋体"/>
        <family val="3"/>
        <charset val="134"/>
      </rPr>
      <t>层砌体施工完成</t>
    </r>
    <r>
      <rPr>
        <sz val="12"/>
        <color indexed="8"/>
        <rFont val="Arial"/>
        <family val="2"/>
      </rPr>
      <t>70%</t>
    </r>
    <r>
      <rPr>
        <sz val="12"/>
        <color indexed="8"/>
        <rFont val="宋体"/>
        <family val="3"/>
        <charset val="134"/>
      </rPr>
      <t xml:space="preserve">；
</t>
    </r>
    <r>
      <rPr>
        <sz val="12"/>
        <color indexed="8"/>
        <rFont val="Arial"/>
        <family val="2"/>
      </rPr>
      <t>8</t>
    </r>
    <r>
      <rPr>
        <sz val="12"/>
        <color indexed="8"/>
        <rFont val="宋体"/>
        <family val="3"/>
        <charset val="134"/>
      </rPr>
      <t>、</t>
    </r>
    <r>
      <rPr>
        <sz val="12"/>
        <color indexed="8"/>
        <rFont val="Arial"/>
        <family val="2"/>
      </rPr>
      <t xml:space="preserve"> 3#</t>
    </r>
    <r>
      <rPr>
        <sz val="12"/>
        <color indexed="8"/>
        <rFont val="宋体"/>
        <family val="3"/>
        <charset val="134"/>
      </rPr>
      <t xml:space="preserve">栋：主体结构已封顶；
</t>
    </r>
    <r>
      <rPr>
        <sz val="12"/>
        <color indexed="8"/>
        <rFont val="Arial"/>
        <family val="2"/>
      </rPr>
      <t>9</t>
    </r>
    <r>
      <rPr>
        <sz val="12"/>
        <color indexed="8"/>
        <rFont val="宋体"/>
        <family val="3"/>
        <charset val="134"/>
      </rPr>
      <t>、</t>
    </r>
    <r>
      <rPr>
        <sz val="12"/>
        <color indexed="8"/>
        <rFont val="Arial"/>
        <family val="2"/>
      </rPr>
      <t xml:space="preserve"> 4#</t>
    </r>
    <r>
      <rPr>
        <sz val="12"/>
        <color indexed="8"/>
        <rFont val="宋体"/>
        <family val="3"/>
        <charset val="134"/>
      </rPr>
      <t xml:space="preserve">栋：七层外架搭设；
</t>
    </r>
    <r>
      <rPr>
        <sz val="12"/>
        <color indexed="8"/>
        <rFont val="Arial"/>
        <family val="2"/>
      </rPr>
      <t>10</t>
    </r>
    <r>
      <rPr>
        <sz val="12"/>
        <color indexed="8"/>
        <rFont val="宋体"/>
        <family val="3"/>
        <charset val="134"/>
      </rPr>
      <t>、</t>
    </r>
    <r>
      <rPr>
        <sz val="12"/>
        <color indexed="8"/>
        <rFont val="Arial"/>
        <family val="2"/>
      </rPr>
      <t>      5#</t>
    </r>
    <r>
      <rPr>
        <sz val="12"/>
        <color indexed="8"/>
        <rFont val="宋体"/>
        <family val="3"/>
        <charset val="134"/>
      </rPr>
      <t xml:space="preserve">栋：六层墙柱钢筋绑扎；
</t>
    </r>
    <r>
      <rPr>
        <sz val="12"/>
        <color indexed="8"/>
        <rFont val="Arial"/>
        <family val="2"/>
      </rPr>
      <t>11</t>
    </r>
    <r>
      <rPr>
        <sz val="12"/>
        <color indexed="8"/>
        <rFont val="宋体"/>
        <family val="3"/>
        <charset val="134"/>
      </rPr>
      <t>、</t>
    </r>
    <r>
      <rPr>
        <sz val="12"/>
        <color indexed="8"/>
        <rFont val="Arial"/>
        <family val="2"/>
      </rPr>
      <t>      6#</t>
    </r>
    <r>
      <rPr>
        <sz val="12"/>
        <color indexed="8"/>
        <rFont val="宋体"/>
        <family val="3"/>
        <charset val="134"/>
      </rPr>
      <t xml:space="preserve">楼：五层墙柱钢筋绑扎；
</t>
    </r>
    <r>
      <rPr>
        <sz val="12"/>
        <color indexed="8"/>
        <rFont val="Arial"/>
        <family val="2"/>
      </rPr>
      <t>12</t>
    </r>
    <r>
      <rPr>
        <sz val="12"/>
        <color indexed="8"/>
        <rFont val="宋体"/>
        <family val="3"/>
        <charset val="134"/>
      </rPr>
      <t>、</t>
    </r>
    <r>
      <rPr>
        <sz val="12"/>
        <color indexed="8"/>
        <rFont val="Arial"/>
        <family val="2"/>
      </rPr>
      <t>      7#</t>
    </r>
    <r>
      <rPr>
        <sz val="12"/>
        <color indexed="8"/>
        <rFont val="宋体"/>
        <family val="3"/>
        <charset val="134"/>
      </rPr>
      <t xml:space="preserve">栋：主体结构已封顶；
</t>
    </r>
    <r>
      <rPr>
        <sz val="12"/>
        <color indexed="8"/>
        <rFont val="Arial"/>
        <family val="2"/>
      </rPr>
      <t>13</t>
    </r>
    <r>
      <rPr>
        <sz val="12"/>
        <color indexed="8"/>
        <rFont val="宋体"/>
        <family val="3"/>
        <charset val="134"/>
      </rPr>
      <t>、</t>
    </r>
    <r>
      <rPr>
        <sz val="12"/>
        <color indexed="8"/>
        <rFont val="Arial"/>
        <family val="2"/>
      </rPr>
      <t>      8#</t>
    </r>
    <r>
      <rPr>
        <sz val="12"/>
        <color indexed="8"/>
        <rFont val="宋体"/>
        <family val="3"/>
        <charset val="134"/>
      </rPr>
      <t>栋：五层支模施工。
二、</t>
    </r>
    <r>
      <rPr>
        <sz val="12"/>
        <color indexed="8"/>
        <rFont val="Arial"/>
        <family val="2"/>
      </rPr>
      <t>B</t>
    </r>
    <r>
      <rPr>
        <sz val="12"/>
        <color indexed="8"/>
        <rFont val="宋体"/>
        <family val="3"/>
        <charset val="134"/>
      </rPr>
      <t>地块（二期）：</t>
    </r>
    <r>
      <rPr>
        <sz val="12"/>
        <color indexed="8"/>
        <rFont val="Arial"/>
        <family val="2"/>
      </rPr>
      <t>2</t>
    </r>
    <r>
      <rPr>
        <sz val="12"/>
        <color indexed="8"/>
        <rFont val="宋体"/>
        <family val="3"/>
        <charset val="134"/>
      </rPr>
      <t>、</t>
    </r>
    <r>
      <rPr>
        <sz val="12"/>
        <color indexed="8"/>
        <rFont val="Arial"/>
        <family val="2"/>
      </rPr>
      <t xml:space="preserve"> </t>
    </r>
    <r>
      <rPr>
        <sz val="12"/>
        <color indexed="8"/>
        <rFont val="宋体"/>
        <family val="3"/>
        <charset val="134"/>
      </rPr>
      <t>总包（中天）：</t>
    </r>
    <r>
      <rPr>
        <sz val="12"/>
        <color indexed="8"/>
        <rFont val="Arial"/>
        <family val="2"/>
      </rPr>
      <t>10#</t>
    </r>
    <r>
      <rPr>
        <sz val="12"/>
        <color indexed="8"/>
        <rFont val="宋体"/>
        <family val="3"/>
        <charset val="134"/>
      </rPr>
      <t xml:space="preserve">楼：首层墙柱钢筋绑扎；
</t>
    </r>
    <r>
      <rPr>
        <sz val="12"/>
        <color indexed="8"/>
        <rFont val="Arial"/>
        <family val="2"/>
      </rPr>
      <t>3</t>
    </r>
    <r>
      <rPr>
        <sz val="12"/>
        <color indexed="8"/>
        <rFont val="宋体"/>
        <family val="3"/>
        <charset val="134"/>
      </rPr>
      <t>、</t>
    </r>
    <r>
      <rPr>
        <sz val="12"/>
        <color indexed="8"/>
        <rFont val="Arial"/>
        <family val="2"/>
      </rPr>
      <t xml:space="preserve"> 12#</t>
    </r>
    <r>
      <rPr>
        <sz val="12"/>
        <color indexed="8"/>
        <rFont val="宋体"/>
        <family val="3"/>
        <charset val="134"/>
      </rPr>
      <t xml:space="preserve">楼：六层墙柱钢筋绑扎完成；
</t>
    </r>
    <r>
      <rPr>
        <sz val="12"/>
        <color indexed="8"/>
        <rFont val="Arial"/>
        <family val="2"/>
      </rPr>
      <t>4</t>
    </r>
    <r>
      <rPr>
        <sz val="12"/>
        <color indexed="8"/>
        <rFont val="宋体"/>
        <family val="3"/>
        <charset val="134"/>
      </rPr>
      <t>、</t>
    </r>
    <r>
      <rPr>
        <sz val="12"/>
        <color indexed="8"/>
        <rFont val="Arial"/>
        <family val="2"/>
      </rPr>
      <t xml:space="preserve"> 13#</t>
    </r>
    <r>
      <rPr>
        <sz val="12"/>
        <color indexed="8"/>
        <rFont val="宋体"/>
        <family val="3"/>
        <charset val="134"/>
      </rPr>
      <t xml:space="preserve">楼：基础垫层浇筑完成；
</t>
    </r>
    <r>
      <rPr>
        <sz val="12"/>
        <color indexed="8"/>
        <rFont val="Arial"/>
        <family val="2"/>
      </rPr>
      <t>22#</t>
    </r>
    <r>
      <rPr>
        <sz val="12"/>
        <color indexed="8"/>
        <rFont val="宋体"/>
        <family val="3"/>
        <charset val="134"/>
      </rPr>
      <t>楼：东单元二层墙柱钢筋绑扎，首层墙柱拆模；西单元梁筋绑扎完成，铝模调教完成。</t>
    </r>
    <phoneticPr fontId="7" type="noConversion"/>
  </si>
  <si>
    <t>通路</t>
  </si>
  <si>
    <t>通电</t>
  </si>
  <si>
    <t>通讯</t>
  </si>
  <si>
    <t>通上水</t>
  </si>
  <si>
    <t>通下水</t>
  </si>
  <si>
    <t>燃气</t>
  </si>
  <si>
    <t>平整</t>
  </si>
  <si>
    <t>省会市名称</t>
  </si>
  <si>
    <t>建筑型式</t>
  </si>
  <si>
    <t>说明</t>
  </si>
  <si>
    <t>多层</t>
  </si>
  <si>
    <t>小高层</t>
  </si>
  <si>
    <t>高层</t>
  </si>
  <si>
    <t>武汉</t>
  </si>
  <si>
    <t>钢材和水泥调增</t>
  </si>
  <si>
    <t>成本法</t>
  </si>
  <si>
    <t>假设开发法</t>
  </si>
  <si>
    <t>项目局部</t>
  </si>
  <si>
    <t>成本比率</t>
  </si>
  <si>
    <t>规划建筑面积</t>
  </si>
  <si>
    <t>分摊土地面积</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</si>
  <si>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</si>
  <si>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</si>
  <si>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</si>
  <si>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</si>
  <si>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</si>
  <si>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</si>
  <si>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</si>
  <si>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</si>
  <si>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</si>
  <si>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</si>
  <si>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</si>
  <si>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</si>
  <si>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</si>
  <si>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</si>
  <si>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</si>
  <si>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</si>
  <si>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</si>
  <si>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</si>
  <si>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</si>
  <si>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</si>
  <si>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东西湖区临空港大道以东、金山大道以北</t>
  </si>
  <si>
    <t>武汉市</t>
  </si>
  <si>
    <t>综合用地(含住宅)</t>
  </si>
  <si>
    <t>挂牌</t>
  </si>
  <si>
    <t>P(2019)057号</t>
  </si>
  <si>
    <t>住宅、商服</t>
  </si>
  <si>
    <t>≤4.5</t>
  </si>
  <si>
    <t>2019-05-21</t>
  </si>
  <si>
    <t>武告字(2019年)12号-5</t>
  </si>
  <si>
    <t>武汉耀星房地产开发有限责任公司</t>
  </si>
  <si>
    <t>住宅70年、商服40年</t>
  </si>
  <si>
    <t>3星</t>
  </si>
  <si>
    <t>东西湖区柏泉街张柏路以东、外环线以南</t>
  </si>
  <si>
    <t>住宅用地</t>
  </si>
  <si>
    <t>P(2019)048号</t>
  </si>
  <si>
    <t>住宅、教育</t>
  </si>
  <si>
    <t>≤2.5</t>
  </si>
  <si>
    <t>2019-05-16</t>
  </si>
  <si>
    <t>武告字(2019年)11号-5</t>
  </si>
  <si>
    <t>武汉原绿创变置业有限公司</t>
  </si>
  <si>
    <t>住宅70年、教育50年</t>
  </si>
  <si>
    <t>1星</t>
  </si>
  <si>
    <t>东西湖区三店东路以南、三店中路以西</t>
  </si>
  <si>
    <t>P(2019)049号</t>
  </si>
  <si>
    <t>住宅</t>
  </si>
  <si>
    <t>≤4</t>
  </si>
  <si>
    <t>武告字(2019年)11号-6</t>
  </si>
  <si>
    <t>武汉利嘉置业有限公司</t>
  </si>
  <si>
    <t>住宅70年</t>
  </si>
  <si>
    <t>东西湖区长青街三秀路以西、联盟路以北</t>
  </si>
  <si>
    <t>P(2019)035号</t>
  </si>
  <si>
    <t>≤4.42</t>
  </si>
  <si>
    <t>2019-04-30</t>
  </si>
  <si>
    <t>武告字(2019年)7号-11</t>
  </si>
  <si>
    <t>武汉九坤德胜房地产有限公司</t>
  </si>
  <si>
    <t>东西湖区金银湖街环湖中路以南、环湖四路以西</t>
  </si>
  <si>
    <t>P(2018)167号</t>
  </si>
  <si>
    <t>≤3.5</t>
  </si>
  <si>
    <t>2019-01-25</t>
  </si>
  <si>
    <t>武告字(2018年)26号-7</t>
  </si>
  <si>
    <t>湖北富力房地产开发有限公司</t>
  </si>
  <si>
    <t>东西湖区径河街三店北路以南、径吴路以西</t>
  </si>
  <si>
    <t>P(2018)190号</t>
  </si>
  <si>
    <t>≤2.83</t>
  </si>
  <si>
    <t>武告字(2018年)29号-5</t>
  </si>
  <si>
    <t>武汉冠信房地产开发有限公司</t>
  </si>
  <si>
    <t>2星</t>
  </si>
  <si>
    <t>东西湖区径河街临空港大道以西、三店西路以北</t>
  </si>
  <si>
    <t>P(2018)141号</t>
  </si>
  <si>
    <t>商服、住宅</t>
  </si>
  <si>
    <t>≤3.7</t>
  </si>
  <si>
    <t>2019-01-15</t>
  </si>
  <si>
    <t>武告字(2018年)23号-14</t>
  </si>
  <si>
    <t>武汉奥山圣宏置业有限公司</t>
  </si>
  <si>
    <t>住宅70年,商服40年</t>
  </si>
  <si>
    <t>4星</t>
  </si>
  <si>
    <t>（1）竞买人承诺竞得该地块后，须建设建筑面积不少于30000平方米冰雪综合体，其中，冰雪中心建筑面积不少于25000平方米，体育人才培训中心建筑面积不少于5000平方米。冰雪中心须由竞得人整体自持，自持年限直至土地使用权期满为止。（2）竞买人承诺竞得该地块后，须按五星级标准建设一家建筑规模不少于15000平方米的五星级标准酒店，建设周期不超过23个月。（3）竞得人须引入一家以上（含一家）国际冰上运动培训机构，作为武汉市冰上运动教学及赛队人才输出基地。由东西湖区商务局负责监管落实。</t>
    <phoneticPr fontId="144" type="noConversion"/>
  </si>
  <si>
    <t>东西湖区金山大道以北、新城十二路以西</t>
  </si>
  <si>
    <t>P(2018)164号</t>
  </si>
  <si>
    <t>≤3.0</t>
  </si>
  <si>
    <t>2018-12-25</t>
  </si>
  <si>
    <t>武告字(2018年)26号-4</t>
  </si>
  <si>
    <t>北京北辰实业股份有限公司</t>
  </si>
  <si>
    <t>东西湖区兴工十路以南、食品一路以东</t>
  </si>
  <si>
    <t>P(2018)165号</t>
  </si>
  <si>
    <t>武告字(2018年)26号-5</t>
  </si>
  <si>
    <t>武汉润瑞房地产投资有限公司(海伦堡地产)</t>
  </si>
  <si>
    <t>东西湖区金山大道以北、新城十二路以东</t>
  </si>
  <si>
    <t>P(2018)135号</t>
  </si>
  <si>
    <t>2018-11-30</t>
  </si>
  <si>
    <t>武告字(2018年)23号-8</t>
  </si>
  <si>
    <t>中国葛洲坝集团房地产开发有限公司</t>
  </si>
  <si>
    <t>P(2018)136号</t>
  </si>
  <si>
    <t>≤2.8</t>
  </si>
  <si>
    <t>武告字(2018年)23号-9</t>
  </si>
  <si>
    <t>中国铁建房地产集团有限公司</t>
  </si>
  <si>
    <t>东西湖区团结大道以北、临空港大道以东</t>
  </si>
  <si>
    <t>P(2018)119号</t>
  </si>
  <si>
    <t>≤4.3</t>
  </si>
  <si>
    <t>2018-10-31</t>
  </si>
  <si>
    <t>武告字(2018年)20号-4</t>
  </si>
  <si>
    <t>武汉三江汇物流投资有限公司</t>
  </si>
  <si>
    <t>东西湖区花园中路以北、学府北路以东</t>
  </si>
  <si>
    <t>P(2018)112号</t>
  </si>
  <si>
    <t>≤3.9</t>
  </si>
  <si>
    <t>2018-10-24</t>
  </si>
  <si>
    <t>武告字(2018年)19号-7</t>
  </si>
  <si>
    <t>武汉中原瑞德健康管理有限公司(武汉当代)</t>
  </si>
  <si>
    <t>东西湖区环湖中路南、北区一路西</t>
  </si>
  <si>
    <t>P(2018)111号</t>
  </si>
  <si>
    <t>≤3.4</t>
  </si>
  <si>
    <t>武告字(2018年)19号-6</t>
  </si>
  <si>
    <t>武汉当代华侨城实业发展有限公司(当代+华侨城)</t>
  </si>
  <si>
    <t>东西湖区金银湖街汀香北路西、马池中路北</t>
  </si>
  <si>
    <t>P(2018)110号</t>
  </si>
  <si>
    <t>住宅≤3.5;商办≤4.2</t>
  </si>
  <si>
    <t>2018-10-23</t>
  </si>
  <si>
    <t>武告字(2018年)19号-5</t>
  </si>
  <si>
    <t>武汉市东兴房地产开发公司</t>
  </si>
  <si>
    <t>东西湖区宾新路以西、三店西路以北</t>
  </si>
  <si>
    <t>P(2018)109号</t>
  </si>
  <si>
    <t>武告字(2018年)19号-4</t>
  </si>
  <si>
    <t>武汉瑞华置业发展有限公司(东原)</t>
  </si>
  <si>
    <t>东西湖区三店北路以北、吴新干线以东</t>
  </si>
  <si>
    <t>P(2018)087号</t>
  </si>
  <si>
    <t>≤1.5</t>
  </si>
  <si>
    <t>2018-09-30</t>
  </si>
  <si>
    <t>武告字(2018年)15号-4</t>
  </si>
  <si>
    <t>武汉临空港经济技术开发区城市建设发展投资集团</t>
  </si>
  <si>
    <t>东西湖区三店北路以北、径吴路以西</t>
  </si>
  <si>
    <t>P(2018)095号</t>
  </si>
  <si>
    <t>≤2.7</t>
  </si>
  <si>
    <t>2018-09-29</t>
  </si>
  <si>
    <t>武告字(2018年)17号-5</t>
  </si>
  <si>
    <t>武汉强华房地产开发有限公司(北京首开)</t>
  </si>
  <si>
    <t>东西湖区三店北路以北、宾城路以西</t>
  </si>
  <si>
    <t>P(2018)094号</t>
  </si>
  <si>
    <t>武告字(2018年)17号-4</t>
  </si>
  <si>
    <t>武汉三镇实业房地产开发有限责任公司</t>
  </si>
  <si>
    <t>东西湖区金银湖街环湖路北、柏银公路西</t>
  </si>
  <si>
    <t>P(2017)194号</t>
  </si>
  <si>
    <t>2018-01-30</t>
  </si>
  <si>
    <t>武告字(2017年)21号-4</t>
  </si>
  <si>
    <t>中建三局绿色产业投资有限公司</t>
  </si>
  <si>
    <t>东西湖区径河街七彩北路以东、三店南路以南</t>
  </si>
  <si>
    <t>P(2017)161号</t>
  </si>
  <si>
    <t>2017-12-26</t>
  </si>
  <si>
    <t>武告字(2017年)17号-9</t>
  </si>
  <si>
    <t>武汉祥远房地产开发有限公司</t>
  </si>
  <si>
    <t>东西湖区径河街九通路以东、三店南路以南</t>
  </si>
  <si>
    <t>P(2017)162号</t>
  </si>
  <si>
    <t>武告字(2017年)17号-10</t>
  </si>
  <si>
    <t>武汉华发置业有限公司</t>
  </si>
  <si>
    <t>东西湖区将军一路西、金银潭大道南</t>
  </si>
  <si>
    <t>P(2017)166号</t>
  </si>
  <si>
    <t>武告字(2017年)17号-14</t>
  </si>
  <si>
    <t>武汉福惠虹景房地产开发有限公司</t>
  </si>
  <si>
    <t>东西湖区金银潭大道以北、奥园东路以东</t>
  </si>
  <si>
    <t>P(2017)131号</t>
  </si>
  <si>
    <t>2017-12-13</t>
  </si>
  <si>
    <t>武告字(2017年)15号-4</t>
  </si>
  <si>
    <t>武汉北辰辰智房地产开发有限公司</t>
  </si>
  <si>
    <t>东西湖区径河街办事处三店中路东、黄狮海南</t>
  </si>
  <si>
    <t>P(2017)143号</t>
  </si>
  <si>
    <t>2017-12-04</t>
  </si>
  <si>
    <t>武告字(2017年)15号-16</t>
  </si>
  <si>
    <t>武汉金悦鑫汉和置业有限公司</t>
  </si>
  <si>
    <t>P(2017)132号</t>
  </si>
  <si>
    <t>武告字(2017年)15号-5</t>
  </si>
  <si>
    <t>武汉华侨城实业发展有限公司</t>
  </si>
  <si>
    <t>新径线以北、临空港大道以西、金北一路以北、吴新干线以东</t>
  </si>
  <si>
    <t>工DXH(2017)043号</t>
  </si>
  <si>
    <t>工业用地(通信设备、计算机及其他电子设备制造业)、住宅用地</t>
  </si>
  <si>
    <t>住宅2.0、工业1.2-2.5</t>
  </si>
  <si>
    <t>2017-11-30</t>
  </si>
  <si>
    <t>武告字(2017年)63号</t>
  </si>
  <si>
    <t>中金数谷科技有限公司、金兆佳置业(武汉)有限公司</t>
  </si>
  <si>
    <t>住宅70年、工业50年</t>
  </si>
  <si>
    <t>东西湖区碧水大道与金潭路之间</t>
  </si>
  <si>
    <t>P(2017)013号</t>
  </si>
  <si>
    <t>交通运输、住宅用地</t>
  </si>
  <si>
    <t>2017-02-28</t>
  </si>
  <si>
    <t>武告字(2017年)2号-3</t>
  </si>
  <si>
    <t>武汉地铁地产联合置业有限公司</t>
  </si>
  <si>
    <t>P(2017)014号</t>
  </si>
  <si>
    <t>交通运输、住宅、科教用地</t>
  </si>
  <si>
    <t>武告字(2017年)2号-4</t>
  </si>
  <si>
    <t>住宅70年、科教50年</t>
  </si>
  <si>
    <t>东西湖区径河街金北一路南、张柏路西</t>
  </si>
  <si>
    <t>P(2017)019号</t>
  </si>
  <si>
    <t>住宅、商服用地</t>
  </si>
  <si>
    <t>武告字(2017年)2号-9</t>
  </si>
  <si>
    <t>北京海赋兴业房地产开发有限公司</t>
  </si>
  <si>
    <t>东西湖区奥园东路以西、马池中路以南</t>
  </si>
  <si>
    <t>P(2017)021号</t>
  </si>
  <si>
    <t>武告字(2017年)2号-11</t>
  </si>
  <si>
    <t>广州盈胜投资有限公司</t>
  </si>
  <si>
    <t>70年</t>
  </si>
  <si>
    <t>东西湖区径河街七彩北路东、三店西路南侧</t>
  </si>
  <si>
    <t>P(2016)106号</t>
  </si>
  <si>
    <t>2016-11-24</t>
  </si>
  <si>
    <t>武告字(2016年)18号-5</t>
  </si>
  <si>
    <t>江苏中南建设集团股份有限公司</t>
  </si>
  <si>
    <t>东西湖区径河街办事处三店中路东、金山大道北,黄狮海以南</t>
  </si>
  <si>
    <t>P(2016)082号</t>
  </si>
  <si>
    <t>3.0、3.5</t>
  </si>
  <si>
    <t>2016-08-16</t>
  </si>
  <si>
    <t>武告字(2016年)13号-8</t>
  </si>
  <si>
    <t>武汉融创基业投资控股有限公司</t>
  </si>
  <si>
    <t>东西湖区临空港大道以东、武川公路以南</t>
  </si>
  <si>
    <t>P(2016)070号</t>
  </si>
  <si>
    <t>2016-07-28</t>
  </si>
  <si>
    <t>武告字(2016年)11号-7</t>
  </si>
  <si>
    <t>安徽瑞泰置业有限公司</t>
  </si>
  <si>
    <t>武汉市监测指标情况一览表</t>
  </si>
  <si>
    <t>时间</t>
  </si>
  <si>
    <t>水平值</t>
  </si>
  <si>
    <t>环比增长率</t>
  </si>
  <si>
    <t>正常</t>
  </si>
  <si>
    <t>一般</t>
  </si>
  <si>
    <t>较好</t>
  </si>
  <si>
    <t>六通</t>
  </si>
  <si>
    <t>较好</t>
    <phoneticPr fontId="32" type="noConversion"/>
  </si>
  <si>
    <t>六通一平</t>
    <phoneticPr fontId="32" type="noConversion"/>
  </si>
  <si>
    <t>较适宜</t>
    <phoneticPr fontId="32" type="noConversion"/>
  </si>
  <si>
    <t>较规则</t>
  </si>
  <si>
    <t>较规则</t>
    <phoneticPr fontId="32"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</si>
  <si>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</si>
  <si>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</si>
  <si>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</si>
  <si>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</si>
  <si>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</si>
  <si>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较适宜</t>
    <phoneticPr fontId="32" type="noConversion"/>
  </si>
  <si>
    <t>其他省市系数</t>
  </si>
  <si>
    <t>未包含在土地购买价格中</t>
  </si>
  <si>
    <t>已包含在土地取得成本中</t>
  </si>
  <si>
    <t>60-70（含）</t>
  </si>
  <si>
    <t>住宅</t>
    <phoneticPr fontId="26" type="noConversion"/>
  </si>
  <si>
    <t>美联德玛假日三期德玛风情</t>
  </si>
  <si>
    <t>三店黄狮海东路与三店大道交汇处</t>
  </si>
  <si>
    <t>金地悦海湾</t>
  </si>
  <si>
    <t>吴家山新城三店中路与三店东路交汇处</t>
  </si>
  <si>
    <t>电建地产洺悦御府</t>
  </si>
  <si>
    <t>三店大道与黄狮海东路交汇处（武汉为明学校旁）</t>
  </si>
  <si>
    <t>多层</t>
    <phoneticPr fontId="26" type="noConversion"/>
  </si>
  <si>
    <t>小高层</t>
    <phoneticPr fontId="26" type="noConversion"/>
  </si>
  <si>
    <t>高层</t>
    <phoneticPr fontId="26" type="noConversion"/>
  </si>
  <si>
    <t>钢混</t>
  </si>
  <si>
    <t>钢混</t>
    <phoneticPr fontId="26" type="noConversion"/>
  </si>
  <si>
    <t>中档</t>
  </si>
  <si>
    <t>中档</t>
    <phoneticPr fontId="26" type="noConversion"/>
  </si>
  <si>
    <t>精装修</t>
  </si>
  <si>
    <t>精装修</t>
    <phoneticPr fontId="26" type="noConversion"/>
  </si>
  <si>
    <t>专业</t>
  </si>
  <si>
    <t>专业</t>
    <phoneticPr fontId="26" type="noConversion"/>
  </si>
  <si>
    <t>六通</t>
    <phoneticPr fontId="26" type="noConversion"/>
  </si>
  <si>
    <t>平层</t>
  </si>
  <si>
    <t>平层</t>
    <phoneticPr fontId="26" type="noConversion"/>
  </si>
  <si>
    <t>精装</t>
  </si>
  <si>
    <t>精装</t>
    <phoneticPr fontId="26" type="noConversion"/>
  </si>
  <si>
    <t>简装</t>
    <phoneticPr fontId="26" type="noConversion"/>
  </si>
  <si>
    <t>毛坯</t>
  </si>
  <si>
    <t>毛坯</t>
    <phoneticPr fontId="26" type="noConversion"/>
  </si>
  <si>
    <t>90、103、107平米高层产品，均价12500元/平方米，含精装修（2000元/平方米）</t>
  </si>
  <si>
    <t>94平米11层小高层产品，剩1-4层，均价13500元/平方米，含精装修（2000元/平方米）</t>
  </si>
  <si>
    <t>97、115、131平米34层高层产品，均价15300元/平方米，无装修</t>
  </si>
  <si>
    <t>124、143平米7层多层产品，均价17000，无装修</t>
  </si>
  <si>
    <t>折扣</t>
    <phoneticPr fontId="4" type="noConversion"/>
  </si>
  <si>
    <r>
      <t>95</t>
    </r>
    <r>
      <rPr>
        <sz val="11"/>
        <color indexed="8"/>
        <rFont val="宋体"/>
        <family val="3"/>
        <charset val="134"/>
      </rPr>
      <t>、</t>
    </r>
    <r>
      <rPr>
        <sz val="11"/>
        <color indexed="8"/>
        <rFont val="Arial"/>
        <family val="2"/>
      </rPr>
      <t>126</t>
    </r>
    <r>
      <rPr>
        <sz val="11"/>
        <color indexed="8"/>
        <rFont val="宋体"/>
        <family val="3"/>
        <charset val="134"/>
      </rPr>
      <t>平米</t>
    </r>
    <r>
      <rPr>
        <sz val="11"/>
        <color indexed="8"/>
        <rFont val="Arial"/>
        <family val="2"/>
      </rPr>
      <t>48</t>
    </r>
    <r>
      <rPr>
        <sz val="11"/>
        <color indexed="8"/>
        <rFont val="宋体"/>
        <family val="3"/>
        <charset val="134"/>
      </rPr>
      <t>层高层产品，均价</t>
    </r>
    <r>
      <rPr>
        <sz val="11"/>
        <color indexed="8"/>
        <rFont val="Arial"/>
        <family val="2"/>
      </rPr>
      <t>15000</t>
    </r>
    <r>
      <rPr>
        <sz val="11"/>
        <color indexed="8"/>
        <rFont val="宋体"/>
        <family val="3"/>
        <charset val="134"/>
      </rPr>
      <t>元</t>
    </r>
    <r>
      <rPr>
        <sz val="11"/>
        <color indexed="8"/>
        <rFont val="Arial"/>
        <family val="2"/>
      </rPr>
      <t>/</t>
    </r>
    <r>
      <rPr>
        <sz val="11"/>
        <color indexed="8"/>
        <rFont val="宋体"/>
        <family val="3"/>
        <charset val="134"/>
      </rPr>
      <t>平方米，含精装修（</t>
    </r>
    <r>
      <rPr>
        <sz val="11"/>
        <color indexed="8"/>
        <rFont val="Arial"/>
        <family val="2"/>
      </rPr>
      <t>2200</t>
    </r>
    <r>
      <rPr>
        <sz val="11"/>
        <color indexed="8"/>
        <rFont val="宋体"/>
        <family val="3"/>
        <charset val="134"/>
      </rPr>
      <t>元</t>
    </r>
    <r>
      <rPr>
        <sz val="11"/>
        <color indexed="8"/>
        <rFont val="Arial"/>
        <family val="2"/>
      </rPr>
      <t>/</t>
    </r>
    <r>
      <rPr>
        <sz val="11"/>
        <color indexed="8"/>
        <rFont val="宋体"/>
        <family val="3"/>
        <charset val="134"/>
      </rPr>
      <t>平方米）</t>
    </r>
    <phoneticPr fontId="26" type="noConversion"/>
  </si>
  <si>
    <t>在建（套用方法）</t>
  </si>
  <si>
    <t>按租金收入计税</t>
  </si>
  <si>
    <t>非生产用房</t>
  </si>
  <si>
    <t>是</t>
  </si>
  <si>
    <t>J-21楼盘表第1页/共287页</t>
  </si>
  <si>
    <t>序号</t>
  </si>
  <si>
    <t>项目名称</t>
  </si>
  <si>
    <t>产品类型</t>
  </si>
  <si>
    <t>楼栋名称</t>
  </si>
  <si>
    <t>单元</t>
  </si>
  <si>
    <t>房号</t>
  </si>
  <si>
    <t>房间信息</t>
  </si>
  <si>
    <t>房间状态</t>
  </si>
  <si>
    <t>户型</t>
  </si>
  <si>
    <t>预售建筑面积</t>
  </si>
  <si>
    <t>武汉佳兆业悦府-二期</t>
  </si>
  <si>
    <t>住宅-多层</t>
  </si>
  <si>
    <t>10号楼洋房</t>
  </si>
  <si>
    <t>武汉佳兆业悦府-二期-10号楼洋房-1-101</t>
  </si>
  <si>
    <t>销控</t>
  </si>
  <si>
    <t>YA</t>
  </si>
  <si>
    <t>武汉佳兆业悦府-二期-10号楼洋房-1-102</t>
  </si>
  <si>
    <t>武汉佳兆业悦府-二期-10号楼洋房-1-201</t>
  </si>
  <si>
    <t>YB</t>
  </si>
  <si>
    <t>武汉佳兆业悦府-二期-10号楼洋房-1-202</t>
  </si>
  <si>
    <t>武汉佳兆业悦府-二期-10号楼洋房-1-301</t>
  </si>
  <si>
    <t>YC1</t>
  </si>
  <si>
    <t>武汉佳兆业悦府-二期-10号楼洋房-1-302</t>
  </si>
  <si>
    <t>武汉佳兆业悦府-二期-10号楼洋房-1-401</t>
  </si>
  <si>
    <t>YC</t>
  </si>
  <si>
    <t>武汉佳兆业悦府-二期-10号楼洋房-1-402</t>
  </si>
  <si>
    <t>武汉佳兆业悦府-二期-10号楼洋房-1-501</t>
  </si>
  <si>
    <t>武汉佳兆业悦府-二期-10号楼洋房-1-502</t>
  </si>
  <si>
    <t>武汉佳兆业悦府-二期-10号楼洋房-1-601</t>
  </si>
  <si>
    <t>YD</t>
  </si>
  <si>
    <t>武汉佳兆业悦府-二期-10号楼洋房-1-602</t>
  </si>
  <si>
    <t>武汉佳兆业悦府-二期-10号楼洋房-2-101</t>
  </si>
  <si>
    <t>武汉佳兆业悦府-二期-10号楼洋房-2-102</t>
  </si>
  <si>
    <t>武汉佳兆业悦府-二期-10号楼洋房-2-201</t>
  </si>
  <si>
    <t>武汉佳兆业悦府-二期-10号楼洋房-2-202</t>
  </si>
  <si>
    <t>武汉佳兆业悦府-二期-10号楼洋房-2-301</t>
  </si>
  <si>
    <t>武汉佳兆业悦府-二期-10号楼洋房-2-302</t>
  </si>
  <si>
    <t>武汉佳兆业悦府-二期-10号楼洋房-2-401</t>
  </si>
  <si>
    <t>武汉佳兆业悦府-二期-10号楼洋房-2-402</t>
  </si>
  <si>
    <t>武汉佳兆业悦府-二期-10号楼洋房-2-501</t>
  </si>
  <si>
    <t>武汉佳兆业悦府-二期-10号楼洋房-2-502</t>
  </si>
  <si>
    <t>武汉佳兆业悦府-二期-10号楼洋房-2-601</t>
  </si>
  <si>
    <t>武汉佳兆业悦府-二期-10号楼洋房-2-602</t>
  </si>
  <si>
    <t>11号楼洋房</t>
  </si>
  <si>
    <t>武汉佳兆业悦府-二期-11号楼洋房-1-101</t>
  </si>
  <si>
    <t>武汉佳兆业悦府-二期-11号楼洋房-1-102</t>
  </si>
  <si>
    <t>武汉佳兆业悦府-二期-11号楼洋房-1-201</t>
  </si>
  <si>
    <t>武汉佳兆业悦府-二期-11号楼洋房-1-202</t>
  </si>
  <si>
    <t>武汉佳兆业悦府-二期-11号楼洋房-1-301</t>
  </si>
  <si>
    <t>武汉佳兆业悦府-二期-11号楼洋房-1-302</t>
  </si>
  <si>
    <t>武汉佳兆业悦府-二期-11号楼洋房-1-401</t>
  </si>
  <si>
    <t>武汉佳兆业悦府-二期-11号楼洋房-1-402</t>
  </si>
  <si>
    <t>武汉佳兆业悦府-二期-11号楼洋房-1-501</t>
  </si>
  <si>
    <t>武汉佳兆业悦府-二期-11号楼洋房-1-502</t>
  </si>
  <si>
    <t>武汉佳兆业悦府-二期-11号楼洋房-1-601</t>
  </si>
  <si>
    <t>武汉佳兆业悦府-二期-11号楼洋房-1-602</t>
  </si>
  <si>
    <t>武汉佳兆业悦府-二期-11号楼洋房-2-101</t>
  </si>
  <si>
    <t>武汉佳兆业悦府-二期-11号楼洋房-2-102</t>
  </si>
  <si>
    <t>武汉佳兆业悦府-二期-11号楼洋房-2-201</t>
  </si>
  <si>
    <t>武汉佳兆业悦府-二期-11号楼洋房-2-202</t>
  </si>
  <si>
    <t>武汉佳兆业悦府-二期-11号楼洋房-2-301</t>
  </si>
  <si>
    <t>武汉佳兆业悦府-二期-11号楼洋房-2-302</t>
  </si>
  <si>
    <t>武汉佳兆业悦府-二期-11号楼洋房-2-401</t>
  </si>
  <si>
    <t>武汉佳兆业悦府-二期-11号楼洋房-2-402</t>
  </si>
  <si>
    <t>武汉佳兆业悦府-二期-11号楼洋房-2-501</t>
  </si>
  <si>
    <t>武汉佳兆业悦府-二期-11号楼洋房-2-502</t>
  </si>
  <si>
    <t>武汉佳兆业悦府-二期-11号楼洋房-2-601</t>
  </si>
  <si>
    <t>武汉佳兆业悦府-二期-11号楼洋房-2-602</t>
  </si>
  <si>
    <t>12号楼洋房</t>
  </si>
  <si>
    <t>武汉佳兆业悦府-二期-12号楼洋房-1-101</t>
  </si>
  <si>
    <t>武汉佳兆业悦府-二期-12号楼洋房-1-102</t>
  </si>
  <si>
    <t>武汉佳兆业悦府-二期-12号楼洋房-1-201</t>
  </si>
  <si>
    <t>武汉佳兆业悦府-二期-12号楼洋房-1-202</t>
  </si>
  <si>
    <t>武汉佳兆业悦府-二期-12号楼洋房-1-301</t>
  </si>
  <si>
    <t>武汉佳兆业悦府-二期-12号楼洋房-1-302</t>
  </si>
  <si>
    <t>武汉佳兆业悦府-二期-12号楼洋房-1-401</t>
  </si>
  <si>
    <t>武汉佳兆业悦府-二期-12号楼洋房-1-402</t>
  </si>
  <si>
    <t>武汉佳兆业悦府-二期-12号楼洋房-1-501</t>
  </si>
  <si>
    <t>武汉佳兆业悦府-二期-12号楼洋房-1-502</t>
  </si>
  <si>
    <t>武汉佳兆业悦府-二期-12号楼洋房-1-601</t>
  </si>
  <si>
    <t>武汉佳兆业悦府-二期-12号楼洋房-1-602</t>
  </si>
  <si>
    <t>武汉佳兆业悦府-二期-12号楼洋房-2-101</t>
  </si>
  <si>
    <t>武汉佳兆业悦府-二期-12号楼洋房-2-102</t>
  </si>
  <si>
    <t>武汉佳兆业悦府-二期-12号楼洋房-2-201</t>
  </si>
  <si>
    <t>武汉佳兆业悦府-二期-12号楼洋房-2-202</t>
  </si>
  <si>
    <t>武汉佳兆业悦府-二期-12号楼洋房-2-301</t>
  </si>
  <si>
    <t>武汉佳兆业悦府-二期-12号楼洋房-2-302</t>
  </si>
  <si>
    <t>武汉佳兆业悦府-二期-12号楼洋房-2-401</t>
  </si>
  <si>
    <t>武汉佳兆业悦府-二期-12号楼洋房-2-402</t>
  </si>
  <si>
    <t>武汉佳兆业悦府-二期-12号楼洋房-2-501</t>
  </si>
  <si>
    <t>武汉佳兆业悦府-二期-12号楼洋房-2-502</t>
  </si>
  <si>
    <t>武汉佳兆业悦府-二期-12号楼洋房-2-601</t>
  </si>
  <si>
    <t>武汉佳兆业悦府-二期-12号楼洋房-2-602</t>
  </si>
  <si>
    <t>13号楼洋房</t>
  </si>
  <si>
    <t>武汉佳兆业悦府-二期-13号楼洋房-1-101</t>
  </si>
  <si>
    <t>武汉佳兆业悦府-二期-13号楼洋房-1-102</t>
  </si>
  <si>
    <t>武汉佳兆业悦府-二期-13号楼洋房-1-201</t>
  </si>
  <si>
    <t>武汉佳兆业悦府-二期-13号楼洋房-1-202</t>
  </si>
  <si>
    <t>武汉佳兆业悦府-二期-13号楼洋房-1-301</t>
  </si>
  <si>
    <t>武汉佳兆业悦府-二期-13号楼洋房-1-302</t>
  </si>
  <si>
    <t>武汉佳兆业悦府-二期-13号楼洋房-1-401</t>
  </si>
  <si>
    <t>武汉佳兆业悦府-二期-13号楼洋房-1-402</t>
  </si>
  <si>
    <t>武汉佳兆业悦府-二期-13号楼洋房-1-501</t>
  </si>
  <si>
    <t>武汉佳兆业悦府-二期-13号楼洋房-1-502</t>
  </si>
  <si>
    <t>武汉佳兆业悦府-二期-13号楼洋房-1-601</t>
  </si>
  <si>
    <t>武汉佳兆业悦府-二期-13号楼洋房-1-602</t>
  </si>
  <si>
    <t>武汉佳兆业悦府-二期-13号楼洋房-1-701</t>
  </si>
  <si>
    <t>武汉佳兆业悦府-二期-13号楼洋房-1-702</t>
  </si>
  <si>
    <t>武汉佳兆业悦府-二期-13号楼洋房-2-101</t>
  </si>
  <si>
    <t>武汉佳兆业悦府-二期-13号楼洋房-2-102</t>
  </si>
  <si>
    <t>武汉佳兆业悦府-二期-13号楼洋房-2-201</t>
  </si>
  <si>
    <t>武汉佳兆业悦府-二期-13号楼洋房-2-202</t>
  </si>
  <si>
    <t>武汉佳兆业悦府-二期-13号楼洋房-2-301</t>
  </si>
  <si>
    <t>武汉佳兆业悦府-二期-13号楼洋房-2-302</t>
  </si>
  <si>
    <t>武汉佳兆业悦府-二期-13号楼洋房-2-401</t>
  </si>
  <si>
    <t>武汉佳兆业悦府-二期-13号楼洋房-2-402</t>
  </si>
  <si>
    <t>武汉佳兆业悦府-二期-13号楼洋房-2-501</t>
  </si>
  <si>
    <t>武汉佳兆业悦府-二期-13号楼洋房-2-502</t>
  </si>
  <si>
    <t>武汉佳兆业悦府-二期-13号楼洋房-2-601</t>
  </si>
  <si>
    <t>武汉佳兆业悦府-二期-13号楼洋房-2-602</t>
  </si>
  <si>
    <t>武汉佳兆业悦府-二期-13号楼洋房-2-701</t>
  </si>
  <si>
    <t>武汉佳兆业悦府-二期-13号楼洋房-2-702</t>
  </si>
  <si>
    <t>住宅-高层</t>
  </si>
  <si>
    <t>14号楼</t>
  </si>
  <si>
    <t>武汉佳兆业悦府-二期-14号楼-1-1001</t>
  </si>
  <si>
    <t>GA</t>
  </si>
  <si>
    <t>武汉佳兆业悦府-二期-14号楼-1-1002</t>
  </si>
  <si>
    <t>GC</t>
  </si>
  <si>
    <t>武汉佳兆业悦府-二期-14号楼-1-1003</t>
  </si>
  <si>
    <t>武汉佳兆业悦府-二期-14号楼-1-1004</t>
  </si>
  <si>
    <t>GB</t>
  </si>
  <si>
    <t>武汉佳兆业悦府-二期-14号楼-1-101</t>
  </si>
  <si>
    <t>武汉佳兆业悦府-二期-14号楼-1-102</t>
  </si>
  <si>
    <t>武汉佳兆业悦府-二期-14号楼-1-103</t>
  </si>
  <si>
    <t>武汉佳兆业悦府-二期-14号楼-1-104</t>
  </si>
  <si>
    <t>武汉佳兆业悦府-二期-14号楼-1-1101</t>
  </si>
  <si>
    <t>武汉佳兆业悦府-二期-14号楼-1-1102</t>
  </si>
  <si>
    <t>武汉佳兆业悦府-二期-14号楼-1-1103</t>
  </si>
  <si>
    <t>武汉佳兆业悦府-二期-14号楼-1-1104</t>
  </si>
  <si>
    <t>武汉佳兆业悦府-二期-14号楼-1-201</t>
  </si>
  <si>
    <t>武汉佳兆业悦府-二期-14号楼-1-202</t>
  </si>
  <si>
    <t>武汉佳兆业悦府-二期-14号楼-1-203</t>
  </si>
  <si>
    <t>武汉佳兆业悦府-二期-14号楼-1-204</t>
  </si>
  <si>
    <t>武汉佳兆业悦府-二期-14号楼-1-301</t>
  </si>
  <si>
    <t>武汉佳兆业悦府-二期-14号楼-1-302</t>
  </si>
  <si>
    <t>武汉佳兆业悦府-二期-14号楼-1-303</t>
  </si>
  <si>
    <t>武汉佳兆业悦府-二期-14号楼-1-304</t>
  </si>
  <si>
    <t>武汉佳兆业悦府-二期-14号楼-1-401</t>
  </si>
  <si>
    <t>武汉佳兆业悦府-二期-14号楼-1-402</t>
  </si>
  <si>
    <t>武汉佳兆业悦府-二期-14号楼-1-403</t>
  </si>
  <si>
    <t>武汉佳兆业悦府-二期-14号楼-1-404</t>
  </si>
  <si>
    <t>武汉佳兆业悦府-二期-14号楼-1-501</t>
  </si>
  <si>
    <t>武汉佳兆业悦府-二期-14号楼-1-502</t>
  </si>
  <si>
    <t>武汉佳兆业悦府-二期-14号楼-1-503</t>
  </si>
  <si>
    <t>武汉佳兆业悦府-二期-14号楼-1-504</t>
  </si>
  <si>
    <t>武汉佳兆业悦府-二期-14号楼-1-601</t>
  </si>
  <si>
    <t>武汉佳兆业悦府-二期-14号楼-1-602</t>
  </si>
  <si>
    <t>武汉佳兆业悦府-二期-14号楼-1-603</t>
  </si>
  <si>
    <t>武汉佳兆业悦府-二期-14号楼-1-604</t>
  </si>
  <si>
    <t>武汉佳兆业悦府-二期-14号楼-1-701</t>
  </si>
  <si>
    <t>武汉佳兆业悦府-二期-14号楼-1-702</t>
  </si>
  <si>
    <t>武汉佳兆业悦府-二期-14号楼-1-703</t>
  </si>
  <si>
    <t>武汉佳兆业悦府-二期-14号楼-1-704</t>
  </si>
  <si>
    <t>武汉佳兆业悦府-二期-14号楼-1-801</t>
  </si>
  <si>
    <t>武汉佳兆业悦府-二期-14号楼-1-802</t>
  </si>
  <si>
    <t>武汉佳兆业悦府-二期-14号楼-1-803</t>
  </si>
  <si>
    <t>武汉佳兆业悦府-二期-14号楼-1-804</t>
  </si>
  <si>
    <t>武汉佳兆业悦府-二期-14号楼-1-901</t>
  </si>
  <si>
    <t>武汉佳兆业悦府-二期-14号楼-1-902</t>
  </si>
  <si>
    <t>武汉佳兆业悦府-二期-14号楼-1-903</t>
  </si>
  <si>
    <t>武汉佳兆业悦府-二期-14号楼-1-904</t>
  </si>
  <si>
    <t>武汉佳兆业悦府-二期-14号楼-2-1001</t>
  </si>
  <si>
    <t>武汉佳兆业悦府-二期-14号楼-2-1002</t>
  </si>
  <si>
    <t>武汉佳兆业悦府-二期-14号楼-2-1003</t>
  </si>
  <si>
    <t>武汉佳兆业悦府-二期-14号楼-2-1004</t>
  </si>
  <si>
    <t>武汉佳兆业悦府-二期-14号楼-2-101</t>
  </si>
  <si>
    <t>武汉佳兆业悦府-二期-14号楼-2-102</t>
  </si>
  <si>
    <t>武汉佳兆业悦府-二期-14号楼-2-103</t>
  </si>
  <si>
    <t>武汉佳兆业悦府-二期-14号楼-2-104</t>
  </si>
  <si>
    <t>武汉佳兆业悦府-二期-14号楼-2-1101</t>
  </si>
  <si>
    <t>武汉佳兆业悦府-二期-14号楼-2-1102</t>
  </si>
  <si>
    <t>武汉佳兆业悦府-二期-14号楼-2-1103</t>
  </si>
  <si>
    <t>武汉佳兆业悦府-二期-14号楼-2-1104</t>
  </si>
  <si>
    <t>武汉佳兆业悦府-二期-14号楼-2-201</t>
  </si>
  <si>
    <t>武汉佳兆业悦府-二期-14号楼-2-202</t>
  </si>
  <si>
    <t>武汉佳兆业悦府-二期-14号楼-2-203</t>
  </si>
  <si>
    <t>武汉佳兆业悦府-二期-14号楼-2-204</t>
  </si>
  <si>
    <t>武汉佳兆业悦府-二期-14号楼-2-301</t>
  </si>
  <si>
    <t>武汉佳兆业悦府-二期-14号楼-2-302</t>
  </si>
  <si>
    <t>武汉佳兆业悦府-二期-14号楼-2-303</t>
  </si>
  <si>
    <t>武汉佳兆业悦府-二期-14号楼-2-304</t>
  </si>
  <si>
    <t>武汉佳兆业悦府-二期-14号楼-2-401</t>
  </si>
  <si>
    <t>武汉佳兆业悦府-二期-14号楼-2-402</t>
  </si>
  <si>
    <t>武汉佳兆业悦府-二期-14号楼-2-403</t>
  </si>
  <si>
    <t>武汉佳兆业悦府-二期-14号楼-2-404</t>
  </si>
  <si>
    <t>武汉佳兆业悦府-二期-14号楼-2-501</t>
  </si>
  <si>
    <t>武汉佳兆业悦府-二期-14号楼-2-502</t>
  </si>
  <si>
    <t>武汉佳兆业悦府-二期-14号楼-2-503</t>
  </si>
  <si>
    <t>武汉佳兆业悦府-二期-14号楼-2-504</t>
  </si>
  <si>
    <t>武汉佳兆业悦府-二期-14号楼-2-601</t>
  </si>
  <si>
    <t>武汉佳兆业悦府-二期-14号楼-2-602</t>
  </si>
  <si>
    <t>武汉佳兆业悦府-二期-14号楼-2-603</t>
  </si>
  <si>
    <t>武汉佳兆业悦府-二期-14号楼-2-604</t>
  </si>
  <si>
    <t>武汉佳兆业悦府-二期-14号楼-2-701</t>
  </si>
  <si>
    <t>武汉佳兆业悦府-二期-14号楼-2-702</t>
  </si>
  <si>
    <t>武汉佳兆业悦府-二期-14号楼-2-703</t>
  </si>
  <si>
    <t>武汉佳兆业悦府-二期-14号楼-2-704</t>
  </si>
  <si>
    <t>武汉佳兆业悦府-二期-14号楼-2-801</t>
  </si>
  <si>
    <t>武汉佳兆业悦府-二期-14号楼-2-802</t>
  </si>
  <si>
    <t>武汉佳兆业悦府-二期-14号楼-2-803</t>
  </si>
  <si>
    <t>武汉佳兆业悦府-二期-14号楼-2-804</t>
  </si>
  <si>
    <t>武汉佳兆业悦府-二期-14号楼-2-901</t>
  </si>
  <si>
    <t>武汉佳兆业悦府-二期-14号楼-2-902</t>
  </si>
  <si>
    <t>武汉佳兆业悦府-二期-14号楼-2-903</t>
  </si>
  <si>
    <t>武汉佳兆业悦府-二期-14号楼-2-904</t>
  </si>
  <si>
    <t>15号楼</t>
  </si>
  <si>
    <t>武汉佳兆业悦府-二期-15号楼-1-1001</t>
  </si>
  <si>
    <t>武汉佳兆业悦府-二期-15号楼-1-1002</t>
  </si>
  <si>
    <t>武汉佳兆业悦府-二期-15号楼-1-1003</t>
  </si>
  <si>
    <t>武汉佳兆业悦府-二期-15号楼-1-1004</t>
  </si>
  <si>
    <t>武汉佳兆业悦府-二期-15号楼-1-101</t>
  </si>
  <si>
    <t>武汉佳兆业悦府-二期-15号楼-1-102</t>
  </si>
  <si>
    <t>武汉佳兆业悦府-二期-15号楼-1-103</t>
  </si>
  <si>
    <t>武汉佳兆业悦府-二期-15号楼-1-104</t>
  </si>
  <si>
    <t>武汉佳兆业悦府-二期-15号楼-1-1101</t>
  </si>
  <si>
    <t>武汉佳兆业悦府-二期-15号楼-1-1102</t>
  </si>
  <si>
    <t>武汉佳兆业悦府-二期-15号楼-1-1103</t>
  </si>
  <si>
    <t>武汉佳兆业悦府-二期-15号楼-1-1104</t>
  </si>
  <si>
    <t>武汉佳兆业悦府-二期-15号楼-1-1201</t>
  </si>
  <si>
    <t>武汉佳兆业悦府-二期-15号楼-1-1202</t>
  </si>
  <si>
    <t>武汉佳兆业悦府-二期-15号楼-1-1203</t>
  </si>
  <si>
    <t>武汉佳兆业悦府-二期-15号楼-1-1204</t>
  </si>
  <si>
    <t>武汉佳兆业悦府-二期-15号楼-1-1301</t>
  </si>
  <si>
    <t>武汉佳兆业悦府-二期-15号楼-1-1302</t>
  </si>
  <si>
    <t>武汉佳兆业悦府-二期-15号楼-1-1303</t>
  </si>
  <si>
    <t>武汉佳兆业悦府-二期-15号楼-1-1304</t>
  </si>
  <si>
    <t>武汉佳兆业悦府-二期-15号楼-1-1401</t>
  </si>
  <si>
    <t>武汉佳兆业悦府-二期-15号楼-1-1402</t>
  </si>
  <si>
    <t>武汉佳兆业悦府-二期-15号楼-1-1403</t>
  </si>
  <si>
    <t>武汉佳兆业悦府-二期-15号楼-1-1404</t>
  </si>
  <si>
    <t>武汉佳兆业悦府-二期-15号楼-1-1501</t>
  </si>
  <si>
    <t>武汉佳兆业悦府-二期-15号楼-1-1502</t>
  </si>
  <si>
    <t>武汉佳兆业悦府-二期-15号楼-1-1503</t>
  </si>
  <si>
    <t>武汉佳兆业悦府-二期-15号楼-1-1504</t>
  </si>
  <si>
    <t>武汉佳兆业悦府-二期-15号楼-1-1601</t>
  </si>
  <si>
    <t>武汉佳兆业悦府-二期-15号楼-1-1602</t>
  </si>
  <si>
    <t>武汉佳兆业悦府-二期-15号楼-1-1603</t>
  </si>
  <si>
    <t>武汉佳兆业悦府-二期-15号楼-1-1604</t>
  </si>
  <si>
    <t>武汉佳兆业悦府-二期-15号楼-1-1701</t>
  </si>
  <si>
    <t>武汉佳兆业悦府-二期-15号楼-1-1702</t>
  </si>
  <si>
    <t>武汉佳兆业悦府-二期-15号楼-1-1703</t>
  </si>
  <si>
    <t>武汉佳兆业悦府-二期-15号楼-1-1704</t>
  </si>
  <si>
    <t>武汉佳兆业悦府-二期-15号楼-1-1801</t>
  </si>
  <si>
    <t>武汉佳兆业悦府-二期-15号楼-1-1802</t>
  </si>
  <si>
    <t>武汉佳兆业悦府-二期-15号楼-1-1803</t>
  </si>
  <si>
    <t>武汉佳兆业悦府-二期-15号楼-1-1804</t>
  </si>
  <si>
    <t>武汉佳兆业悦府-二期-15号楼-1-1901</t>
  </si>
  <si>
    <t>武汉佳兆业悦府-二期-15号楼-1-1902</t>
  </si>
  <si>
    <t>武汉佳兆业悦府-二期-15号楼-1-1903</t>
  </si>
  <si>
    <t>武汉佳兆业悦府-二期-15号楼-1-1904</t>
  </si>
  <si>
    <t>武汉佳兆业悦府-二期-15号楼-1-2001</t>
  </si>
  <si>
    <t>武汉佳兆业悦府-二期-15号楼-1-2002</t>
  </si>
  <si>
    <t>武汉佳兆业悦府-二期-15号楼-1-2003</t>
  </si>
  <si>
    <t>武汉佳兆业悦府-二期-15号楼-1-2004</t>
  </si>
  <si>
    <t>武汉佳兆业悦府-二期-15号楼-1-201</t>
  </si>
  <si>
    <t>武汉佳兆业悦府-二期-15号楼-1-202</t>
  </si>
  <si>
    <t>武汉佳兆业悦府-二期-15号楼-1-203</t>
  </si>
  <si>
    <t>武汉佳兆业悦府-二期-15号楼-1-204</t>
  </si>
  <si>
    <t>武汉佳兆业悦府-二期-15号楼-1-2101</t>
  </si>
  <si>
    <t>武汉佳兆业悦府-二期-15号楼-1-2102</t>
  </si>
  <si>
    <t>武汉佳兆业悦府-二期-15号楼-1-2103</t>
  </si>
  <si>
    <t>武汉佳兆业悦府-二期-15号楼-1-2104</t>
  </si>
  <si>
    <t>武汉佳兆业悦府-二期-15号楼-1-301</t>
  </si>
  <si>
    <t>武汉佳兆业悦府-二期-15号楼-1-302</t>
  </si>
  <si>
    <t>武汉佳兆业悦府-二期-15号楼-1-303</t>
  </si>
  <si>
    <t>武汉佳兆业悦府-二期-15号楼-1-304</t>
  </si>
  <si>
    <t>武汉佳兆业悦府-二期-15号楼-1-401</t>
  </si>
  <si>
    <t>武汉佳兆业悦府-二期-15号楼-1-402</t>
  </si>
  <si>
    <t>武汉佳兆业悦府-二期-15号楼-1-403</t>
  </si>
  <si>
    <t>武汉佳兆业悦府-二期-15号楼-1-404</t>
  </si>
  <si>
    <t>武汉佳兆业悦府-二期-15号楼-1-501</t>
  </si>
  <si>
    <t>武汉佳兆业悦府-二期-15号楼-1-502</t>
  </si>
  <si>
    <t>武汉佳兆业悦府-二期-15号楼-1-503</t>
  </si>
  <si>
    <t>武汉佳兆业悦府-二期-15号楼-1-504</t>
  </si>
  <si>
    <t>武汉佳兆业悦府-二期-15号楼-1-601</t>
  </si>
  <si>
    <t>武汉佳兆业悦府-二期-15号楼-1-602</t>
  </si>
  <si>
    <t>武汉佳兆业悦府-二期-15号楼-1-603</t>
  </si>
  <si>
    <t>武汉佳兆业悦府-二期-15号楼-1-604</t>
  </si>
  <si>
    <t>武汉佳兆业悦府-二期-15号楼-1-701</t>
  </si>
  <si>
    <t>武汉佳兆业悦府-二期-15号楼-1-702</t>
  </si>
  <si>
    <t>武汉佳兆业悦府-二期-15号楼-1-703</t>
  </si>
  <si>
    <t>武汉佳兆业悦府-二期-15号楼-1-704</t>
  </si>
  <si>
    <t>武汉佳兆业悦府-二期-15号楼-1-801</t>
  </si>
  <si>
    <t>武汉佳兆业悦府-二期-15号楼-1-802</t>
  </si>
  <si>
    <t>武汉佳兆业悦府-二期-15号楼-1-803</t>
  </si>
  <si>
    <t>武汉佳兆业悦府-二期-15号楼-1-804</t>
  </si>
  <si>
    <t>武汉佳兆业悦府-二期-15号楼-1-901</t>
  </si>
  <si>
    <t>武汉佳兆业悦府-二期-15号楼-1-902</t>
  </si>
  <si>
    <t>武汉佳兆业悦府-二期-15号楼-1-903</t>
  </si>
  <si>
    <t>武汉佳兆业悦府-二期-15号楼-1-904</t>
  </si>
  <si>
    <t>武汉佳兆业悦府-二期-15号楼-2-1001</t>
  </si>
  <si>
    <t>武汉佳兆业悦府-二期-15号楼-2-1002</t>
  </si>
  <si>
    <t>武汉佳兆业悦府-二期-15号楼-2-1003</t>
  </si>
  <si>
    <t>武汉佳兆业悦府-二期-15号楼-2-1004</t>
  </si>
  <si>
    <t>武汉佳兆业悦府-二期-15号楼-2-101</t>
  </si>
  <si>
    <t>武汉佳兆业悦府-二期-15号楼-2-102</t>
  </si>
  <si>
    <t>武汉佳兆业悦府-二期-15号楼-2-103</t>
  </si>
  <si>
    <t>武汉佳兆业悦府-二期-15号楼-2-104</t>
  </si>
  <si>
    <t>武汉佳兆业悦府-二期-15号楼-2-1101</t>
  </si>
  <si>
    <t>武汉佳兆业悦府-二期-15号楼-2-1102</t>
  </si>
  <si>
    <t>武汉佳兆业悦府-二期-15号楼-2-1103</t>
  </si>
  <si>
    <t>武汉佳兆业悦府-二期-15号楼-2-1104</t>
  </si>
  <si>
    <t>武汉佳兆业悦府-二期-15号楼-2-1201</t>
  </si>
  <si>
    <t>武汉佳兆业悦府-二期-15号楼-2-1202</t>
  </si>
  <si>
    <t>武汉佳兆业悦府-二期-15号楼-2-1203</t>
  </si>
  <si>
    <t>武汉佳兆业悦府-二期-15号楼-2-1204</t>
  </si>
  <si>
    <t>武汉佳兆业悦府-二期-15号楼-2-1301</t>
  </si>
  <si>
    <t>武汉佳兆业悦府-二期-15号楼-2-1302</t>
  </si>
  <si>
    <t>武汉佳兆业悦府-二期-15号楼-2-1303</t>
  </si>
  <si>
    <t>武汉佳兆业悦府-二期-15号楼-2-1304</t>
  </si>
  <si>
    <t>武汉佳兆业悦府-二期-15号楼-2-1401</t>
  </si>
  <si>
    <t>武汉佳兆业悦府-二期-15号楼-2-1402</t>
  </si>
  <si>
    <t>武汉佳兆业悦府-二期-15号楼-2-1403</t>
  </si>
  <si>
    <t>武汉佳兆业悦府-二期-15号楼-2-1404</t>
  </si>
  <si>
    <t>武汉佳兆业悦府-二期-15号楼-2-1501</t>
  </si>
  <si>
    <t>武汉佳兆业悦府-二期-15号楼-2-1502</t>
  </si>
  <si>
    <t>武汉佳兆业悦府-二期-15号楼-2-1503</t>
  </si>
  <si>
    <t>武汉佳兆业悦府-二期-15号楼-2-1504</t>
  </si>
  <si>
    <t>武汉佳兆业悦府-二期-15号楼-2-1601</t>
  </si>
  <si>
    <t>武汉佳兆业悦府-二期-15号楼-2-1602</t>
  </si>
  <si>
    <t>武汉佳兆业悦府-二期-15号楼-2-1603</t>
  </si>
  <si>
    <t>武汉佳兆业悦府-二期-15号楼-2-1604</t>
  </si>
  <si>
    <t>武汉佳兆业悦府-二期-15号楼-2-1701</t>
  </si>
  <si>
    <t>武汉佳兆业悦府-二期-15号楼-2-1702</t>
  </si>
  <si>
    <t>武汉佳兆业悦府-二期-15号楼-2-1703</t>
  </si>
  <si>
    <t>武汉佳兆业悦府-二期-15号楼-2-1704</t>
  </si>
  <si>
    <t>武汉佳兆业悦府-二期-15号楼-2-1801</t>
  </si>
  <si>
    <t>武汉佳兆业悦府-二期-15号楼-2-1802</t>
  </si>
  <si>
    <t>武汉佳兆业悦府-二期-15号楼-2-1803</t>
  </si>
  <si>
    <t>武汉佳兆业悦府-二期-15号楼-2-1804</t>
  </si>
  <si>
    <t>武汉佳兆业悦府-二期-15号楼-2-1901</t>
  </si>
  <si>
    <t>武汉佳兆业悦府-二期-15号楼-2-1902</t>
  </si>
  <si>
    <t>武汉佳兆业悦府-二期-15号楼-2-1903</t>
  </si>
  <si>
    <t>武汉佳兆业悦府-二期-15号楼-2-1904</t>
  </si>
  <si>
    <t>武汉佳兆业悦府-二期-15号楼-2-2001</t>
  </si>
  <si>
    <t>武汉佳兆业悦府-二期-15号楼-2-2002</t>
  </si>
  <si>
    <t>武汉佳兆业悦府-二期-15号楼-2-2003</t>
  </si>
  <si>
    <t>武汉佳兆业悦府-二期-15号楼-2-2004</t>
  </si>
  <si>
    <t>武汉佳兆业悦府-二期-15号楼-2-201</t>
  </si>
  <si>
    <t>武汉佳兆业悦府-二期-15号楼-2-202</t>
  </si>
  <si>
    <t>武汉佳兆业悦府-二期-15号楼-2-203</t>
  </si>
  <si>
    <t>武汉佳兆业悦府-二期-15号楼-2-204</t>
  </si>
  <si>
    <t>武汉佳兆业悦府-二期-15号楼-2-2101</t>
  </si>
  <si>
    <t>武汉佳兆业悦府-二期-15号楼-2-2102</t>
  </si>
  <si>
    <t>武汉佳兆业悦府-二期-15号楼-2-2103</t>
  </si>
  <si>
    <t>武汉佳兆业悦府-二期-15号楼-2-2104</t>
  </si>
  <si>
    <t>武汉佳兆业悦府-二期-15号楼-2-301</t>
  </si>
  <si>
    <t>武汉佳兆业悦府-二期-15号楼-2-302</t>
  </si>
  <si>
    <t>武汉佳兆业悦府-二期-15号楼-2-303</t>
  </si>
  <si>
    <t>武汉佳兆业悦府-二期-15号楼-2-304</t>
  </si>
  <si>
    <t>武汉佳兆业悦府-二期-15号楼-2-401</t>
  </si>
  <si>
    <t>武汉佳兆业悦府-二期-15号楼-2-402</t>
  </si>
  <si>
    <t>武汉佳兆业悦府-二期-15号楼-2-403</t>
  </si>
  <si>
    <t>武汉佳兆业悦府-二期-15号楼-2-404</t>
  </si>
  <si>
    <t>武汉佳兆业悦府-二期-15号楼-2-501</t>
  </si>
  <si>
    <t>武汉佳兆业悦府-二期-15号楼-2-502</t>
  </si>
  <si>
    <t>武汉佳兆业悦府-二期-15号楼-2-503</t>
  </si>
  <si>
    <t>武汉佳兆业悦府-二期-15号楼-2-504</t>
  </si>
  <si>
    <t>武汉佳兆业悦府-二期-15号楼-2-601</t>
  </si>
  <si>
    <t>武汉佳兆业悦府-二期-15号楼-2-602</t>
  </si>
  <si>
    <t>武汉佳兆业悦府-二期-15号楼-2-603</t>
  </si>
  <si>
    <t>武汉佳兆业悦府-二期-15号楼-2-604</t>
  </si>
  <si>
    <t>武汉佳兆业悦府-二期-15号楼-2-701</t>
  </si>
  <si>
    <t>武汉佳兆业悦府-二期-15号楼-2-702</t>
  </si>
  <si>
    <t>武汉佳兆业悦府-二期-15号楼-2-703</t>
  </si>
  <si>
    <t>武汉佳兆业悦府-二期-15号楼-2-704</t>
  </si>
  <si>
    <t>武汉佳兆业悦府-二期-15号楼-2-801</t>
  </si>
  <si>
    <t>武汉佳兆业悦府-二期-15号楼-2-802</t>
  </si>
  <si>
    <t>武汉佳兆业悦府-二期-15号楼-2-803</t>
  </si>
  <si>
    <t>武汉佳兆业悦府-二期-15号楼-2-804</t>
  </si>
  <si>
    <t>武汉佳兆业悦府-二期-15号楼-2-901</t>
  </si>
  <si>
    <t>武汉佳兆业悦府-二期-15号楼-2-902</t>
  </si>
  <si>
    <t>武汉佳兆业悦府-二期-15号楼-2-903</t>
  </si>
  <si>
    <t>武汉佳兆业悦府-二期-15号楼-2-904</t>
  </si>
  <si>
    <t>16号楼</t>
  </si>
  <si>
    <t>武汉佳兆业悦府-二期-16号楼-1-1001</t>
  </si>
  <si>
    <t>武汉佳兆业悦府-二期-16号楼-1-1002</t>
  </si>
  <si>
    <t>武汉佳兆业悦府-二期-16号楼-1-1003</t>
  </si>
  <si>
    <t>武汉佳兆业悦府-二期-16号楼-1-1004</t>
  </si>
  <si>
    <t>武汉佳兆业悦府-二期-16号楼-1-101</t>
  </si>
  <si>
    <t>武汉佳兆业悦府-二期-16号楼-1-102</t>
  </si>
  <si>
    <t>武汉佳兆业悦府-二期-16号楼-1-103</t>
  </si>
  <si>
    <t>武汉佳兆业悦府-二期-16号楼-1-104</t>
  </si>
  <si>
    <t>武汉佳兆业悦府-二期-16号楼-1-1101</t>
  </si>
  <si>
    <t>武汉佳兆业悦府-二期-16号楼-1-1102</t>
  </si>
  <si>
    <t>武汉佳兆业悦府-二期-16号楼-1-1103</t>
  </si>
  <si>
    <t>武汉佳兆业悦府-二期-16号楼-1-1104</t>
  </si>
  <si>
    <t>武汉佳兆业悦府-二期-16号楼-1-1201</t>
  </si>
  <si>
    <t>武汉佳兆业悦府-二期-16号楼-1-1202</t>
  </si>
  <si>
    <t>武汉佳兆业悦府-二期-16号楼-1-1203</t>
  </si>
  <si>
    <t>武汉佳兆业悦府-二期-16号楼-1-1204</t>
  </si>
  <si>
    <t>武汉佳兆业悦府-二期-16号楼-1-1301</t>
  </si>
  <si>
    <t>武汉佳兆业悦府-二期-16号楼-1-1302</t>
  </si>
  <si>
    <t>武汉佳兆业悦府-二期-16号楼-1-1303</t>
  </si>
  <si>
    <t>武汉佳兆业悦府-二期-16号楼-1-1304</t>
  </si>
  <si>
    <t>武汉佳兆业悦府-二期-16号楼-1-1401</t>
  </si>
  <si>
    <t>武汉佳兆业悦府-二期-16号楼-1-1402</t>
  </si>
  <si>
    <t>武汉佳兆业悦府-二期-16号楼-1-1403</t>
  </si>
  <si>
    <t>武汉佳兆业悦府-二期-16号楼-1-1404</t>
  </si>
  <si>
    <t>武汉佳兆业悦府-二期-16号楼-1-1501</t>
  </si>
  <si>
    <t>武汉佳兆业悦府-二期-16号楼-1-1502</t>
  </si>
  <si>
    <t>武汉佳兆业悦府-二期-16号楼-1-1503</t>
  </si>
  <si>
    <t>武汉佳兆业悦府-二期-16号楼-1-1504</t>
  </si>
  <si>
    <t>武汉佳兆业悦府-二期-16号楼-1-1601</t>
  </si>
  <si>
    <t>武汉佳兆业悦府-二期-16号楼-1-1602</t>
  </si>
  <si>
    <t>武汉佳兆业悦府-二期-16号楼-1-1603</t>
  </si>
  <si>
    <t>武汉佳兆业悦府-二期-16号楼-1-1604</t>
  </si>
  <si>
    <t>武汉佳兆业悦府-二期-16号楼-1-201</t>
  </si>
  <si>
    <t>武汉佳兆业悦府-二期-16号楼-1-202</t>
  </si>
  <si>
    <t>武汉佳兆业悦府-二期-16号楼-1-203</t>
  </si>
  <si>
    <t>武汉佳兆业悦府-二期-16号楼-1-204</t>
  </si>
  <si>
    <t>武汉佳兆业悦府-二期-16号楼-1-301</t>
  </si>
  <si>
    <t>武汉佳兆业悦府-二期-16号楼-1-302</t>
  </si>
  <si>
    <t>武汉佳兆业悦府-二期-16号楼-1-303</t>
  </si>
  <si>
    <t>武汉佳兆业悦府-二期-16号楼-1-304</t>
  </si>
  <si>
    <t>武汉佳兆业悦府-二期-16号楼-1-401</t>
  </si>
  <si>
    <t>武汉佳兆业悦府-二期-16号楼-1-402</t>
  </si>
  <si>
    <t>武汉佳兆业悦府-二期-16号楼-1-403</t>
  </si>
  <si>
    <t>武汉佳兆业悦府-二期-16号楼-1-404</t>
  </si>
  <si>
    <t>武汉佳兆业悦府-二期-16号楼-1-501</t>
  </si>
  <si>
    <t>武汉佳兆业悦府-二期-16号楼-1-502</t>
  </si>
  <si>
    <t>武汉佳兆业悦府-二期-16号楼-1-503</t>
  </si>
  <si>
    <t>武汉佳兆业悦府-二期-16号楼-1-504</t>
  </si>
  <si>
    <t>武汉佳兆业悦府-二期-16号楼-1-601</t>
  </si>
  <si>
    <t>武汉佳兆业悦府-二期-16号楼-1-602</t>
  </si>
  <si>
    <t>武汉佳兆业悦府-二期-16号楼-1-603</t>
  </si>
  <si>
    <t>武汉佳兆业悦府-二期-16号楼-1-604</t>
  </si>
  <si>
    <t>武汉佳兆业悦府-二期-16号楼-1-701</t>
  </si>
  <si>
    <t>武汉佳兆业悦府-二期-16号楼-1-702</t>
  </si>
  <si>
    <t>武汉佳兆业悦府-二期-16号楼-1-703</t>
  </si>
  <si>
    <t>武汉佳兆业悦府-二期-16号楼-1-704</t>
  </si>
  <si>
    <t>武汉佳兆业悦府-二期-16号楼-1-801</t>
  </si>
  <si>
    <t>武汉佳兆业悦府-二期-16号楼-1-802</t>
  </si>
  <si>
    <t>武汉佳兆业悦府-二期-16号楼-1-803</t>
  </si>
  <si>
    <t>武汉佳兆业悦府-二期-16号楼-1-804</t>
  </si>
  <si>
    <t>武汉佳兆业悦府-二期-16号楼-1-901</t>
  </si>
  <si>
    <t>武汉佳兆业悦府-二期-16号楼-1-902</t>
  </si>
  <si>
    <t>武汉佳兆业悦府-二期-16号楼-1-903</t>
  </si>
  <si>
    <t>武汉佳兆业悦府-二期-16号楼-1-904</t>
  </si>
  <si>
    <t>武汉佳兆业悦府-二期-16号楼-2-1001</t>
  </si>
  <si>
    <t>武汉佳兆业悦府-二期-16号楼-2-1002</t>
  </si>
  <si>
    <t>武汉佳兆业悦府-二期-16号楼-2-1003</t>
  </si>
  <si>
    <t>武汉佳兆业悦府-二期-16号楼-2-1004</t>
  </si>
  <si>
    <t>武汉佳兆业悦府-二期-16号楼-2-101</t>
  </si>
  <si>
    <t>武汉佳兆业悦府-二期-16号楼-2-102</t>
  </si>
  <si>
    <t>武汉佳兆业悦府-二期-16号楼-2-103</t>
  </si>
  <si>
    <t>武汉佳兆业悦府-二期-16号楼-2-104</t>
  </si>
  <si>
    <t>武汉佳兆业悦府-二期-16号楼-2-1101</t>
  </si>
  <si>
    <t>武汉佳兆业悦府-二期-16号楼-2-1102</t>
  </si>
  <si>
    <t>武汉佳兆业悦府-二期-16号楼-2-1103</t>
  </si>
  <si>
    <t>武汉佳兆业悦府-二期-16号楼-2-1104</t>
  </si>
  <si>
    <t>武汉佳兆业悦府-二期-16号楼-2-1201</t>
  </si>
  <si>
    <t>武汉佳兆业悦府-二期-16号楼-2-1202</t>
  </si>
  <si>
    <t>武汉佳兆业悦府-二期-16号楼-2-1203</t>
  </si>
  <si>
    <t>武汉佳兆业悦府-二期-16号楼-2-1204</t>
  </si>
  <si>
    <t>武汉佳兆业悦府-二期-16号楼-2-1301</t>
  </si>
  <si>
    <t>武汉佳兆业悦府-二期-16号楼-2-1302</t>
  </si>
  <si>
    <t>武汉佳兆业悦府-二期-16号楼-2-1303</t>
  </si>
  <si>
    <t>武汉佳兆业悦府-二期-16号楼-2-1304</t>
  </si>
  <si>
    <t>武汉佳兆业悦府-二期-16号楼-2-1401</t>
  </si>
  <si>
    <t>武汉佳兆业悦府-二期-16号楼-2-1402</t>
  </si>
  <si>
    <t>武汉佳兆业悦府-二期-16号楼-2-1403</t>
  </si>
  <si>
    <t>武汉佳兆业悦府-二期-16号楼-2-1404</t>
  </si>
  <si>
    <t>武汉佳兆业悦府-二期-16号楼-2-1501</t>
  </si>
  <si>
    <t>武汉佳兆业悦府-二期-16号楼-2-1502</t>
  </si>
  <si>
    <t>武汉佳兆业悦府-二期-16号楼-2-1503</t>
  </si>
  <si>
    <t>武汉佳兆业悦府-二期-16号楼-2-1504</t>
  </si>
  <si>
    <t>武汉佳兆业悦府-二期-16号楼-2-1601</t>
  </si>
  <si>
    <t>武汉佳兆业悦府-二期-16号楼-2-1602</t>
  </si>
  <si>
    <t>武汉佳兆业悦府-二期-16号楼-2-1603</t>
  </si>
  <si>
    <t>武汉佳兆业悦府-二期-16号楼-2-1604</t>
  </si>
  <si>
    <t>武汉佳兆业悦府-二期-16号楼-2-201</t>
  </si>
  <si>
    <t>武汉佳兆业悦府-二期-16号楼-2-202</t>
  </si>
  <si>
    <t>武汉佳兆业悦府-二期-16号楼-2-203</t>
  </si>
  <si>
    <t>武汉佳兆业悦府-二期-16号楼-2-204</t>
  </si>
  <si>
    <t>武汉佳兆业悦府-二期-16号楼-2-301</t>
  </si>
  <si>
    <t>武汉佳兆业悦府-二期-16号楼-2-302</t>
  </si>
  <si>
    <t>武汉佳兆业悦府-二期-16号楼-2-303</t>
  </si>
  <si>
    <t>武汉佳兆业悦府-二期-16号楼-2-304</t>
  </si>
  <si>
    <t>武汉佳兆业悦府-二期-16号楼-2-401</t>
  </si>
  <si>
    <t>武汉佳兆业悦府-二期-16号楼-2-402</t>
  </si>
  <si>
    <t>武汉佳兆业悦府-二期-16号楼-2-403</t>
  </si>
  <si>
    <t>武汉佳兆业悦府-二期-16号楼-2-404</t>
  </si>
  <si>
    <t>武汉佳兆业悦府-二期-16号楼-2-501</t>
  </si>
  <si>
    <t>武汉佳兆业悦府-二期-16号楼-2-502</t>
  </si>
  <si>
    <t>武汉佳兆业悦府-二期-16号楼-2-503</t>
  </si>
  <si>
    <t>武汉佳兆业悦府-二期-16号楼-2-504</t>
  </si>
  <si>
    <t>武汉佳兆业悦府-二期-16号楼-2-601</t>
  </si>
  <si>
    <t>武汉佳兆业悦府-二期-16号楼-2-602</t>
  </si>
  <si>
    <t>武汉佳兆业悦府-二期-16号楼-2-603</t>
  </si>
  <si>
    <t>武汉佳兆业悦府-二期-16号楼-2-604</t>
  </si>
  <si>
    <t>武汉佳兆业悦府-二期-16号楼-2-701</t>
  </si>
  <si>
    <t>武汉佳兆业悦府-二期-16号楼-2-702</t>
  </si>
  <si>
    <t>武汉佳兆业悦府-二期-16号楼-2-703</t>
  </si>
  <si>
    <t>武汉佳兆业悦府-二期-16号楼-2-704</t>
  </si>
  <si>
    <t>武汉佳兆业悦府-二期-16号楼-2-801</t>
  </si>
  <si>
    <t>武汉佳兆业悦府-二期-16号楼-2-802</t>
  </si>
  <si>
    <t>武汉佳兆业悦府-二期-16号楼-2-803</t>
  </si>
  <si>
    <t>武汉佳兆业悦府-二期-16号楼-2-804</t>
  </si>
  <si>
    <t>武汉佳兆业悦府-二期-16号楼-2-901</t>
  </si>
  <si>
    <t>武汉佳兆业悦府-二期-16号楼-2-902</t>
  </si>
  <si>
    <t>武汉佳兆业悦府-二期-16号楼-2-903</t>
  </si>
  <si>
    <t>武汉佳兆业悦府-二期-16号楼-2-904</t>
  </si>
  <si>
    <t>17号楼</t>
  </si>
  <si>
    <t>武汉佳兆业悦府-二期-17号楼-1001</t>
  </si>
  <si>
    <t>武汉佳兆业悦府-二期-17号楼-1002</t>
  </si>
  <si>
    <t>武汉佳兆业悦府-二期-17号楼-1003</t>
  </si>
  <si>
    <t>武汉佳兆业悦府-二期-17号楼-1004</t>
  </si>
  <si>
    <t>武汉佳兆业悦府-二期-17号楼-101</t>
  </si>
  <si>
    <t>武汉佳兆业悦府-二期-17号楼-102</t>
  </si>
  <si>
    <t>武汉佳兆业悦府-二期-17号楼-103</t>
  </si>
  <si>
    <t>武汉佳兆业悦府-二期-17号楼-104</t>
  </si>
  <si>
    <t>武汉佳兆业悦府-二期-17号楼-1101</t>
  </si>
  <si>
    <t>武汉佳兆业悦府-二期-17号楼-1102</t>
  </si>
  <si>
    <t>武汉佳兆业悦府-二期-17号楼-1103</t>
  </si>
  <si>
    <t>武汉佳兆业悦府-二期-17号楼-1104</t>
  </si>
  <si>
    <t>武汉佳兆业悦府-二期-17号楼-1201</t>
  </si>
  <si>
    <t>武汉佳兆业悦府-二期-17号楼-1202</t>
  </si>
  <si>
    <t>武汉佳兆业悦府-二期-17号楼-1203</t>
  </si>
  <si>
    <t>武汉佳兆业悦府-二期-17号楼-1204</t>
  </si>
  <si>
    <t>武汉佳兆业悦府-二期-17号楼-1301</t>
  </si>
  <si>
    <t>武汉佳兆业悦府-二期-17号楼-1302</t>
  </si>
  <si>
    <t>武汉佳兆业悦府-二期-17号楼-1303</t>
  </si>
  <si>
    <t>武汉佳兆业悦府-二期-17号楼-1304</t>
  </si>
  <si>
    <t>武汉佳兆业悦府-二期-17号楼-1401</t>
  </si>
  <si>
    <t>武汉佳兆业悦府-二期-17号楼-1402</t>
  </si>
  <si>
    <t>武汉佳兆业悦府-二期-17号楼-1403</t>
  </si>
  <si>
    <t>武汉佳兆业悦府-二期-17号楼-1404</t>
  </si>
  <si>
    <t>武汉佳兆业悦府-二期-17号楼-1501</t>
  </si>
  <si>
    <t>武汉佳兆业悦府-二期-17号楼-1502</t>
  </si>
  <si>
    <t>武汉佳兆业悦府-二期-17号楼-1503</t>
  </si>
  <si>
    <t>武汉佳兆业悦府-二期-17号楼-1504</t>
  </si>
  <si>
    <t>武汉佳兆业悦府-二期-17号楼-1601</t>
  </si>
  <si>
    <t>武汉佳兆业悦府-二期-17号楼-1602</t>
  </si>
  <si>
    <t>武汉佳兆业悦府-二期-17号楼-1603</t>
  </si>
  <si>
    <t>武汉佳兆业悦府-二期-17号楼-1604</t>
  </si>
  <si>
    <t>武汉佳兆业悦府-二期-17号楼-1701</t>
  </si>
  <si>
    <t>武汉佳兆业悦府-二期-17号楼-1702</t>
  </si>
  <si>
    <t>武汉佳兆业悦府-二期-17号楼-1703</t>
  </si>
  <si>
    <t>武汉佳兆业悦府-二期-17号楼-1704</t>
  </si>
  <si>
    <t>武汉佳兆业悦府-二期-17号楼-1801</t>
  </si>
  <si>
    <t>武汉佳兆业悦府-二期-17号楼-1802</t>
  </si>
  <si>
    <t>武汉佳兆业悦府-二期-17号楼-1803</t>
  </si>
  <si>
    <t>武汉佳兆业悦府-二期-17号楼-1804</t>
  </si>
  <si>
    <t>武汉佳兆业悦府-二期-17号楼-1901</t>
  </si>
  <si>
    <t>武汉佳兆业悦府-二期-17号楼-1902</t>
  </si>
  <si>
    <t>武汉佳兆业悦府-二期-17号楼-1903</t>
  </si>
  <si>
    <t>武汉佳兆业悦府-二期-17号楼-1904</t>
  </si>
  <si>
    <t>武汉佳兆业悦府-二期-17号楼-2001</t>
  </si>
  <si>
    <t>武汉佳兆业悦府-二期-17号楼-2002</t>
  </si>
  <si>
    <t>武汉佳兆业悦府-二期-17号楼-2003</t>
  </si>
  <si>
    <t>武汉佳兆业悦府-二期-17号楼-2004</t>
  </si>
  <si>
    <t>武汉佳兆业悦府-二期-17号楼-201</t>
  </si>
  <si>
    <t>武汉佳兆业悦府-二期-17号楼-202</t>
  </si>
  <si>
    <t>武汉佳兆业悦府-二期-17号楼-203</t>
  </si>
  <si>
    <t>武汉佳兆业悦府-二期-17号楼-204</t>
  </si>
  <si>
    <t>武汉佳兆业悦府-二期-17号楼-2101</t>
  </si>
  <si>
    <t>武汉佳兆业悦府-二期-17号楼-2102</t>
  </si>
  <si>
    <t>武汉佳兆业悦府-二期-17号楼-2103</t>
  </si>
  <si>
    <t>武汉佳兆业悦府-二期-17号楼-2104</t>
  </si>
  <si>
    <t>武汉佳兆业悦府-二期-17号楼-301</t>
  </si>
  <si>
    <t>武汉佳兆业悦府-二期-17号楼-302</t>
  </si>
  <si>
    <t>武汉佳兆业悦府-二期-17号楼-303</t>
  </si>
  <si>
    <t>武汉佳兆业悦府-二期-17号楼-304</t>
  </si>
  <si>
    <t>武汉佳兆业悦府-二期-17号楼-401</t>
  </si>
  <si>
    <t>武汉佳兆业悦府-二期-17号楼-402</t>
  </si>
  <si>
    <t>武汉佳兆业悦府-二期-17号楼-403</t>
  </si>
  <si>
    <t>武汉佳兆业悦府-二期-17号楼-404</t>
  </si>
  <si>
    <t>武汉佳兆业悦府-二期-17号楼-501</t>
  </si>
  <si>
    <t>武汉佳兆业悦府-二期-17号楼-502</t>
  </si>
  <si>
    <t>武汉佳兆业悦府-二期-17号楼-503</t>
  </si>
  <si>
    <t>武汉佳兆业悦府-二期-17号楼-504</t>
  </si>
  <si>
    <t>武汉佳兆业悦府-二期-17号楼-601</t>
  </si>
  <si>
    <t>武汉佳兆业悦府-二期-17号楼-602</t>
  </si>
  <si>
    <t>武汉佳兆业悦府-二期-17号楼-603</t>
  </si>
  <si>
    <t>武汉佳兆业悦府-二期-17号楼-604</t>
  </si>
  <si>
    <t>武汉佳兆业悦府-二期-17号楼-701</t>
  </si>
  <si>
    <t>武汉佳兆业悦府-二期-17号楼-702</t>
  </si>
  <si>
    <t>武汉佳兆业悦府-二期-17号楼-703</t>
  </si>
  <si>
    <t>武汉佳兆业悦府-二期-17号楼-704</t>
  </si>
  <si>
    <t>武汉佳兆业悦府-二期-17号楼-801</t>
  </si>
  <si>
    <t>武汉佳兆业悦府-二期-17号楼-802</t>
  </si>
  <si>
    <t>武汉佳兆业悦府-二期-17号楼-803</t>
  </si>
  <si>
    <t>武汉佳兆业悦府-二期-17号楼-804</t>
  </si>
  <si>
    <t>武汉佳兆业悦府-二期-17号楼-901</t>
  </si>
  <si>
    <t>武汉佳兆业悦府-二期-17号楼-902</t>
  </si>
  <si>
    <t>武汉佳兆业悦府-二期-17号楼-903</t>
  </si>
  <si>
    <t>武汉佳兆业悦府-二期-17号楼-904</t>
  </si>
  <si>
    <t>18号楼</t>
  </si>
  <si>
    <t>武汉佳兆业悦府-二期-18号楼-1-1001</t>
  </si>
  <si>
    <t>武汉佳兆业悦府-二期-18号楼-1-1002</t>
  </si>
  <si>
    <t>武汉佳兆业悦府-二期-18号楼-1-1003</t>
  </si>
  <si>
    <t>武汉佳兆业悦府-二期-18号楼-1-1004</t>
  </si>
  <si>
    <t>武汉佳兆业悦府-二期-18号楼-1-101</t>
  </si>
  <si>
    <t>武汉佳兆业悦府-二期-18号楼-1-102</t>
  </si>
  <si>
    <t>武汉佳兆业悦府-二期-18号楼-1-103</t>
  </si>
  <si>
    <t>武汉佳兆业悦府-二期-18号楼-1-104</t>
  </si>
  <si>
    <t>武汉佳兆业悦府-二期-18号楼-1-1101</t>
  </si>
  <si>
    <t>武汉佳兆业悦府-二期-18号楼-1-1102</t>
  </si>
  <si>
    <t>武汉佳兆业悦府-二期-18号楼-1-1103</t>
  </si>
  <si>
    <t>武汉佳兆业悦府-二期-18号楼-1-1104</t>
  </si>
  <si>
    <t>武汉佳兆业悦府-二期-18号楼-1-1201</t>
  </si>
  <si>
    <t>武汉佳兆业悦府-二期-18号楼-1-1202</t>
  </si>
  <si>
    <t>武汉佳兆业悦府-二期-18号楼-1-1203</t>
  </si>
  <si>
    <t>武汉佳兆业悦府-二期-18号楼-1-1204</t>
  </si>
  <si>
    <t>武汉佳兆业悦府-二期-18号楼-1-1301</t>
  </si>
  <si>
    <t>武汉佳兆业悦府-二期-18号楼-1-1302</t>
  </si>
  <si>
    <t>武汉佳兆业悦府-二期-18号楼-1-1303</t>
  </si>
  <si>
    <t>武汉佳兆业悦府-二期-18号楼-1-1304</t>
  </si>
  <si>
    <t>武汉佳兆业悦府-二期-18号楼-1-1401</t>
  </si>
  <si>
    <t>武汉佳兆业悦府-二期-18号楼-1-1402</t>
  </si>
  <si>
    <t>武汉佳兆业悦府-二期-18号楼-1-1403</t>
  </si>
  <si>
    <t>武汉佳兆业悦府-二期-18号楼-1-1404</t>
  </si>
  <si>
    <t>武汉佳兆业悦府-二期-18号楼-1-1501</t>
  </si>
  <si>
    <t>武汉佳兆业悦府-二期-18号楼-1-1502</t>
  </si>
  <si>
    <t>武汉佳兆业悦府-二期-18号楼-1-1503</t>
  </si>
  <si>
    <t>武汉佳兆业悦府-二期-18号楼-1-1504</t>
  </si>
  <si>
    <t>武汉佳兆业悦府-二期-18号楼-1-1601</t>
  </si>
  <si>
    <t>武汉佳兆业悦府-二期-18号楼-1-1602</t>
  </si>
  <si>
    <t>武汉佳兆业悦府-二期-18号楼-1-1603</t>
  </si>
  <si>
    <t>武汉佳兆业悦府-二期-18号楼-1-1604</t>
  </si>
  <si>
    <t>武汉佳兆业悦府-二期-18号楼-1-1701</t>
  </si>
  <si>
    <t>武汉佳兆业悦府-二期-18号楼-1-1702</t>
  </si>
  <si>
    <t>武汉佳兆业悦府-二期-18号楼-1-1703</t>
  </si>
  <si>
    <t>武汉佳兆业悦府-二期-18号楼-1-1704</t>
  </si>
  <si>
    <t>武汉佳兆业悦府-二期-18号楼-1-1801</t>
  </si>
  <si>
    <t>武汉佳兆业悦府-二期-18号楼-1-1802</t>
  </si>
  <si>
    <t>武汉佳兆业悦府-二期-18号楼-1-1803</t>
  </si>
  <si>
    <t>武汉佳兆业悦府-二期-18号楼-1-1804</t>
  </si>
  <si>
    <t>武汉佳兆业悦府-二期-18号楼-1-1901</t>
  </si>
  <si>
    <t>武汉佳兆业悦府-二期-18号楼-1-1902</t>
  </si>
  <si>
    <t>武汉佳兆业悦府-二期-18号楼-1-1903</t>
  </si>
  <si>
    <t>武汉佳兆业悦府-二期-18号楼-1-1904</t>
  </si>
  <si>
    <t>武汉佳兆业悦府-二期-18号楼-1-2001</t>
  </si>
  <si>
    <t>武汉佳兆业悦府-二期-18号楼-1-2002</t>
  </si>
  <si>
    <t>武汉佳兆业悦府-二期-18号楼-1-2003</t>
  </si>
  <si>
    <t>武汉佳兆业悦府-二期-18号楼-1-2004</t>
  </si>
  <si>
    <t>武汉佳兆业悦府-二期-18号楼-1-201</t>
  </si>
  <si>
    <t>武汉佳兆业悦府-二期-18号楼-1-202</t>
  </si>
  <si>
    <t>武汉佳兆业悦府-二期-18号楼-1-203</t>
  </si>
  <si>
    <t>武汉佳兆业悦府-二期-18号楼-1-204</t>
  </si>
  <si>
    <t>武汉佳兆业悦府-二期-18号楼-1-2101</t>
  </si>
  <si>
    <t>武汉佳兆业悦府-二期-18号楼-1-2102</t>
  </si>
  <si>
    <t>武汉佳兆业悦府-二期-18号楼-1-2103</t>
  </si>
  <si>
    <t>武汉佳兆业悦府-二期-18号楼-1-2104</t>
  </si>
  <si>
    <t>武汉佳兆业悦府-二期-18号楼-1-301</t>
  </si>
  <si>
    <t>武汉佳兆业悦府-二期-18号楼-1-302</t>
  </si>
  <si>
    <t>武汉佳兆业悦府-二期-18号楼-1-303</t>
  </si>
  <si>
    <t>武汉佳兆业悦府-二期-18号楼-1-304</t>
  </si>
  <si>
    <t>武汉佳兆业悦府-二期-18号楼-1-401</t>
  </si>
  <si>
    <t>武汉佳兆业悦府-二期-18号楼-1-402</t>
  </si>
  <si>
    <t>武汉佳兆业悦府-二期-18号楼-1-403</t>
  </si>
  <si>
    <t>武汉佳兆业悦府-二期-18号楼-1-404</t>
  </si>
  <si>
    <t>武汉佳兆业悦府-二期-18号楼-1-501</t>
  </si>
  <si>
    <t>武汉佳兆业悦府-二期-18号楼-1-502</t>
  </si>
  <si>
    <t>武汉佳兆业悦府-二期-18号楼-1-503</t>
  </si>
  <si>
    <t>武汉佳兆业悦府-二期-18号楼-1-504</t>
  </si>
  <si>
    <t>武汉佳兆业悦府-二期-18号楼-1-601</t>
  </si>
  <si>
    <t>武汉佳兆业悦府-二期-18号楼-1-602</t>
  </si>
  <si>
    <t>武汉佳兆业悦府-二期-18号楼-1-603</t>
  </si>
  <si>
    <t>武汉佳兆业悦府-二期-18号楼-1-604</t>
  </si>
  <si>
    <t>武汉佳兆业悦府-二期-18号楼-1-701</t>
  </si>
  <si>
    <t>武汉佳兆业悦府-二期-18号楼-1-702</t>
  </si>
  <si>
    <t>武汉佳兆业悦府-二期-18号楼-1-703</t>
  </si>
  <si>
    <t>武汉佳兆业悦府-二期-18号楼-1-704</t>
  </si>
  <si>
    <t>武汉佳兆业悦府-二期-18号楼-1-801</t>
  </si>
  <si>
    <t>武汉佳兆业悦府-二期-18号楼-1-802</t>
  </si>
  <si>
    <t>武汉佳兆业悦府-二期-18号楼-1-803</t>
  </si>
  <si>
    <t>武汉佳兆业悦府-二期-18号楼-1-804</t>
  </si>
  <si>
    <t>武汉佳兆业悦府-二期-18号楼-1-901</t>
  </si>
  <si>
    <t>武汉佳兆业悦府-二期-18号楼-1-902</t>
  </si>
  <si>
    <t>武汉佳兆业悦府-二期-18号楼-1-903</t>
  </si>
  <si>
    <t>武汉佳兆业悦府-二期-18号楼-1-904</t>
  </si>
  <si>
    <t>武汉佳兆业悦府-二期-18号楼-2-1001</t>
  </si>
  <si>
    <t>武汉佳兆业悦府-二期-18号楼-2-1002</t>
  </si>
  <si>
    <t>武汉佳兆业悦府-二期-18号楼-2-1003</t>
  </si>
  <si>
    <t>武汉佳兆业悦府-二期-18号楼-2-1004</t>
  </si>
  <si>
    <t>武汉佳兆业悦府-二期-18号楼-2-101</t>
  </si>
  <si>
    <t>武汉佳兆业悦府-二期-18号楼-2-102</t>
  </si>
  <si>
    <t>武汉佳兆业悦府-二期-18号楼-2-103</t>
  </si>
  <si>
    <t>武汉佳兆业悦府-二期-18号楼-2-104</t>
  </si>
  <si>
    <t>武汉佳兆业悦府-二期-18号楼-2-1101</t>
  </si>
  <si>
    <t>武汉佳兆业悦府-二期-18号楼-2-1102</t>
  </si>
  <si>
    <t>武汉佳兆业悦府-二期-18号楼-2-1103</t>
  </si>
  <si>
    <t>武汉佳兆业悦府-二期-18号楼-2-1104</t>
  </si>
  <si>
    <t>武汉佳兆业悦府-二期-18号楼-2-1201</t>
  </si>
  <si>
    <t>武汉佳兆业悦府-二期-18号楼-2-1202</t>
  </si>
  <si>
    <t>武汉佳兆业悦府-二期-18号楼-2-1203</t>
  </si>
  <si>
    <t>武汉佳兆业悦府-二期-18号楼-2-1204</t>
  </si>
  <si>
    <t>武汉佳兆业悦府-二期-18号楼-2-1301</t>
  </si>
  <si>
    <t>武汉佳兆业悦府-二期-18号楼-2-1302</t>
  </si>
  <si>
    <t>武汉佳兆业悦府-二期-18号楼-2-1303</t>
  </si>
  <si>
    <t>武汉佳兆业悦府-二期-18号楼-2-1304</t>
  </si>
  <si>
    <t>武汉佳兆业悦府-二期-18号楼-2-1401</t>
  </si>
  <si>
    <t>武汉佳兆业悦府-二期-18号楼-2-1402</t>
  </si>
  <si>
    <t>武汉佳兆业悦府-二期-18号楼-2-1403</t>
  </si>
  <si>
    <t>武汉佳兆业悦府-二期-18号楼-2-1404</t>
  </si>
  <si>
    <t>武汉佳兆业悦府-二期-18号楼-2-1501</t>
  </si>
  <si>
    <t>武汉佳兆业悦府-二期-18号楼-2-1502</t>
  </si>
  <si>
    <t>武汉佳兆业悦府-二期-18号楼-2-1503</t>
  </si>
  <si>
    <t>武汉佳兆业悦府-二期-18号楼-2-1504</t>
  </si>
  <si>
    <t>武汉佳兆业悦府-二期-18号楼-2-1601</t>
  </si>
  <si>
    <t>武汉佳兆业悦府-二期-18号楼-2-1602</t>
  </si>
  <si>
    <t>武汉佳兆业悦府-二期-18号楼-2-1603</t>
  </si>
  <si>
    <t>武汉佳兆业悦府-二期-18号楼-2-1604</t>
  </si>
  <si>
    <t>武汉佳兆业悦府-二期-18号楼-2-1701</t>
  </si>
  <si>
    <t>武汉佳兆业悦府-二期-18号楼-2-1702</t>
  </si>
  <si>
    <t>武汉佳兆业悦府-二期-18号楼-2-1703</t>
  </si>
  <si>
    <t>武汉佳兆业悦府-二期-18号楼-2-1704</t>
  </si>
  <si>
    <t>武汉佳兆业悦府-二期-18号楼-2-1801</t>
  </si>
  <si>
    <t>武汉佳兆业悦府-二期-18号楼-2-1802</t>
  </si>
  <si>
    <t>武汉佳兆业悦府-二期-18号楼-2-1803</t>
  </si>
  <si>
    <t>武汉佳兆业悦府-二期-18号楼-2-1804</t>
  </si>
  <si>
    <t>武汉佳兆业悦府-二期-18号楼-2-1901</t>
  </si>
  <si>
    <t>武汉佳兆业悦府-二期-18号楼-2-1902</t>
  </si>
  <si>
    <t>武汉佳兆业悦府-二期-18号楼-2-1903</t>
  </si>
  <si>
    <t>武汉佳兆业悦府-二期-18号楼-2-1904</t>
  </si>
  <si>
    <t>武汉佳兆业悦府-二期-18号楼-2-2001</t>
  </si>
  <si>
    <t>武汉佳兆业悦府-二期-18号楼-2-2002</t>
  </si>
  <si>
    <t>武汉佳兆业悦府-二期-18号楼-2-2003</t>
  </si>
  <si>
    <t>武汉佳兆业悦府-二期-18号楼-2-2004</t>
  </si>
  <si>
    <t>武汉佳兆业悦府-二期-18号楼-2-201</t>
  </si>
  <si>
    <t>武汉佳兆业悦府-二期-18号楼-2-202</t>
  </si>
  <si>
    <t>武汉佳兆业悦府-二期-18号楼-2-203</t>
  </si>
  <si>
    <t>武汉佳兆业悦府-二期-18号楼-2-204</t>
  </si>
  <si>
    <t>武汉佳兆业悦府-二期-18号楼-2-2101</t>
  </si>
  <si>
    <t>武汉佳兆业悦府-二期-18号楼-2-2102</t>
  </si>
  <si>
    <t>武汉佳兆业悦府-二期-18号楼-2-2103</t>
  </si>
  <si>
    <t>武汉佳兆业悦府-二期-18号楼-2-2104</t>
  </si>
  <si>
    <t>武汉佳兆业悦府-二期-18号楼-2-301</t>
  </si>
  <si>
    <t>武汉佳兆业悦府-二期-18号楼-2-302</t>
  </si>
  <si>
    <t>武汉佳兆业悦府-二期-18号楼-2-303</t>
  </si>
  <si>
    <t>武汉佳兆业悦府-二期-18号楼-2-304</t>
  </si>
  <si>
    <t>武汉佳兆业悦府-二期-18号楼-2-401</t>
  </si>
  <si>
    <t>武汉佳兆业悦府-二期-18号楼-2-402</t>
  </si>
  <si>
    <t>武汉佳兆业悦府-二期-18号楼-2-403</t>
  </si>
  <si>
    <t>武汉佳兆业悦府-二期-18号楼-2-404</t>
  </si>
  <si>
    <t>武汉佳兆业悦府-二期-18号楼-2-501</t>
  </si>
  <si>
    <t>武汉佳兆业悦府-二期-18号楼-2-502</t>
  </si>
  <si>
    <t>武汉佳兆业悦府-二期-18号楼-2-503</t>
  </si>
  <si>
    <t>武汉佳兆业悦府-二期-18号楼-2-504</t>
  </si>
  <si>
    <t>武汉佳兆业悦府-二期-18号楼-2-601</t>
  </si>
  <si>
    <t>武汉佳兆业悦府-二期-18号楼-2-602</t>
  </si>
  <si>
    <t>武汉佳兆业悦府-二期-18号楼-2-603</t>
  </si>
  <si>
    <t>武汉佳兆业悦府-二期-18号楼-2-604</t>
  </si>
  <si>
    <t>武汉佳兆业悦府-二期-18号楼-2-701</t>
  </si>
  <si>
    <t>武汉佳兆业悦府-二期-18号楼-2-702</t>
  </si>
  <si>
    <t>武汉佳兆业悦府-二期-18号楼-2-703</t>
  </si>
  <si>
    <t>武汉佳兆业悦府-二期-18号楼-2-704</t>
  </si>
  <si>
    <t>武汉佳兆业悦府-二期-18号楼-2-801</t>
  </si>
  <si>
    <t>武汉佳兆业悦府-二期-18号楼-2-802</t>
  </si>
  <si>
    <t>武汉佳兆业悦府-二期-18号楼-2-803</t>
  </si>
  <si>
    <t>武汉佳兆业悦府-二期-18号楼-2-804</t>
  </si>
  <si>
    <t>武汉佳兆业悦府-二期-18号楼-2-901</t>
  </si>
  <si>
    <t>武汉佳兆业悦府-二期-18号楼-2-902</t>
  </si>
  <si>
    <t>武汉佳兆业悦府-二期-18号楼-2-903</t>
  </si>
  <si>
    <t>武汉佳兆业悦府-二期-18号楼-2-904</t>
  </si>
  <si>
    <t>19号楼</t>
  </si>
  <si>
    <t>武汉佳兆业悦府-二期-19号楼-1-1001</t>
  </si>
  <si>
    <t>武汉佳兆业悦府-二期-19号楼-1-1002</t>
  </si>
  <si>
    <t>武汉佳兆业悦府-二期-19号楼-1-1003</t>
  </si>
  <si>
    <t>武汉佳兆业悦府-二期-19号楼-1-1004</t>
  </si>
  <si>
    <t>武汉佳兆业悦府-二期-19号楼-1-101</t>
  </si>
  <si>
    <t>武汉佳兆业悦府-二期-19号楼-1-102</t>
  </si>
  <si>
    <t>武汉佳兆业悦府-二期-19号楼-1-103</t>
  </si>
  <si>
    <t>武汉佳兆业悦府-二期-19号楼-1-104</t>
  </si>
  <si>
    <t>武汉佳兆业悦府-二期-19号楼-1-1101</t>
  </si>
  <si>
    <t>武汉佳兆业悦府-二期-19号楼-1-1102</t>
  </si>
  <si>
    <t>武汉佳兆业悦府-二期-19号楼-1-1103</t>
  </si>
  <si>
    <t>武汉佳兆业悦府-二期-19号楼-1-1104</t>
  </si>
  <si>
    <t>武汉佳兆业悦府-二期-19号楼-1-1201</t>
  </si>
  <si>
    <t>武汉佳兆业悦府-二期-19号楼-1-1202</t>
  </si>
  <si>
    <t>武汉佳兆业悦府-二期-19号楼-1-1203</t>
  </si>
  <si>
    <t>武汉佳兆业悦府-二期-19号楼-1-1204</t>
  </si>
  <si>
    <t>武汉佳兆业悦府-二期-19号楼-1-1301</t>
  </si>
  <si>
    <t>武汉佳兆业悦府-二期-19号楼-1-1302</t>
  </si>
  <si>
    <t>武汉佳兆业悦府-二期-19号楼-1-1303</t>
  </si>
  <si>
    <t>武汉佳兆业悦府-二期-19号楼-1-1304</t>
  </si>
  <si>
    <t>武汉佳兆业悦府-二期-19号楼-1-1401</t>
  </si>
  <si>
    <t>武汉佳兆业悦府-二期-19号楼-1-1402</t>
  </si>
  <si>
    <t>武汉佳兆业悦府-二期-19号楼-1-1403</t>
  </si>
  <si>
    <t>武汉佳兆业悦府-二期-19号楼-1-1404</t>
  </si>
  <si>
    <t>武汉佳兆业悦府-二期-19号楼-1-1501</t>
  </si>
  <si>
    <t>武汉佳兆业悦府-二期-19号楼-1-1502</t>
  </si>
  <si>
    <t>武汉佳兆业悦府-二期-19号楼-1-1503</t>
  </si>
  <si>
    <t>武汉佳兆业悦府-二期-19号楼-1-1504</t>
  </si>
  <si>
    <t>武汉佳兆业悦府-二期-19号楼-1-1601</t>
  </si>
  <si>
    <t>武汉佳兆业悦府-二期-19号楼-1-1602</t>
  </si>
  <si>
    <t>武汉佳兆业悦府-二期-19号楼-1-1603</t>
  </si>
  <si>
    <t>武汉佳兆业悦府-二期-19号楼-1-1604</t>
  </si>
  <si>
    <t>武汉佳兆业悦府-二期-19号楼-1-1701</t>
  </si>
  <si>
    <t>武汉佳兆业悦府-二期-19号楼-1-1702</t>
  </si>
  <si>
    <t>武汉佳兆业悦府-二期-19号楼-1-1703</t>
  </si>
  <si>
    <t>武汉佳兆业悦府-二期-19号楼-1-1704</t>
  </si>
  <si>
    <t>武汉佳兆业悦府-二期-19号楼-1-1801</t>
  </si>
  <si>
    <t>武汉佳兆业悦府-二期-19号楼-1-1802</t>
  </si>
  <si>
    <t>武汉佳兆业悦府-二期-19号楼-1-1803</t>
  </si>
  <si>
    <t>武汉佳兆业悦府-二期-19号楼-1-1804</t>
  </si>
  <si>
    <t>武汉佳兆业悦府-二期-19号楼-1-1901</t>
  </si>
  <si>
    <t>武汉佳兆业悦府-二期-19号楼-1-1902</t>
  </si>
  <si>
    <t>武汉佳兆业悦府-二期-19号楼-1-1903</t>
  </si>
  <si>
    <t>武汉佳兆业悦府-二期-19号楼-1-1904</t>
  </si>
  <si>
    <t>武汉佳兆业悦府-二期-19号楼-1-2001</t>
  </si>
  <si>
    <t>武汉佳兆业悦府-二期-19号楼-1-2002</t>
  </si>
  <si>
    <t>武汉佳兆业悦府-二期-19号楼-1-2003</t>
  </si>
  <si>
    <t>武汉佳兆业悦府-二期-19号楼-1-2004</t>
  </si>
  <si>
    <t>武汉佳兆业悦府-二期-19号楼-1-201</t>
  </si>
  <si>
    <t>武汉佳兆业悦府-二期-19号楼-1-202</t>
  </si>
  <si>
    <t>武汉佳兆业悦府-二期-19号楼-1-203</t>
  </si>
  <si>
    <t>武汉佳兆业悦府-二期-19号楼-1-204</t>
  </si>
  <si>
    <t>武汉佳兆业悦府-二期-19号楼-1-2101</t>
  </si>
  <si>
    <t>武汉佳兆业悦府-二期-19号楼-1-2102</t>
  </si>
  <si>
    <t>武汉佳兆业悦府-二期-19号楼-1-2103</t>
  </si>
  <si>
    <t>武汉佳兆业悦府-二期-19号楼-1-2104</t>
  </si>
  <si>
    <t>武汉佳兆业悦府-二期-19号楼-1-301</t>
  </si>
  <si>
    <t>武汉佳兆业悦府-二期-19号楼-1-302</t>
  </si>
  <si>
    <t>武汉佳兆业悦府-二期-19号楼-1-303</t>
  </si>
  <si>
    <t>武汉佳兆业悦府-二期-19号楼-1-304</t>
  </si>
  <si>
    <t>武汉佳兆业悦府-二期-19号楼-1-401</t>
  </si>
  <si>
    <t>武汉佳兆业悦府-二期-19号楼-1-402</t>
  </si>
  <si>
    <t>武汉佳兆业悦府-二期-19号楼-1-403</t>
  </si>
  <si>
    <t>武汉佳兆业悦府-二期-19号楼-1-404</t>
  </si>
  <si>
    <t>武汉佳兆业悦府-二期-19号楼-1-501</t>
  </si>
  <si>
    <t>武汉佳兆业悦府-二期-19号楼-1-502</t>
  </si>
  <si>
    <t>武汉佳兆业悦府-二期-19号楼-1-503</t>
  </si>
  <si>
    <t>武汉佳兆业悦府-二期-19号楼-1-504</t>
  </si>
  <si>
    <t>武汉佳兆业悦府-二期-19号楼-1-601</t>
  </si>
  <si>
    <t>武汉佳兆业悦府-二期-19号楼-1-602</t>
  </si>
  <si>
    <t>武汉佳兆业悦府-二期-19号楼-1-603</t>
  </si>
  <si>
    <t>武汉佳兆业悦府-二期-19号楼-1-604</t>
  </si>
  <si>
    <t>武汉佳兆业悦府-二期-19号楼-1-701</t>
  </si>
  <si>
    <t>武汉佳兆业悦府-二期-19号楼-1-702</t>
  </si>
  <si>
    <t>武汉佳兆业悦府-二期-19号楼-1-703</t>
  </si>
  <si>
    <t>武汉佳兆业悦府-二期-19号楼-1-704</t>
  </si>
  <si>
    <t>武汉佳兆业悦府-二期-19号楼-1-801</t>
  </si>
  <si>
    <t>武汉佳兆业悦府-二期-19号楼-1-802</t>
  </si>
  <si>
    <t>武汉佳兆业悦府-二期-19号楼-1-803</t>
  </si>
  <si>
    <t>武汉佳兆业悦府-二期-19号楼-1-804</t>
  </si>
  <si>
    <t>武汉佳兆业悦府-二期-19号楼-1-901</t>
  </si>
  <si>
    <t>武汉佳兆业悦府-二期-19号楼-1-902</t>
  </si>
  <si>
    <t>武汉佳兆业悦府-二期-19号楼-1-903</t>
  </si>
  <si>
    <t>武汉佳兆业悦府-二期-19号楼-1-904</t>
  </si>
  <si>
    <t>武汉佳兆业悦府-二期-19号楼-2-1001</t>
  </si>
  <si>
    <t>武汉佳兆业悦府-二期-19号楼-2-1002</t>
  </si>
  <si>
    <t>武汉佳兆业悦府-二期-19号楼-2-1003</t>
  </si>
  <si>
    <t>武汉佳兆业悦府-二期-19号楼-2-1004</t>
  </si>
  <si>
    <t>武汉佳兆业悦府-二期-19号楼-2-101</t>
  </si>
  <si>
    <t>武汉佳兆业悦府-二期-19号楼-2-102</t>
  </si>
  <si>
    <t>武汉佳兆业悦府-二期-19号楼-2-103</t>
  </si>
  <si>
    <t>武汉佳兆业悦府-二期-19号楼-2-104</t>
  </si>
  <si>
    <t>武汉佳兆业悦府-二期-19号楼-2-1101</t>
  </si>
  <si>
    <t>武汉佳兆业悦府-二期-19号楼-2-1102</t>
  </si>
  <si>
    <t>武汉佳兆业悦府-二期-19号楼-2-1103</t>
  </si>
  <si>
    <t>武汉佳兆业悦府-二期-19号楼-2-1104</t>
  </si>
  <si>
    <t>武汉佳兆业悦府-二期-19号楼-2-1201</t>
  </si>
  <si>
    <t>武汉佳兆业悦府-二期-19号楼-2-1202</t>
  </si>
  <si>
    <t>武汉佳兆业悦府-二期-19号楼-2-1203</t>
  </si>
  <si>
    <t>武汉佳兆业悦府-二期-19号楼-2-1204</t>
  </si>
  <si>
    <t>武汉佳兆业悦府-二期-19号楼-2-1301</t>
  </si>
  <si>
    <t>武汉佳兆业悦府-二期-19号楼-2-1302</t>
  </si>
  <si>
    <t>武汉佳兆业悦府-二期-19号楼-2-1303</t>
  </si>
  <si>
    <t>武汉佳兆业悦府-二期-19号楼-2-1304</t>
  </si>
  <si>
    <t>武汉佳兆业悦府-二期-19号楼-2-1401</t>
  </si>
  <si>
    <t>武汉佳兆业悦府-二期-19号楼-2-1402</t>
  </si>
  <si>
    <t>武汉佳兆业悦府-二期-19号楼-2-1403</t>
  </si>
  <si>
    <t>武汉佳兆业悦府-二期-19号楼-2-1404</t>
  </si>
  <si>
    <t>武汉佳兆业悦府-二期-19号楼-2-1501</t>
  </si>
  <si>
    <t>武汉佳兆业悦府-二期-19号楼-2-1502</t>
  </si>
  <si>
    <t>武汉佳兆业悦府-二期-19号楼-2-1503</t>
  </si>
  <si>
    <t>武汉佳兆业悦府-二期-19号楼-2-1504</t>
  </si>
  <si>
    <t>武汉佳兆业悦府-二期-19号楼-2-1601</t>
  </si>
  <si>
    <t>武汉佳兆业悦府-二期-19号楼-2-1602</t>
  </si>
  <si>
    <t>武汉佳兆业悦府-二期-19号楼-2-1603</t>
  </si>
  <si>
    <t>武汉佳兆业悦府-二期-19号楼-2-1604</t>
  </si>
  <si>
    <t>武汉佳兆业悦府-二期-19号楼-2-1701</t>
  </si>
  <si>
    <t>武汉佳兆业悦府-二期-19号楼-2-1702</t>
  </si>
  <si>
    <t>武汉佳兆业悦府-二期-19号楼-2-1703</t>
  </si>
  <si>
    <t>武汉佳兆业悦府-二期-19号楼-2-1704</t>
  </si>
  <si>
    <t>武汉佳兆业悦府-二期-19号楼-2-1801</t>
  </si>
  <si>
    <t>武汉佳兆业悦府-二期-19号楼-2-1802</t>
  </si>
  <si>
    <t>武汉佳兆业悦府-二期-19号楼-2-1803</t>
  </si>
  <si>
    <t>武汉佳兆业悦府-二期-19号楼-2-1804</t>
  </si>
  <si>
    <t>武汉佳兆业悦府-二期-19号楼-2-1901</t>
  </si>
  <si>
    <t>武汉佳兆业悦府-二期-19号楼-2-1902</t>
  </si>
  <si>
    <t>武汉佳兆业悦府-二期-19号楼-2-1903</t>
  </si>
  <si>
    <t>武汉佳兆业悦府-二期-19号楼-2-1904</t>
  </si>
  <si>
    <t>武汉佳兆业悦府-二期-19号楼-2-2001</t>
  </si>
  <si>
    <t>武汉佳兆业悦府-二期-19号楼-2-2002</t>
  </si>
  <si>
    <t>武汉佳兆业悦府-二期-19号楼-2-2003</t>
  </si>
  <si>
    <t>武汉佳兆业悦府-二期-19号楼-2-2004</t>
  </si>
  <si>
    <t>武汉佳兆业悦府-二期-19号楼-2-201</t>
  </si>
  <si>
    <t>武汉佳兆业悦府-二期-19号楼-2-202</t>
  </si>
  <si>
    <t>武汉佳兆业悦府-二期-19号楼-2-203</t>
  </si>
  <si>
    <t>武汉佳兆业悦府-二期-19号楼-2-204</t>
  </si>
  <si>
    <t>武汉佳兆业悦府-二期-19号楼-2-2101</t>
  </si>
  <si>
    <t>武汉佳兆业悦府-二期-19号楼-2-2102</t>
  </si>
  <si>
    <t>武汉佳兆业悦府-二期-19号楼-2-2103</t>
  </si>
  <si>
    <t>武汉佳兆业悦府-二期-19号楼-2-2104</t>
  </si>
  <si>
    <t>武汉佳兆业悦府-二期-19号楼-2-301</t>
  </si>
  <si>
    <t>武汉佳兆业悦府-二期-19号楼-2-302</t>
  </si>
  <si>
    <t>武汉佳兆业悦府-二期-19号楼-2-303</t>
  </si>
  <si>
    <t>武汉佳兆业悦府-二期-19号楼-2-304</t>
  </si>
  <si>
    <t>武汉佳兆业悦府-二期-19号楼-2-401</t>
  </si>
  <si>
    <t>武汉佳兆业悦府-二期-19号楼-2-402</t>
  </si>
  <si>
    <t>武汉佳兆业悦府-二期-19号楼-2-403</t>
  </si>
  <si>
    <t>武汉佳兆业悦府-二期-19号楼-2-404</t>
  </si>
  <si>
    <t>武汉佳兆业悦府-二期-19号楼-2-501</t>
  </si>
  <si>
    <t>武汉佳兆业悦府-二期-19号楼-2-502</t>
  </si>
  <si>
    <t>武汉佳兆业悦府-二期-19号楼-2-503</t>
  </si>
  <si>
    <t>武汉佳兆业悦府-二期-19号楼-2-504</t>
  </si>
  <si>
    <t>武汉佳兆业悦府-二期-19号楼-2-601</t>
  </si>
  <si>
    <t>武汉佳兆业悦府-二期-19号楼-2-602</t>
  </si>
  <si>
    <t>武汉佳兆业悦府-二期-19号楼-2-603</t>
  </si>
  <si>
    <t>武汉佳兆业悦府-二期-19号楼-2-604</t>
  </si>
  <si>
    <t>武汉佳兆业悦府-二期-19号楼-2-701</t>
  </si>
  <si>
    <t>武汉佳兆业悦府-二期-19号楼-2-702</t>
  </si>
  <si>
    <t>武汉佳兆业悦府-二期-19号楼-2-703</t>
  </si>
  <si>
    <t>武汉佳兆业悦府-二期-19号楼-2-704</t>
  </si>
  <si>
    <t>武汉佳兆业悦府-二期-19号楼-2-801</t>
  </si>
  <si>
    <t>武汉佳兆业悦府-二期-19号楼-2-802</t>
  </si>
  <si>
    <t>武汉佳兆业悦府-二期-19号楼-2-803</t>
  </si>
  <si>
    <t>武汉佳兆业悦府-二期-19号楼-2-804</t>
  </si>
  <si>
    <t>武汉佳兆业悦府-二期-19号楼-2-901</t>
  </si>
  <si>
    <t>武汉佳兆业悦府-二期-19号楼-2-902</t>
  </si>
  <si>
    <t>武汉佳兆业悦府-二期-19号楼-2-903</t>
  </si>
  <si>
    <t>武汉佳兆业悦府-二期-19号楼-2-904</t>
  </si>
  <si>
    <t>20号楼</t>
  </si>
  <si>
    <t>武汉佳兆业悦府-二期-20号楼-1-1001</t>
  </si>
  <si>
    <t>武汉佳兆业悦府-二期-20号楼-1-1002</t>
  </si>
  <si>
    <t>武汉佳兆业悦府-二期-20号楼-1-1003</t>
  </si>
  <si>
    <t>武汉佳兆业悦府-二期-20号楼-1-1004</t>
  </si>
  <si>
    <t>武汉佳兆业悦府-二期-20号楼-1-101</t>
  </si>
  <si>
    <t>武汉佳兆业悦府-二期-20号楼-1-102</t>
  </si>
  <si>
    <t>武汉佳兆业悦府-二期-20号楼-1-103</t>
  </si>
  <si>
    <t>武汉佳兆业悦府-二期-20号楼-1-104</t>
  </si>
  <si>
    <t>武汉佳兆业悦府-二期-20号楼-1-1101</t>
  </si>
  <si>
    <t>武汉佳兆业悦府-二期-20号楼-1-1102</t>
  </si>
  <si>
    <t>武汉佳兆业悦府-二期-20号楼-1-1103</t>
  </si>
  <si>
    <t>武汉佳兆业悦府-二期-20号楼-1-1104</t>
  </si>
  <si>
    <t>武汉佳兆业悦府-二期-20号楼-1-1201</t>
  </si>
  <si>
    <t>武汉佳兆业悦府-二期-20号楼-1-1202</t>
  </si>
  <si>
    <t>武汉佳兆业悦府-二期-20号楼-1-1203</t>
  </si>
  <si>
    <t>武汉佳兆业悦府-二期-20号楼-1-1204</t>
  </si>
  <si>
    <t>武汉佳兆业悦府-二期-20号楼-1-1301</t>
  </si>
  <si>
    <t>武汉佳兆业悦府-二期-20号楼-1-1302</t>
  </si>
  <si>
    <t>武汉佳兆业悦府-二期-20号楼-1-1303</t>
  </si>
  <si>
    <t>武汉佳兆业悦府-二期-20号楼-1-1304</t>
  </si>
  <si>
    <t>武汉佳兆业悦府-二期-20号楼-1-1401</t>
  </si>
  <si>
    <t>武汉佳兆业悦府-二期-20号楼-1-1402</t>
  </si>
  <si>
    <t>武汉佳兆业悦府-二期-20号楼-1-1403</t>
  </si>
  <si>
    <t>武汉佳兆业悦府-二期-20号楼-1-1404</t>
  </si>
  <si>
    <t>武汉佳兆业悦府-二期-20号楼-1-1501</t>
  </si>
  <si>
    <t>武汉佳兆业悦府-二期-20号楼-1-1502</t>
  </si>
  <si>
    <t>武汉佳兆业悦府-二期-20号楼-1-1503</t>
  </si>
  <si>
    <t>武汉佳兆业悦府-二期-20号楼-1-1504</t>
  </si>
  <si>
    <t>武汉佳兆业悦府-二期-20号楼-1-1601</t>
  </si>
  <si>
    <t>武汉佳兆业悦府-二期-20号楼-1-1602</t>
  </si>
  <si>
    <t>武汉佳兆业悦府-二期-20号楼-1-1603</t>
  </si>
  <si>
    <t>武汉佳兆业悦府-二期-20号楼-1-1604</t>
  </si>
  <si>
    <t>武汉佳兆业悦府-二期-20号楼-1-1701</t>
  </si>
  <si>
    <t>武汉佳兆业悦府-二期-20号楼-1-1702</t>
  </si>
  <si>
    <t>武汉佳兆业悦府-二期-20号楼-1-1703</t>
  </si>
  <si>
    <t>武汉佳兆业悦府-二期-20号楼-1-1704</t>
  </si>
  <si>
    <t>武汉佳兆业悦府-二期-20号楼-1-1801</t>
  </si>
  <si>
    <t>武汉佳兆业悦府-二期-20号楼-1-1802</t>
  </si>
  <si>
    <t>武汉佳兆业悦府-二期-20号楼-1-1803</t>
  </si>
  <si>
    <t>武汉佳兆业悦府-二期-20号楼-1-1804</t>
  </si>
  <si>
    <t>武汉佳兆业悦府-二期-20号楼-1-1901</t>
  </si>
  <si>
    <t>武汉佳兆业悦府-二期-20号楼-1-1902</t>
  </si>
  <si>
    <t>武汉佳兆业悦府-二期-20号楼-1-1903</t>
  </si>
  <si>
    <t>武汉佳兆业悦府-二期-20号楼-1-1904</t>
  </si>
  <si>
    <t>武汉佳兆业悦府-二期-20号楼-1-2001</t>
  </si>
  <si>
    <t>武汉佳兆业悦府-二期-20号楼-1-2002</t>
  </si>
  <si>
    <t>武汉佳兆业悦府-二期-20号楼-1-2003</t>
  </si>
  <si>
    <t>武汉佳兆业悦府-二期-20号楼-1-2004</t>
  </si>
  <si>
    <t>武汉佳兆业悦府-二期-20号楼-1-201</t>
  </si>
  <si>
    <t>武汉佳兆业悦府-二期-20号楼-1-202</t>
  </si>
  <si>
    <t>武汉佳兆业悦府-二期-20号楼-1-203</t>
  </si>
  <si>
    <t>武汉佳兆业悦府-二期-20号楼-1-204</t>
  </si>
  <si>
    <t>武汉佳兆业悦府-二期-20号楼-1-2101</t>
  </si>
  <si>
    <t>武汉佳兆业悦府-二期-20号楼-1-2102</t>
  </si>
  <si>
    <t>武汉佳兆业悦府-二期-20号楼-1-2103</t>
  </si>
  <si>
    <t>武汉佳兆业悦府-二期-20号楼-1-2104</t>
  </si>
  <si>
    <t>武汉佳兆业悦府-二期-20号楼-1-301</t>
  </si>
  <si>
    <t>武汉佳兆业悦府-二期-20号楼-1-302</t>
  </si>
  <si>
    <t>武汉佳兆业悦府-二期-20号楼-1-303</t>
  </si>
  <si>
    <t>武汉佳兆业悦府-二期-20号楼-1-304</t>
  </si>
  <si>
    <t>武汉佳兆业悦府-二期-20号楼-1-401</t>
  </si>
  <si>
    <t>武汉佳兆业悦府-二期-20号楼-1-402</t>
  </si>
  <si>
    <t>武汉佳兆业悦府-二期-20号楼-1-403</t>
  </si>
  <si>
    <t>武汉佳兆业悦府-二期-20号楼-1-404</t>
  </si>
  <si>
    <t>武汉佳兆业悦府-二期-20号楼-1-501</t>
  </si>
  <si>
    <t>武汉佳兆业悦府-二期-20号楼-1-502</t>
  </si>
  <si>
    <t>武汉佳兆业悦府-二期-20号楼-1-503</t>
  </si>
  <si>
    <t>武汉佳兆业悦府-二期-20号楼-1-504</t>
  </si>
  <si>
    <t>武汉佳兆业悦府-二期-20号楼-1-601</t>
  </si>
  <si>
    <t>武汉佳兆业悦府-二期-20号楼-1-602</t>
  </si>
  <si>
    <t>武汉佳兆业悦府-二期-20号楼-1-603</t>
  </si>
  <si>
    <t>武汉佳兆业悦府-二期-20号楼-1-604</t>
  </si>
  <si>
    <t>武汉佳兆业悦府-二期-20号楼-1-701</t>
  </si>
  <si>
    <t>武汉佳兆业悦府-二期-20号楼-1-702</t>
  </si>
  <si>
    <t>武汉佳兆业悦府-二期-20号楼-1-703</t>
  </si>
  <si>
    <t>武汉佳兆业悦府-二期-20号楼-1-704</t>
  </si>
  <si>
    <t>武汉佳兆业悦府-二期-20号楼-1-801</t>
  </si>
  <si>
    <t>武汉佳兆业悦府-二期-20号楼-1-802</t>
  </si>
  <si>
    <t>武汉佳兆业悦府-二期-20号楼-1-803</t>
  </si>
  <si>
    <t>武汉佳兆业悦府-二期-20号楼-1-804</t>
  </si>
  <si>
    <t>武汉佳兆业悦府-二期-20号楼-1-901</t>
  </si>
  <si>
    <t>武汉佳兆业悦府-二期-20号楼-1-902</t>
  </si>
  <si>
    <t>武汉佳兆业悦府-二期-20号楼-1-903</t>
  </si>
  <si>
    <t>武汉佳兆业悦府-二期-20号楼-1-904</t>
  </si>
  <si>
    <t>武汉佳兆业悦府-二期-20号楼-2-1001</t>
  </si>
  <si>
    <t>武汉佳兆业悦府-二期-20号楼-2-1002</t>
  </si>
  <si>
    <t>武汉佳兆业悦府-二期-20号楼-2-1003</t>
  </si>
  <si>
    <t>武汉佳兆业悦府-二期-20号楼-2-1004</t>
  </si>
  <si>
    <t>武汉佳兆业悦府-二期-20号楼-2-101</t>
  </si>
  <si>
    <t>武汉佳兆业悦府-二期-20号楼-2-102</t>
  </si>
  <si>
    <t>武汉佳兆业悦府-二期-20号楼-2-103</t>
  </si>
  <si>
    <t>武汉佳兆业悦府-二期-20号楼-2-104</t>
  </si>
  <si>
    <t>武汉佳兆业悦府-二期-20号楼-2-1101</t>
  </si>
  <si>
    <t>武汉佳兆业悦府-二期-20号楼-2-1102</t>
  </si>
  <si>
    <t>武汉佳兆业悦府-二期-20号楼-2-1103</t>
  </si>
  <si>
    <t>武汉佳兆业悦府-二期-20号楼-2-1104</t>
  </si>
  <si>
    <t>武汉佳兆业悦府-二期-20号楼-2-1201</t>
  </si>
  <si>
    <t>武汉佳兆业悦府-二期-20号楼-2-1202</t>
  </si>
  <si>
    <t>武汉佳兆业悦府-二期-20号楼-2-1203</t>
  </si>
  <si>
    <t>武汉佳兆业悦府-二期-20号楼-2-1204</t>
  </si>
  <si>
    <t>武汉佳兆业悦府-二期-20号楼-2-1301</t>
  </si>
  <si>
    <t>武汉佳兆业悦府-二期-20号楼-2-1302</t>
  </si>
  <si>
    <t>武汉佳兆业悦府-二期-20号楼-2-1303</t>
  </si>
  <si>
    <t>武汉佳兆业悦府-二期-20号楼-2-1304</t>
  </si>
  <si>
    <t>武汉佳兆业悦府-二期-20号楼-2-1401</t>
  </si>
  <si>
    <t>武汉佳兆业悦府-二期-20号楼-2-1402</t>
  </si>
  <si>
    <t>武汉佳兆业悦府-二期-20号楼-2-1403</t>
  </si>
  <si>
    <t>武汉佳兆业悦府-二期-20号楼-2-1404</t>
  </si>
  <si>
    <t>武汉佳兆业悦府-二期-20号楼-2-1501</t>
  </si>
  <si>
    <t>武汉佳兆业悦府-二期-20号楼-2-1502</t>
  </si>
  <si>
    <t>武汉佳兆业悦府-二期-20号楼-2-1503</t>
  </si>
  <si>
    <t>武汉佳兆业悦府-二期-20号楼-2-1504</t>
  </si>
  <si>
    <t>武汉佳兆业悦府-二期-20号楼-2-1601</t>
  </si>
  <si>
    <t>武汉佳兆业悦府-二期-20号楼-2-1602</t>
  </si>
  <si>
    <t>武汉佳兆业悦府-二期-20号楼-2-1603</t>
  </si>
  <si>
    <t>武汉佳兆业悦府-二期-20号楼-2-1604</t>
  </si>
  <si>
    <t>武汉佳兆业悦府-二期-20号楼-2-1701</t>
  </si>
  <si>
    <t>武汉佳兆业悦府-二期-20号楼-2-1702</t>
  </si>
  <si>
    <t>武汉佳兆业悦府-二期-20号楼-2-1703</t>
  </si>
  <si>
    <t>武汉佳兆业悦府-二期-20号楼-2-1704</t>
  </si>
  <si>
    <t>武汉佳兆业悦府-二期-20号楼-2-1801</t>
  </si>
  <si>
    <t>武汉佳兆业悦府-二期-20号楼-2-1802</t>
  </si>
  <si>
    <t>武汉佳兆业悦府-二期-20号楼-2-1803</t>
  </si>
  <si>
    <t>武汉佳兆业悦府-二期-20号楼-2-1804</t>
  </si>
  <si>
    <t>武汉佳兆业悦府-二期-20号楼-2-1901</t>
  </si>
  <si>
    <t>武汉佳兆业悦府-二期-20号楼-2-1902</t>
  </si>
  <si>
    <t>武汉佳兆业悦府-二期-20号楼-2-1903</t>
  </si>
  <si>
    <t>武汉佳兆业悦府-二期-20号楼-2-1904</t>
  </si>
  <si>
    <t>武汉佳兆业悦府-二期-20号楼-2-2001</t>
  </si>
  <si>
    <t>武汉佳兆业悦府-二期-20号楼-2-2002</t>
  </si>
  <si>
    <t>武汉佳兆业悦府-二期-20号楼-2-2003</t>
  </si>
  <si>
    <t>武汉佳兆业悦府-二期-20号楼-2-2004</t>
  </si>
  <si>
    <t>武汉佳兆业悦府-二期-20号楼-2-201</t>
  </si>
  <si>
    <t>武汉佳兆业悦府-二期-20号楼-2-202</t>
  </si>
  <si>
    <t>武汉佳兆业悦府-二期-20号楼-2-203</t>
  </si>
  <si>
    <t>武汉佳兆业悦府-二期-20号楼-2-204</t>
  </si>
  <si>
    <t>武汉佳兆业悦府-二期-20号楼-2-2101</t>
  </si>
  <si>
    <t>武汉佳兆业悦府-二期-20号楼-2-2102</t>
  </si>
  <si>
    <t>武汉佳兆业悦府-二期-20号楼-2-2103</t>
  </si>
  <si>
    <t>武汉佳兆业悦府-二期-20号楼-2-2104</t>
  </si>
  <si>
    <t>武汉佳兆业悦府-二期-20号楼-2-301</t>
  </si>
  <si>
    <t>武汉佳兆业悦府-二期-20号楼-2-302</t>
  </si>
  <si>
    <t>武汉佳兆业悦府-二期-20号楼-2-303</t>
  </si>
  <si>
    <t>武汉佳兆业悦府-二期-20号楼-2-304</t>
  </si>
  <si>
    <t>武汉佳兆业悦府-二期-20号楼-2-401</t>
  </si>
  <si>
    <t>武汉佳兆业悦府-二期-20号楼-2-402</t>
  </si>
  <si>
    <t>武汉佳兆业悦府-二期-20号楼-2-403</t>
  </si>
  <si>
    <t>武汉佳兆业悦府-二期-20号楼-2-404</t>
  </si>
  <si>
    <t>武汉佳兆业悦府-二期-20号楼-2-501</t>
  </si>
  <si>
    <t>武汉佳兆业悦府-二期-20号楼-2-502</t>
  </si>
  <si>
    <t>武汉佳兆业悦府-二期-20号楼-2-503</t>
  </si>
  <si>
    <t>武汉佳兆业悦府-二期-20号楼-2-504</t>
  </si>
  <si>
    <t>武汉佳兆业悦府-二期-20号楼-2-601</t>
  </si>
  <si>
    <t>武汉佳兆业悦府-二期-20号楼-2-602</t>
  </si>
  <si>
    <t>武汉佳兆业悦府-二期-20号楼-2-603</t>
  </si>
  <si>
    <t>武汉佳兆业悦府-二期-20号楼-2-604</t>
  </si>
  <si>
    <t>武汉佳兆业悦府-二期-20号楼-2-701</t>
  </si>
  <si>
    <t>武汉佳兆业悦府-二期-20号楼-2-702</t>
  </si>
  <si>
    <t>武汉佳兆业悦府-二期-20号楼-2-703</t>
  </si>
  <si>
    <t>武汉佳兆业悦府-二期-20号楼-2-704</t>
  </si>
  <si>
    <t>武汉佳兆业悦府-二期-20号楼-2-801</t>
  </si>
  <si>
    <t>武汉佳兆业悦府-二期-20号楼-2-802</t>
  </si>
  <si>
    <t>武汉佳兆业悦府-二期-20号楼-2-803</t>
  </si>
  <si>
    <t>武汉佳兆业悦府-二期-20号楼-2-804</t>
  </si>
  <si>
    <t>武汉佳兆业悦府-二期-20号楼-2-901</t>
  </si>
  <si>
    <t>武汉佳兆业悦府-二期-20号楼-2-902</t>
  </si>
  <si>
    <t>武汉佳兆业悦府-二期-20号楼-2-903</t>
  </si>
  <si>
    <t>武汉佳兆业悦府-二期-20号楼-2-904</t>
  </si>
  <si>
    <t>21号楼</t>
  </si>
  <si>
    <t>武汉佳兆业悦府-二期-21号楼-1-1001</t>
  </si>
  <si>
    <t>武汉佳兆业悦府-二期-21号楼-1-1002</t>
  </si>
  <si>
    <t>武汉佳兆业悦府-二期-21号楼-1-1003</t>
  </si>
  <si>
    <t>武汉佳兆业悦府-二期-21号楼-1-1004</t>
  </si>
  <si>
    <t>武汉佳兆业悦府-二期-21号楼-1-101</t>
  </si>
  <si>
    <t>武汉佳兆业悦府-二期-21号楼-1-102</t>
  </si>
  <si>
    <t>武汉佳兆业悦府-二期-21号楼-1-103</t>
  </si>
  <si>
    <t>武汉佳兆业悦府-二期-21号楼-1-104</t>
  </si>
  <si>
    <t>武汉佳兆业悦府-二期-21号楼-1-1101</t>
  </si>
  <si>
    <t>武汉佳兆业悦府-二期-21号楼-1-1102</t>
  </si>
  <si>
    <t>武汉佳兆业悦府-二期-21号楼-1-1103</t>
  </si>
  <si>
    <t>武汉佳兆业悦府-二期-21号楼-1-1104</t>
  </si>
  <si>
    <t>武汉佳兆业悦府-二期-21号楼-1-1201</t>
  </si>
  <si>
    <t>武汉佳兆业悦府-二期-21号楼-1-1202</t>
  </si>
  <si>
    <t>武汉佳兆业悦府-二期-21号楼-1-1203</t>
  </si>
  <si>
    <t>武汉佳兆业悦府-二期-21号楼-1-1204</t>
  </si>
  <si>
    <t>武汉佳兆业悦府-二期-21号楼-1-1301</t>
  </si>
  <si>
    <t>武汉佳兆业悦府-二期-21号楼-1-1302</t>
  </si>
  <si>
    <t>武汉佳兆业悦府-二期-21号楼-1-1303</t>
  </si>
  <si>
    <t>武汉佳兆业悦府-二期-21号楼-1-1304</t>
  </si>
  <si>
    <t>武汉佳兆业悦府-二期-21号楼-1-1401</t>
  </si>
  <si>
    <t>武汉佳兆业悦府-二期-21号楼-1-1402</t>
  </si>
  <si>
    <t>武汉佳兆业悦府-二期-21号楼-1-1403</t>
  </si>
  <si>
    <t>武汉佳兆业悦府-二期-21号楼-1-1404</t>
  </si>
  <si>
    <t>武汉佳兆业悦府-二期-21号楼-1-1501</t>
  </si>
  <si>
    <t>武汉佳兆业悦府-二期-21号楼-1-1502</t>
  </si>
  <si>
    <t>武汉佳兆业悦府-二期-21号楼-1-1503</t>
  </si>
  <si>
    <t>武汉佳兆业悦府-二期-21号楼-1-1504</t>
  </si>
  <si>
    <t>武汉佳兆业悦府-二期-21号楼-1-1601</t>
  </si>
  <si>
    <t>武汉佳兆业悦府-二期-21号楼-1-1602</t>
  </si>
  <si>
    <t>武汉佳兆业悦府-二期-21号楼-1-1603</t>
  </si>
  <si>
    <t>武汉佳兆业悦府-二期-21号楼-1-1604</t>
  </si>
  <si>
    <t>武汉佳兆业悦府-二期-21号楼-1-1701</t>
  </si>
  <si>
    <t>武汉佳兆业悦府-二期-21号楼-1-1702</t>
  </si>
  <si>
    <t>武汉佳兆业悦府-二期-21号楼-1-1703</t>
  </si>
  <si>
    <t>武汉佳兆业悦府-二期-21号楼-1-1704</t>
  </si>
  <si>
    <t>武汉佳兆业悦府-二期-21号楼-1-1801</t>
  </si>
  <si>
    <t>武汉佳兆业悦府-二期-21号楼-1-1802</t>
  </si>
  <si>
    <t>武汉佳兆业悦府-二期-21号楼-1-1803</t>
  </si>
  <si>
    <t>武汉佳兆业悦府-二期-21号楼-1-1804</t>
  </si>
  <si>
    <t>武汉佳兆业悦府-二期-21号楼-1-1901</t>
  </si>
  <si>
    <t>武汉佳兆业悦府-二期-21号楼-1-1902</t>
  </si>
  <si>
    <t>武汉佳兆业悦府-二期-21号楼-1-1903</t>
  </si>
  <si>
    <t>武汉佳兆业悦府-二期-21号楼-1-1904</t>
  </si>
  <si>
    <t>武汉佳兆业悦府-二期-21号楼-1-2001</t>
  </si>
  <si>
    <t>武汉佳兆业悦府-二期-21号楼-1-2002</t>
  </si>
  <si>
    <t>武汉佳兆业悦府-二期-21号楼-1-2003</t>
  </si>
  <si>
    <t>武汉佳兆业悦府-二期-21号楼-1-2004</t>
  </si>
  <si>
    <t>武汉佳兆业悦府-二期-21号楼-1-201</t>
  </si>
  <si>
    <t>武汉佳兆业悦府-二期-21号楼-1-202</t>
  </si>
  <si>
    <t>武汉佳兆业悦府-二期-21号楼-1-203</t>
  </si>
  <si>
    <t>武汉佳兆业悦府-二期-21号楼-1-204</t>
  </si>
  <si>
    <t>武汉佳兆业悦府-二期-21号楼-1-2101</t>
  </si>
  <si>
    <t>武汉佳兆业悦府-二期-21号楼-1-2102</t>
  </si>
  <si>
    <t>武汉佳兆业悦府-二期-21号楼-1-2103</t>
  </si>
  <si>
    <t>武汉佳兆业悦府-二期-21号楼-1-2104</t>
  </si>
  <si>
    <t>武汉佳兆业悦府-二期-21号楼-1-301</t>
  </si>
  <si>
    <t>武汉佳兆业悦府-二期-21号楼-1-302</t>
  </si>
  <si>
    <t>武汉佳兆业悦府-二期-21号楼-1-303</t>
  </si>
  <si>
    <t>武汉佳兆业悦府-二期-21号楼-1-304</t>
  </si>
  <si>
    <t>武汉佳兆业悦府-二期-21号楼-1-401</t>
  </si>
  <si>
    <t>武汉佳兆业悦府-二期-21号楼-1-402</t>
  </si>
  <si>
    <t>武汉佳兆业悦府-二期-21号楼-1-403</t>
  </si>
  <si>
    <t>武汉佳兆业悦府-二期-21号楼-1-404</t>
  </si>
  <si>
    <t>武汉佳兆业悦府-二期-21号楼-1-501</t>
  </si>
  <si>
    <t>武汉佳兆业悦府-二期-21号楼-1-502</t>
  </si>
  <si>
    <t>武汉佳兆业悦府-二期-21号楼-1-503</t>
  </si>
  <si>
    <t>武汉佳兆业悦府-二期-21号楼-1-504</t>
  </si>
  <si>
    <t>武汉佳兆业悦府-二期-21号楼-1-601</t>
  </si>
  <si>
    <t>武汉佳兆业悦府-二期-21号楼-1-602</t>
  </si>
  <si>
    <t>武汉佳兆业悦府-二期-21号楼-1-603</t>
  </si>
  <si>
    <t>武汉佳兆业悦府-二期-21号楼-1-604</t>
  </si>
  <si>
    <t>武汉佳兆业悦府-二期-21号楼-1-701</t>
  </si>
  <si>
    <t>武汉佳兆业悦府-二期-21号楼-1-702</t>
  </si>
  <si>
    <t>武汉佳兆业悦府-二期-21号楼-1-703</t>
  </si>
  <si>
    <t>武汉佳兆业悦府-二期-21号楼-1-704</t>
  </si>
  <si>
    <t>武汉佳兆业悦府-二期-21号楼-1-801</t>
  </si>
  <si>
    <t>武汉佳兆业悦府-二期-21号楼-1-802</t>
  </si>
  <si>
    <t>武汉佳兆业悦府-二期-21号楼-1-803</t>
  </si>
  <si>
    <t>武汉佳兆业悦府-二期-21号楼-1-804</t>
  </si>
  <si>
    <t>武汉佳兆业悦府-二期-21号楼-1-901</t>
  </si>
  <si>
    <t>武汉佳兆业悦府-二期-21号楼-1-902</t>
  </si>
  <si>
    <t>武汉佳兆业悦府-二期-21号楼-1-903</t>
  </si>
  <si>
    <t>武汉佳兆业悦府-二期-21号楼-1-904</t>
  </si>
  <si>
    <t>武汉佳兆业悦府-二期-21号楼-2-1001</t>
  </si>
  <si>
    <t>武汉佳兆业悦府-二期-21号楼-2-1002</t>
  </si>
  <si>
    <t>武汉佳兆业悦府-二期-21号楼-2-1003</t>
  </si>
  <si>
    <t>武汉佳兆业悦府-二期-21号楼-2-1004</t>
  </si>
  <si>
    <t>武汉佳兆业悦府-二期-21号楼-2-101</t>
  </si>
  <si>
    <t>武汉佳兆业悦府-二期-21号楼-2-102</t>
  </si>
  <si>
    <t>武汉佳兆业悦府-二期-21号楼-2-103</t>
  </si>
  <si>
    <t>武汉佳兆业悦府-二期-21号楼-2-104</t>
  </si>
  <si>
    <t>武汉佳兆业悦府-二期-21号楼-2-1101</t>
  </si>
  <si>
    <t>武汉佳兆业悦府-二期-21号楼-2-1102</t>
  </si>
  <si>
    <t>武汉佳兆业悦府-二期-21号楼-2-1103</t>
  </si>
  <si>
    <t>武汉佳兆业悦府-二期-21号楼-2-1104</t>
  </si>
  <si>
    <t>武汉佳兆业悦府-二期-21号楼-2-1201</t>
  </si>
  <si>
    <t>武汉佳兆业悦府-二期-21号楼-2-1202</t>
  </si>
  <si>
    <t>武汉佳兆业悦府-二期-21号楼-2-1203</t>
  </si>
  <si>
    <t>武汉佳兆业悦府-二期-21号楼-2-1204</t>
  </si>
  <si>
    <t>武汉佳兆业悦府-二期-21号楼-2-1301</t>
  </si>
  <si>
    <t>武汉佳兆业悦府-二期-21号楼-2-1302</t>
  </si>
  <si>
    <t>武汉佳兆业悦府-二期-21号楼-2-1303</t>
  </si>
  <si>
    <t>武汉佳兆业悦府-二期-21号楼-2-1304</t>
  </si>
  <si>
    <t>武汉佳兆业悦府-二期-21号楼-2-1401</t>
  </si>
  <si>
    <t>武汉佳兆业悦府-二期-21号楼-2-1402</t>
  </si>
  <si>
    <t>武汉佳兆业悦府-二期-21号楼-2-1403</t>
  </si>
  <si>
    <t>武汉佳兆业悦府-二期-21号楼-2-1404</t>
  </si>
  <si>
    <t>武汉佳兆业悦府-二期-21号楼-2-1501</t>
  </si>
  <si>
    <t>武汉佳兆业悦府-二期-21号楼-2-1502</t>
  </si>
  <si>
    <t>武汉佳兆业悦府-二期-21号楼-2-1503</t>
  </si>
  <si>
    <t>武汉佳兆业悦府-二期-21号楼-2-1504</t>
  </si>
  <si>
    <t>武汉佳兆业悦府-二期-21号楼-2-1601</t>
  </si>
  <si>
    <t>武汉佳兆业悦府-二期-21号楼-2-1602</t>
  </si>
  <si>
    <t>武汉佳兆业悦府-二期-21号楼-2-1603</t>
  </si>
  <si>
    <t>武汉佳兆业悦府-二期-21号楼-2-1604</t>
  </si>
  <si>
    <t>武汉佳兆业悦府-二期-21号楼-2-1701</t>
  </si>
  <si>
    <t>武汉佳兆业悦府-二期-21号楼-2-1702</t>
  </si>
  <si>
    <t>武汉佳兆业悦府-二期-21号楼-2-1703</t>
  </si>
  <si>
    <t>武汉佳兆业悦府-二期-21号楼-2-1704</t>
  </si>
  <si>
    <t>武汉佳兆业悦府-二期-21号楼-2-1801</t>
  </si>
  <si>
    <t>武汉佳兆业悦府-二期-21号楼-2-1802</t>
  </si>
  <si>
    <t>武汉佳兆业悦府-二期-21号楼-2-1803</t>
  </si>
  <si>
    <t>武汉佳兆业悦府-二期-21号楼-2-1804</t>
  </si>
  <si>
    <t>武汉佳兆业悦府-二期-21号楼-2-1901</t>
  </si>
  <si>
    <t>武汉佳兆业悦府-二期-21号楼-2-1902</t>
  </si>
  <si>
    <t>武汉佳兆业悦府-二期-21号楼-2-1903</t>
  </si>
  <si>
    <t>武汉佳兆业悦府-二期-21号楼-2-1904</t>
  </si>
  <si>
    <t>武汉佳兆业悦府-二期-21号楼-2-2001</t>
  </si>
  <si>
    <t>武汉佳兆业悦府-二期-21号楼-2-2002</t>
  </si>
  <si>
    <t>武汉佳兆业悦府-二期-21号楼-2-2003</t>
  </si>
  <si>
    <t>武汉佳兆业悦府-二期-21号楼-2-2004</t>
  </si>
  <si>
    <t>武汉佳兆业悦府-二期-21号楼-2-201</t>
  </si>
  <si>
    <t>武汉佳兆业悦府-二期-21号楼-2-202</t>
  </si>
  <si>
    <t>武汉佳兆业悦府-二期-21号楼-2-203</t>
  </si>
  <si>
    <t>武汉佳兆业悦府-二期-21号楼-2-204</t>
  </si>
  <si>
    <t>武汉佳兆业悦府-二期-21号楼-2-2101</t>
  </si>
  <si>
    <t>武汉佳兆业悦府-二期-21号楼-2-2102</t>
  </si>
  <si>
    <t>武汉佳兆业悦府-二期-21号楼-2-2103</t>
  </si>
  <si>
    <t>武汉佳兆业悦府-二期-21号楼-2-2104</t>
  </si>
  <si>
    <t>武汉佳兆业悦府-二期-21号楼-2-301</t>
  </si>
  <si>
    <t>武汉佳兆业悦府-二期-21号楼-2-302</t>
  </si>
  <si>
    <t>武汉佳兆业悦府-二期-21号楼-2-303</t>
  </si>
  <si>
    <t>武汉佳兆业悦府-二期-21号楼-2-304</t>
  </si>
  <si>
    <t>武汉佳兆业悦府-二期-21号楼-2-401</t>
  </si>
  <si>
    <t>武汉佳兆业悦府-二期-21号楼-2-402</t>
  </si>
  <si>
    <t>武汉佳兆业悦府-二期-21号楼-2-403</t>
  </si>
  <si>
    <t>武汉佳兆业悦府-二期-21号楼-2-404</t>
  </si>
  <si>
    <t>武汉佳兆业悦府-二期-21号楼-2-501</t>
  </si>
  <si>
    <t>武汉佳兆业悦府-二期-21号楼-2-502</t>
  </si>
  <si>
    <t>武汉佳兆业悦府-二期-21号楼-2-503</t>
  </si>
  <si>
    <t>武汉佳兆业悦府-二期-21号楼-2-504</t>
  </si>
  <si>
    <t>武汉佳兆业悦府-二期-21号楼-2-601</t>
  </si>
  <si>
    <t>武汉佳兆业悦府-二期-21号楼-2-602</t>
  </si>
  <si>
    <t>武汉佳兆业悦府-二期-21号楼-2-603</t>
  </si>
  <si>
    <t>武汉佳兆业悦府-二期-21号楼-2-604</t>
  </si>
  <si>
    <t>武汉佳兆业悦府-二期-21号楼-2-701</t>
  </si>
  <si>
    <t>武汉佳兆业悦府-二期-21号楼-2-702</t>
  </si>
  <si>
    <t>武汉佳兆业悦府-二期-21号楼-2-703</t>
  </si>
  <si>
    <t>武汉佳兆业悦府-二期-21号楼-2-704</t>
  </si>
  <si>
    <t>武汉佳兆业悦府-二期-21号楼-2-801</t>
  </si>
  <si>
    <t>武汉佳兆业悦府-二期-21号楼-2-802</t>
  </si>
  <si>
    <t>武汉佳兆业悦府-二期-21号楼-2-803</t>
  </si>
  <si>
    <t>武汉佳兆业悦府-二期-21号楼-2-804</t>
  </si>
  <si>
    <t>武汉佳兆业悦府-二期-21号楼-2-901</t>
  </si>
  <si>
    <t>武汉佳兆业悦府-二期-21号楼-2-902</t>
  </si>
  <si>
    <t>武汉佳兆业悦府-二期-21号楼-2-903</t>
  </si>
  <si>
    <t>武汉佳兆业悦府-二期-21号楼-2-904</t>
  </si>
  <si>
    <t>22号楼</t>
  </si>
  <si>
    <t>武汉佳兆业悦府-二期-22号楼-1-1001</t>
  </si>
  <si>
    <t>武汉佳兆业悦府-二期-22号楼-1-1002</t>
  </si>
  <si>
    <t>武汉佳兆业悦府-二期-22号楼-1-1003</t>
  </si>
  <si>
    <t>武汉佳兆业悦府-二期-22号楼-1-1004</t>
  </si>
  <si>
    <t>武汉佳兆业悦府-二期-22号楼-1-101</t>
  </si>
  <si>
    <t>武汉佳兆业悦府-二期-22号楼-1-102</t>
  </si>
  <si>
    <t>武汉佳兆业悦府-二期-22号楼-1-103</t>
  </si>
  <si>
    <t>武汉佳兆业悦府-二期-22号楼-1-104</t>
  </si>
  <si>
    <t>武汉佳兆业悦府-二期-22号楼-1-1101</t>
  </si>
  <si>
    <t>武汉佳兆业悦府-二期-22号楼-1-1102</t>
  </si>
  <si>
    <t>武汉佳兆业悦府-二期-22号楼-1-1103</t>
  </si>
  <si>
    <t>武汉佳兆业悦府-二期-22号楼-1-1104</t>
  </si>
  <si>
    <t>武汉佳兆业悦府-二期-22号楼-1-1201</t>
  </si>
  <si>
    <t>武汉佳兆业悦府-二期-22号楼-1-1202</t>
  </si>
  <si>
    <t>武汉佳兆业悦府-二期-22号楼-1-1203</t>
  </si>
  <si>
    <t>武汉佳兆业悦府-二期-22号楼-1-1204</t>
  </si>
  <si>
    <t>武汉佳兆业悦府-二期-22号楼-1-1301</t>
  </si>
  <si>
    <t>武汉佳兆业悦府-二期-22号楼-1-1302</t>
  </si>
  <si>
    <t>武汉佳兆业悦府-二期-22号楼-1-1303</t>
  </si>
  <si>
    <t>武汉佳兆业悦府-二期-22号楼-1-1304</t>
  </si>
  <si>
    <t>武汉佳兆业悦府-二期-22号楼-1-1401</t>
  </si>
  <si>
    <t>武汉佳兆业悦府-二期-22号楼-1-1402</t>
  </si>
  <si>
    <t>武汉佳兆业悦府-二期-22号楼-1-1403</t>
  </si>
  <si>
    <t>武汉佳兆业悦府-二期-22号楼-1-1404</t>
  </si>
  <si>
    <t>武汉佳兆业悦府-二期-22号楼-1-1501</t>
  </si>
  <si>
    <t>武汉佳兆业悦府-二期-22号楼-1-1502</t>
  </si>
  <si>
    <t>武汉佳兆业悦府-二期-22号楼-1-1503</t>
  </si>
  <si>
    <t>武汉佳兆业悦府-二期-22号楼-1-1504</t>
  </si>
  <si>
    <t>武汉佳兆业悦府-二期-22号楼-1-1601</t>
  </si>
  <si>
    <t>武汉佳兆业悦府-二期-22号楼-1-1602</t>
  </si>
  <si>
    <t>武汉佳兆业悦府-二期-22号楼-1-1603</t>
  </si>
  <si>
    <t>武汉佳兆业悦府-二期-22号楼-1-1604</t>
  </si>
  <si>
    <t>武汉佳兆业悦府-二期-22号楼-1-1701</t>
  </si>
  <si>
    <t>武汉佳兆业悦府-二期-22号楼-1-1702</t>
  </si>
  <si>
    <t>武汉佳兆业悦府-二期-22号楼-1-1703</t>
  </si>
  <si>
    <t>武汉佳兆业悦府-二期-22号楼-1-1704</t>
  </si>
  <si>
    <t>武汉佳兆业悦府-二期-22号楼-1-1801</t>
  </si>
  <si>
    <t>武汉佳兆业悦府-二期-22号楼-1-1802</t>
  </si>
  <si>
    <t>武汉佳兆业悦府-二期-22号楼-1-1803</t>
  </si>
  <si>
    <t>武汉佳兆业悦府-二期-22号楼-1-1804</t>
  </si>
  <si>
    <t>武汉佳兆业悦府-二期-22号楼-1-1901</t>
  </si>
  <si>
    <t>武汉佳兆业悦府-二期-22号楼-1-1902</t>
  </si>
  <si>
    <t>武汉佳兆业悦府-二期-22号楼-1-1903</t>
  </si>
  <si>
    <t>武汉佳兆业悦府-二期-22号楼-1-1904</t>
  </si>
  <si>
    <t>武汉佳兆业悦府-二期-22号楼-1-2001</t>
  </si>
  <si>
    <t>武汉佳兆业悦府-二期-22号楼-1-2002</t>
  </si>
  <si>
    <t>武汉佳兆业悦府-二期-22号楼-1-2003</t>
  </si>
  <si>
    <t>武汉佳兆业悦府-二期-22号楼-1-2004</t>
  </si>
  <si>
    <t>武汉佳兆业悦府-二期-22号楼-1-201</t>
  </si>
  <si>
    <t>武汉佳兆业悦府-二期-22号楼-1-202</t>
  </si>
  <si>
    <t>武汉佳兆业悦府-二期-22号楼-1-203</t>
  </si>
  <si>
    <t>武汉佳兆业悦府-二期-22号楼-1-204</t>
  </si>
  <si>
    <t>武汉佳兆业悦府-二期-22号楼-1-2101</t>
  </si>
  <si>
    <t>武汉佳兆业悦府-二期-22号楼-1-2102</t>
  </si>
  <si>
    <t>武汉佳兆业悦府-二期-22号楼-1-2103</t>
  </si>
  <si>
    <t>武汉佳兆业悦府-二期-22号楼-1-2104</t>
  </si>
  <si>
    <t>武汉佳兆业悦府-二期-22号楼-1-301</t>
  </si>
  <si>
    <t>武汉佳兆业悦府-二期-22号楼-1-302</t>
  </si>
  <si>
    <t>武汉佳兆业悦府-二期-22号楼-1-303</t>
  </si>
  <si>
    <t>武汉佳兆业悦府-二期-22号楼-1-304</t>
  </si>
  <si>
    <t>武汉佳兆业悦府-二期-22号楼-1-401</t>
  </si>
  <si>
    <t>武汉佳兆业悦府-二期-22号楼-1-402</t>
  </si>
  <si>
    <t>武汉佳兆业悦府-二期-22号楼-1-403</t>
  </si>
  <si>
    <t>武汉佳兆业悦府-二期-22号楼-1-404</t>
  </si>
  <si>
    <t>武汉佳兆业悦府-二期-22号楼-1-501</t>
  </si>
  <si>
    <t>武汉佳兆业悦府-二期-22号楼-1-502</t>
  </si>
  <si>
    <t>武汉佳兆业悦府-二期-22号楼-1-503</t>
  </si>
  <si>
    <t>武汉佳兆业悦府-二期-22号楼-1-504</t>
  </si>
  <si>
    <t>武汉佳兆业悦府-二期-22号楼-1-601</t>
  </si>
  <si>
    <t>武汉佳兆业悦府-二期-22号楼-1-602</t>
  </si>
  <si>
    <t>武汉佳兆业悦府-二期-22号楼-1-603</t>
  </si>
  <si>
    <t>武汉佳兆业悦府-二期-22号楼-1-604</t>
  </si>
  <si>
    <t>武汉佳兆业悦府-二期-22号楼-1-701</t>
  </si>
  <si>
    <t>武汉佳兆业悦府-二期-22号楼-1-702</t>
  </si>
  <si>
    <t>武汉佳兆业悦府-二期-22号楼-1-703</t>
  </si>
  <si>
    <t>武汉佳兆业悦府-二期-22号楼-1-704</t>
  </si>
  <si>
    <t>武汉佳兆业悦府-二期-22号楼-1-801</t>
  </si>
  <si>
    <t>武汉佳兆业悦府-二期-22号楼-1-802</t>
  </si>
  <si>
    <t>武汉佳兆业悦府-二期-22号楼-1-803</t>
  </si>
  <si>
    <t>武汉佳兆业悦府-二期-22号楼-1-804</t>
  </si>
  <si>
    <t>武汉佳兆业悦府-二期-22号楼-1-901</t>
  </si>
  <si>
    <t>武汉佳兆业悦府-二期-22号楼-1-902</t>
  </si>
  <si>
    <t>武汉佳兆业悦府-二期-22号楼-1-903</t>
  </si>
  <si>
    <t>武汉佳兆业悦府-二期-22号楼-1-904</t>
  </si>
  <si>
    <t>武汉佳兆业悦府-二期-22号楼-2-1001</t>
  </si>
  <si>
    <t>武汉佳兆业悦府-二期-22号楼-2-1002</t>
  </si>
  <si>
    <t>武汉佳兆业悦府-二期-22号楼-2-1003</t>
  </si>
  <si>
    <t>武汉佳兆业悦府-二期-22号楼-2-1004</t>
  </si>
  <si>
    <t>武汉佳兆业悦府-二期-22号楼-2-101</t>
  </si>
  <si>
    <t>武汉佳兆业悦府-二期-22号楼-2-102</t>
  </si>
  <si>
    <t>武汉佳兆业悦府-二期-22号楼-2-103</t>
  </si>
  <si>
    <t>武汉佳兆业悦府-二期-22号楼-2-104</t>
  </si>
  <si>
    <t>武汉佳兆业悦府-二期-22号楼-2-1101</t>
  </si>
  <si>
    <t>武汉佳兆业悦府-二期-22号楼-2-1102</t>
  </si>
  <si>
    <t>武汉佳兆业悦府-二期-22号楼-2-1103</t>
  </si>
  <si>
    <t>武汉佳兆业悦府-二期-22号楼-2-1104</t>
  </si>
  <si>
    <t>武汉佳兆业悦府-二期-22号楼-2-1201</t>
  </si>
  <si>
    <t>武汉佳兆业悦府-二期-22号楼-2-1202</t>
  </si>
  <si>
    <t>武汉佳兆业悦府-二期-22号楼-2-1203</t>
  </si>
  <si>
    <t>武汉佳兆业悦府-二期-22号楼-2-1204</t>
  </si>
  <si>
    <t>武汉佳兆业悦府-二期-22号楼-2-1301</t>
  </si>
  <si>
    <t>武汉佳兆业悦府-二期-22号楼-2-1302</t>
  </si>
  <si>
    <t>武汉佳兆业悦府-二期-22号楼-2-1303</t>
  </si>
  <si>
    <t>武汉佳兆业悦府-二期-22号楼-2-1304</t>
  </si>
  <si>
    <t>武汉佳兆业悦府-二期-22号楼-2-1401</t>
  </si>
  <si>
    <t>武汉佳兆业悦府-二期-22号楼-2-1402</t>
  </si>
  <si>
    <t>武汉佳兆业悦府-二期-22号楼-2-1403</t>
  </si>
  <si>
    <t>武汉佳兆业悦府-二期-22号楼-2-1404</t>
  </si>
  <si>
    <t>武汉佳兆业悦府-二期-22号楼-2-1501</t>
  </si>
  <si>
    <t>武汉佳兆业悦府-二期-22号楼-2-1502</t>
  </si>
  <si>
    <t>武汉佳兆业悦府-二期-22号楼-2-1503</t>
  </si>
  <si>
    <t>武汉佳兆业悦府-二期-22号楼-2-1504</t>
  </si>
  <si>
    <t>武汉佳兆业悦府-二期-22号楼-2-1601</t>
  </si>
  <si>
    <t>武汉佳兆业悦府-二期-22号楼-2-1602</t>
  </si>
  <si>
    <t>武汉佳兆业悦府-二期-22号楼-2-1603</t>
  </si>
  <si>
    <t>武汉佳兆业悦府-二期-22号楼-2-1604</t>
  </si>
  <si>
    <t>武汉佳兆业悦府-二期-22号楼-2-1701</t>
  </si>
  <si>
    <t>武汉佳兆业悦府-二期-22号楼-2-1702</t>
  </si>
  <si>
    <t>武汉佳兆业悦府-二期-22号楼-2-1703</t>
  </si>
  <si>
    <t>武汉佳兆业悦府-二期-22号楼-2-1704</t>
  </si>
  <si>
    <t>武汉佳兆业悦府-二期-22号楼-2-1801</t>
  </si>
  <si>
    <t>武汉佳兆业悦府-二期-22号楼-2-1802</t>
  </si>
  <si>
    <t>武汉佳兆业悦府-二期-22号楼-2-1803</t>
  </si>
  <si>
    <t>武汉佳兆业悦府-二期-22号楼-2-1804</t>
  </si>
  <si>
    <t>武汉佳兆业悦府-二期-22号楼-2-1901</t>
  </si>
  <si>
    <t>武汉佳兆业悦府-二期-22号楼-2-1902</t>
  </si>
  <si>
    <t>武汉佳兆业悦府-二期-22号楼-2-1903</t>
  </si>
  <si>
    <t>武汉佳兆业悦府-二期-22号楼-2-1904</t>
  </si>
  <si>
    <t>武汉佳兆业悦府-二期-22号楼-2-2001</t>
  </si>
  <si>
    <t>武汉佳兆业悦府-二期-22号楼-2-2002</t>
  </si>
  <si>
    <t>武汉佳兆业悦府-二期-22号楼-2-2003</t>
  </si>
  <si>
    <t>武汉佳兆业悦府-二期-22号楼-2-2004</t>
  </si>
  <si>
    <t>武汉佳兆业悦府-二期-22号楼-2-201</t>
  </si>
  <si>
    <t>武汉佳兆业悦府-二期-22号楼-2-202</t>
  </si>
  <si>
    <t>武汉佳兆业悦府-二期-22号楼-2-203</t>
  </si>
  <si>
    <t>武汉佳兆业悦府-二期-22号楼-2-204</t>
  </si>
  <si>
    <t>武汉佳兆业悦府-二期-22号楼-2-2101</t>
  </si>
  <si>
    <t>武汉佳兆业悦府-二期-22号楼-2-2102</t>
  </si>
  <si>
    <t>武汉佳兆业悦府-二期-22号楼-2-2103</t>
  </si>
  <si>
    <t>武汉佳兆业悦府-二期-22号楼-2-2104</t>
  </si>
  <si>
    <t>武汉佳兆业悦府-二期-22号楼-2-301</t>
  </si>
  <si>
    <t>武汉佳兆业悦府-二期-22号楼-2-302</t>
  </si>
  <si>
    <t>武汉佳兆业悦府-二期-22号楼-2-303</t>
  </si>
  <si>
    <t>武汉佳兆业悦府-二期-22号楼-2-304</t>
  </si>
  <si>
    <t>武汉佳兆业悦府-二期-22号楼-2-401</t>
  </si>
  <si>
    <t>武汉佳兆业悦府-二期-22号楼-2-402</t>
  </si>
  <si>
    <t>武汉佳兆业悦府-二期-22号楼-2-403</t>
  </si>
  <si>
    <t>武汉佳兆业悦府-二期-22号楼-2-404</t>
  </si>
  <si>
    <t>武汉佳兆业悦府-二期-22号楼-2-501</t>
  </si>
  <si>
    <t>武汉佳兆业悦府-二期-22号楼-2-502</t>
  </si>
  <si>
    <t>武汉佳兆业悦府-二期-22号楼-2-503</t>
  </si>
  <si>
    <t>武汉佳兆业悦府-二期-22号楼-2-504</t>
  </si>
  <si>
    <t>武汉佳兆业悦府-二期-22号楼-2-601</t>
  </si>
  <si>
    <t>武汉佳兆业悦府-二期-22号楼-2-602</t>
  </si>
  <si>
    <t>武汉佳兆业悦府-二期-22号楼-2-603</t>
  </si>
  <si>
    <t>武汉佳兆业悦府-二期-22号楼-2-604</t>
  </si>
  <si>
    <t>武汉佳兆业悦府-二期-22号楼-2-701</t>
  </si>
  <si>
    <t>武汉佳兆业悦府-二期-22号楼-2-702</t>
  </si>
  <si>
    <t>武汉佳兆业悦府-二期-22号楼-2-703</t>
  </si>
  <si>
    <t>武汉佳兆业悦府-二期-22号楼-2-704</t>
  </si>
  <si>
    <t>武汉佳兆业悦府-二期-22号楼-2-801</t>
  </si>
  <si>
    <t>武汉佳兆业悦府-二期-22号楼-2-802</t>
  </si>
  <si>
    <t>武汉佳兆业悦府-二期-22号楼-2-803</t>
  </si>
  <si>
    <t>武汉佳兆业悦府-二期-22号楼-2-804</t>
  </si>
  <si>
    <t>武汉佳兆业悦府-二期-22号楼-2-901</t>
  </si>
  <si>
    <t>武汉佳兆业悦府-二期-22号楼-2-902</t>
  </si>
  <si>
    <t>武汉佳兆业悦府-二期-22号楼-2-903</t>
  </si>
  <si>
    <t>武汉佳兆业悦府-二期-22号楼-2-904</t>
  </si>
  <si>
    <t>9号楼洋房</t>
  </si>
  <si>
    <t>武汉佳兆业悦府-二期-9号楼洋房-1-101</t>
  </si>
  <si>
    <t>武汉佳兆业悦府-二期-9号楼洋房-1-102</t>
  </si>
  <si>
    <t>武汉佳兆业悦府-二期-9号楼洋房-1-201</t>
  </si>
  <si>
    <t>武汉佳兆业悦府-二期-9号楼洋房-1-202</t>
  </si>
  <si>
    <t>武汉佳兆业悦府-二期-9号楼洋房-1-301</t>
  </si>
  <si>
    <t>武汉佳兆业悦府-二期-9号楼洋房-1-302</t>
  </si>
  <si>
    <t>武汉佳兆业悦府-二期-9号楼洋房-1-401</t>
  </si>
  <si>
    <t>武汉佳兆业悦府-二期-9号楼洋房-1-402</t>
  </si>
  <si>
    <t>武汉佳兆业悦府-二期-9号楼洋房-1-501</t>
  </si>
  <si>
    <t>武汉佳兆业悦府-二期-9号楼洋房-1-502</t>
  </si>
  <si>
    <t>武汉佳兆业悦府-二期-9号楼洋房-1-601</t>
  </si>
  <si>
    <t>武汉佳兆业悦府-二期-9号楼洋房-1-602</t>
  </si>
  <si>
    <t>武汉佳兆业悦府-二期-9号楼洋房-2-101</t>
  </si>
  <si>
    <t>武汉佳兆业悦府-二期-9号楼洋房-2-102</t>
  </si>
  <si>
    <t>武汉佳兆业悦府-二期-9号楼洋房-2-201</t>
  </si>
  <si>
    <t>武汉佳兆业悦府-二期-9号楼洋房-2-202</t>
  </si>
  <si>
    <t>武汉佳兆业悦府-二期-9号楼洋房-2-301</t>
  </si>
  <si>
    <t>武汉佳兆业悦府-二期-9号楼洋房-2-302</t>
  </si>
  <si>
    <t>武汉佳兆业悦府-二期-9号楼洋房-2-401</t>
  </si>
  <si>
    <t>武汉佳兆业悦府-二期-9号楼洋房-2-402</t>
  </si>
  <si>
    <t>武汉佳兆业悦府-二期-9号楼洋房-2-501</t>
  </si>
  <si>
    <t>武汉佳兆业悦府-二期-9号楼洋房-2-502</t>
  </si>
  <si>
    <t>武汉佳兆业悦府-二期-9号楼洋房-2-601</t>
  </si>
  <si>
    <t>武汉佳兆业悦府-二期-9号楼洋房-2-602</t>
  </si>
  <si>
    <t>商业-商铺</t>
  </si>
  <si>
    <t>S5商铺</t>
  </si>
  <si>
    <t>商1</t>
  </si>
  <si>
    <t>武汉佳兆业悦府-二期-S5商铺-商1</t>
  </si>
  <si>
    <t>商铺</t>
  </si>
  <si>
    <t>商2</t>
  </si>
  <si>
    <t>武汉佳兆业悦府-二期-S5商铺-商2</t>
  </si>
  <si>
    <t>商3</t>
  </si>
  <si>
    <t>武汉佳兆业悦府-二期-S5商铺-商3</t>
  </si>
  <si>
    <t>商4</t>
  </si>
  <si>
    <t>武汉佳兆业悦府-二期-S5商铺-商4</t>
  </si>
  <si>
    <t>商5</t>
  </si>
  <si>
    <t>武汉佳兆业悦府-二期-S5商铺-商5</t>
  </si>
  <si>
    <t>商6</t>
  </si>
  <si>
    <t>武汉佳兆业悦府-二期-S5商铺-商6</t>
  </si>
  <si>
    <t>商7</t>
  </si>
  <si>
    <t>武汉佳兆业悦府-二期-S5商铺-商7</t>
  </si>
  <si>
    <t>商8</t>
  </si>
  <si>
    <t>武汉佳兆业悦府-二期-S5商铺-商8</t>
  </si>
  <si>
    <t>商9</t>
  </si>
  <si>
    <t>武汉佳兆业悦府-二期-S5商铺-商9</t>
  </si>
  <si>
    <t>S6商铺</t>
  </si>
  <si>
    <t>武汉佳兆业悦府-二期-S6商铺-商1</t>
  </si>
  <si>
    <t>商10</t>
  </si>
  <si>
    <t>武汉佳兆业悦府-二期-S6商铺-商10</t>
  </si>
  <si>
    <t>商11</t>
  </si>
  <si>
    <t>武汉佳兆业悦府-二期-S6商铺-商11</t>
  </si>
  <si>
    <t>商12</t>
  </si>
  <si>
    <t>武汉佳兆业悦府-二期-S6商铺-商12</t>
  </si>
  <si>
    <t>商13</t>
  </si>
  <si>
    <t>武汉佳兆业悦府-二期-S6商铺-商13</t>
  </si>
  <si>
    <t>商14</t>
  </si>
  <si>
    <t>武汉佳兆业悦府-二期-S6商铺-商14</t>
  </si>
  <si>
    <t>商15</t>
  </si>
  <si>
    <t>武汉佳兆业悦府-二期-S6商铺-商15</t>
  </si>
  <si>
    <t>武汉佳兆业悦府-二期-S6商铺-商2</t>
  </si>
  <si>
    <t>武汉佳兆业悦府-二期-S6商铺-商3</t>
  </si>
  <si>
    <t>武汉佳兆业悦府-二期-S6商铺-商4</t>
  </si>
  <si>
    <t>武汉佳兆业悦府-二期-S6商铺-商5</t>
  </si>
  <si>
    <t>武汉佳兆业悦府-二期-S6商铺-商6</t>
  </si>
  <si>
    <t>武汉佳兆业悦府-二期-S6商铺-商7</t>
  </si>
  <si>
    <t>武汉佳兆业悦府-二期-S6商铺-商8</t>
  </si>
  <si>
    <t>武汉佳兆业悦府-二期-S6商铺-商9</t>
  </si>
  <si>
    <t>S7商铺</t>
  </si>
  <si>
    <t>武汉佳兆业悦府-二期-S7商铺-商1</t>
  </si>
  <si>
    <t>武汉佳兆业悦府-二期-S7商铺-商10</t>
  </si>
  <si>
    <t>武汉佳兆业悦府-二期-S7商铺-商2</t>
  </si>
  <si>
    <t>武汉佳兆业悦府-二期-S7商铺-商3</t>
  </si>
  <si>
    <t>武汉佳兆业悦府-二期-S7商铺-商4</t>
  </si>
  <si>
    <t>武汉佳兆业悦府-二期-S7商铺-商5</t>
  </si>
  <si>
    <t>武汉佳兆业悦府-二期-S7商铺-商6</t>
  </si>
  <si>
    <t>武汉佳兆业悦府-二期-S7商铺-商7</t>
  </si>
  <si>
    <t>武汉佳兆业悦府-二期-S7商铺-商8</t>
  </si>
  <si>
    <t>武汉佳兆业悦府-二期-S7商铺-商9</t>
  </si>
  <si>
    <t>武汉佳兆业悦府-一期</t>
  </si>
  <si>
    <t>23号楼</t>
  </si>
  <si>
    <t>武汉佳兆业悦府-一期-23号楼-1504</t>
  </si>
  <si>
    <t>24号楼</t>
  </si>
  <si>
    <t>武汉佳兆业悦府-一期-24号楼-1001</t>
  </si>
  <si>
    <t>武汉佳兆业悦府-一期-24号楼-1002</t>
  </si>
  <si>
    <t>武汉佳兆业悦府-一期-24号楼-1003</t>
  </si>
  <si>
    <t>武汉佳兆业悦府-一期-24号楼-1004</t>
  </si>
  <si>
    <t>武汉佳兆业悦府-一期-24号楼-101</t>
  </si>
  <si>
    <t>武汉佳兆业悦府-一期-24号楼-102</t>
  </si>
  <si>
    <t>武汉佳兆业悦府-一期-24号楼-103</t>
  </si>
  <si>
    <t>武汉佳兆业悦府-一期-24号楼-104</t>
  </si>
  <si>
    <t>武汉佳兆业悦府-一期-24号楼-1101</t>
  </si>
  <si>
    <t>武汉佳兆业悦府-一期-24号楼-1102</t>
  </si>
  <si>
    <t>武汉佳兆业悦府-一期-24号楼-1103</t>
  </si>
  <si>
    <t>武汉佳兆业悦府-一期-24号楼-1104</t>
  </si>
  <si>
    <t>武汉佳兆业悦府-一期-24号楼-1201</t>
  </si>
  <si>
    <t>武汉佳兆业悦府-一期-24号楼-1202</t>
  </si>
  <si>
    <t>武汉佳兆业悦府-一期-24号楼-1203</t>
  </si>
  <si>
    <t>武汉佳兆业悦府-一期-24号楼-1204</t>
  </si>
  <si>
    <t>武汉佳兆业悦府-一期-24号楼-1301</t>
  </si>
  <si>
    <t>武汉佳兆业悦府-一期-24号楼-1302</t>
  </si>
  <si>
    <t>武汉佳兆业悦府-一期-24号楼-1303</t>
  </si>
  <si>
    <t>武汉佳兆业悦府-一期-24号楼-1304</t>
  </si>
  <si>
    <t>武汉佳兆业悦府-一期-24号楼-1401</t>
  </si>
  <si>
    <t>武汉佳兆业悦府-一期-24号楼-1402</t>
  </si>
  <si>
    <t>武汉佳兆业悦府-一期-24号楼-1403</t>
  </si>
  <si>
    <t>武汉佳兆业悦府-一期-24号楼-1404</t>
  </si>
  <si>
    <t>武汉佳兆业悦府-一期-24号楼-1501</t>
  </si>
  <si>
    <t>武汉佳兆业悦府-一期-24号楼-1502</t>
  </si>
  <si>
    <t>武汉佳兆业悦府-一期-24号楼-1503</t>
  </si>
  <si>
    <t>武汉佳兆业悦府-一期-24号楼-1504</t>
  </si>
  <si>
    <t>武汉佳兆业悦府-一期-24号楼-1601</t>
  </si>
  <si>
    <t>武汉佳兆业悦府-一期-24号楼-1602</t>
  </si>
  <si>
    <t>武汉佳兆业悦府-一期-24号楼-1603</t>
  </si>
  <si>
    <t>武汉佳兆业悦府-一期-24号楼-1604</t>
  </si>
  <si>
    <t>武汉佳兆业悦府-一期-24号楼-1701</t>
  </si>
  <si>
    <t>武汉佳兆业悦府-一期-24号楼-1702</t>
  </si>
  <si>
    <t>武汉佳兆业悦府-一期-24号楼-1703</t>
  </si>
  <si>
    <t>武汉佳兆业悦府-一期-24号楼-1704</t>
  </si>
  <si>
    <t>武汉佳兆业悦府-一期-24号楼-1801</t>
  </si>
  <si>
    <t>武汉佳兆业悦府-一期-24号楼-1802</t>
  </si>
  <si>
    <t>武汉佳兆业悦府-一期-24号楼-1803</t>
  </si>
  <si>
    <t>武汉佳兆业悦府-一期-24号楼-1804</t>
  </si>
  <si>
    <t>武汉佳兆业悦府-一期-24号楼-1901</t>
  </si>
  <si>
    <t>武汉佳兆业悦府-一期-24号楼-1902</t>
  </si>
  <si>
    <t>武汉佳兆业悦府-一期-24号楼-1903</t>
  </si>
  <si>
    <t>武汉佳兆业悦府-一期-24号楼-1904</t>
  </si>
  <si>
    <t>武汉佳兆业悦府-一期-24号楼-201</t>
  </si>
  <si>
    <t>武汉佳兆业悦府-一期-24号楼-202</t>
  </si>
  <si>
    <t>武汉佳兆业悦府-一期-24号楼-203</t>
  </si>
  <si>
    <t>武汉佳兆业悦府-一期-24号楼-204</t>
  </si>
  <si>
    <t>武汉佳兆业悦府-一期-24号楼-301</t>
  </si>
  <si>
    <t>武汉佳兆业悦府-一期-24号楼-302</t>
  </si>
  <si>
    <t>武汉佳兆业悦府-一期-24号楼-303</t>
  </si>
  <si>
    <t>武汉佳兆业悦府-一期-24号楼-304</t>
  </si>
  <si>
    <t>武汉佳兆业悦府-一期-24号楼-401</t>
  </si>
  <si>
    <t>武汉佳兆业悦府-一期-24号楼-402</t>
  </si>
  <si>
    <t>武汉佳兆业悦府-一期-24号楼-403</t>
  </si>
  <si>
    <t>武汉佳兆业悦府-一期-24号楼-404</t>
  </si>
  <si>
    <t>武汉佳兆业悦府-一期-24号楼-501</t>
  </si>
  <si>
    <t>武汉佳兆业悦府-一期-24号楼-502</t>
  </si>
  <si>
    <t>武汉佳兆业悦府-一期-24号楼-503</t>
  </si>
  <si>
    <t>武汉佳兆业悦府-一期-24号楼-504</t>
  </si>
  <si>
    <t>武汉佳兆业悦府-一期-24号楼-601</t>
  </si>
  <si>
    <t>武汉佳兆业悦府-一期-24号楼-602</t>
  </si>
  <si>
    <t>武汉佳兆业悦府-一期-24号楼-603</t>
  </si>
  <si>
    <t>武汉佳兆业悦府-一期-24号楼-604</t>
  </si>
  <si>
    <t>武汉佳兆业悦府-一期-24号楼-701</t>
  </si>
  <si>
    <t>武汉佳兆业悦府-一期-24号楼-702</t>
  </si>
  <si>
    <t>武汉佳兆业悦府-一期-24号楼-703</t>
  </si>
  <si>
    <t>武汉佳兆业悦府-一期-24号楼-704</t>
  </si>
  <si>
    <t>武汉佳兆业悦府-一期-24号楼-801</t>
  </si>
  <si>
    <t>武汉佳兆业悦府-一期-24号楼-802</t>
  </si>
  <si>
    <t>武汉佳兆业悦府-一期-24号楼-803</t>
  </si>
  <si>
    <t>武汉佳兆业悦府-一期-24号楼-804</t>
  </si>
  <si>
    <t>武汉佳兆业悦府-一期-24号楼-901</t>
  </si>
  <si>
    <t>武汉佳兆业悦府-一期-24号楼-902</t>
  </si>
  <si>
    <t>武汉佳兆业悦府-一期-24号楼-903</t>
  </si>
  <si>
    <t>武汉佳兆业悦府-一期-24号楼-904</t>
  </si>
  <si>
    <t>25号楼</t>
  </si>
  <si>
    <t>武汉佳兆业悦府-一期-25号楼-1001</t>
  </si>
  <si>
    <t>武汉佳兆业悦府-一期-25号楼-1002</t>
  </si>
  <si>
    <t>武汉佳兆业悦府-一期-25号楼-1003</t>
  </si>
  <si>
    <t>武汉佳兆业悦府-一期-25号楼-1004</t>
  </si>
  <si>
    <t>武汉佳兆业悦府-一期-25号楼-101</t>
  </si>
  <si>
    <t>武汉佳兆业悦府-一期-25号楼-102</t>
  </si>
  <si>
    <t>武汉佳兆业悦府-一期-25号楼-103</t>
  </si>
  <si>
    <t>武汉佳兆业悦府-一期-25号楼-104</t>
  </si>
  <si>
    <t>武汉佳兆业悦府-一期-25号楼-1101</t>
  </si>
  <si>
    <t>武汉佳兆业悦府-一期-25号楼-1102</t>
  </si>
  <si>
    <t>武汉佳兆业悦府-一期-25号楼-1103</t>
  </si>
  <si>
    <t>武汉佳兆业悦府-一期-25号楼-1104</t>
  </si>
  <si>
    <t>武汉佳兆业悦府-一期-25号楼-1201</t>
  </si>
  <si>
    <t>武汉佳兆业悦府-一期-25号楼-1202</t>
  </si>
  <si>
    <t>武汉佳兆业悦府-一期-25号楼-1203</t>
  </si>
  <si>
    <t>武汉佳兆业悦府-一期-25号楼-1204</t>
  </si>
  <si>
    <t>武汉佳兆业悦府-一期-25号楼-1301</t>
  </si>
  <si>
    <t>武汉佳兆业悦府-一期-25号楼-1302</t>
  </si>
  <si>
    <t>武汉佳兆业悦府-一期-25号楼-1303</t>
  </si>
  <si>
    <t>武汉佳兆业悦府-一期-25号楼-1304</t>
  </si>
  <si>
    <t>武汉佳兆业悦府-一期-25号楼-1401</t>
  </si>
  <si>
    <t>武汉佳兆业悦府-一期-25号楼-1402</t>
  </si>
  <si>
    <t>武汉佳兆业悦府-一期-25号楼-1403</t>
  </si>
  <si>
    <t>武汉佳兆业悦府-一期-25号楼-1404</t>
  </si>
  <si>
    <t>武汉佳兆业悦府-一期-25号楼-1501</t>
  </si>
  <si>
    <t>武汉佳兆业悦府-一期-25号楼-1502</t>
  </si>
  <si>
    <t>武汉佳兆业悦府-一期-25号楼-1503</t>
  </si>
  <si>
    <t>武汉佳兆业悦府-一期-25号楼-1504</t>
  </si>
  <si>
    <t>武汉佳兆业悦府-一期-25号楼-1601</t>
  </si>
  <si>
    <t>武汉佳兆业悦府-一期-25号楼-1602</t>
  </si>
  <si>
    <t>武汉佳兆业悦府-一期-25号楼-1603</t>
  </si>
  <si>
    <t>武汉佳兆业悦府-一期-25号楼-1604</t>
  </si>
  <si>
    <t>武汉佳兆业悦府-一期-25号楼-1701</t>
  </si>
  <si>
    <t>武汉佳兆业悦府-一期-25号楼-1702</t>
  </si>
  <si>
    <t>武汉佳兆业悦府-一期-25号楼-1703</t>
  </si>
  <si>
    <t>武汉佳兆业悦府-一期-25号楼-1704</t>
  </si>
  <si>
    <t>武汉佳兆业悦府-一期-25号楼-1801</t>
  </si>
  <si>
    <t>武汉佳兆业悦府-一期-25号楼-1802</t>
  </si>
  <si>
    <t>武汉佳兆业悦府-一期-25号楼-1803</t>
  </si>
  <si>
    <t>武汉佳兆业悦府-一期-25号楼-1804</t>
  </si>
  <si>
    <t>武汉佳兆业悦府-一期-25号楼-1901</t>
  </si>
  <si>
    <t>武汉佳兆业悦府-一期-25号楼-1902</t>
  </si>
  <si>
    <t>武汉佳兆业悦府-一期-25号楼-1903</t>
  </si>
  <si>
    <t>武汉佳兆业悦府-一期-25号楼-1904</t>
  </si>
  <si>
    <t>武汉佳兆业悦府-一期-25号楼-2001</t>
  </si>
  <si>
    <t>武汉佳兆业悦府-一期-25号楼-2002</t>
  </si>
  <si>
    <t>武汉佳兆业悦府-一期-25号楼-2003</t>
  </si>
  <si>
    <t>武汉佳兆业悦府-一期-25号楼-2004</t>
  </si>
  <si>
    <t>武汉佳兆业悦府-一期-25号楼-201</t>
  </si>
  <si>
    <t>武汉佳兆业悦府-一期-25号楼-202</t>
  </si>
  <si>
    <t>武汉佳兆业悦府-一期-25号楼-203</t>
  </si>
  <si>
    <t>武汉佳兆业悦府-一期-25号楼-204</t>
  </si>
  <si>
    <t>武汉佳兆业悦府-一期-25号楼-2101</t>
  </si>
  <si>
    <t>武汉佳兆业悦府-一期-25号楼-2102</t>
  </si>
  <si>
    <t>武汉佳兆业悦府-一期-25号楼-2103</t>
  </si>
  <si>
    <t>武汉佳兆业悦府-一期-25号楼-2104</t>
  </si>
  <si>
    <t>武汉佳兆业悦府-一期-25号楼-301</t>
  </si>
  <si>
    <t>武汉佳兆业悦府-一期-25号楼-302</t>
  </si>
  <si>
    <t>武汉佳兆业悦府-一期-25号楼-303</t>
  </si>
  <si>
    <t>武汉佳兆业悦府-一期-25号楼-304</t>
  </si>
  <si>
    <t>武汉佳兆业悦府-一期-25号楼-401</t>
  </si>
  <si>
    <t>武汉佳兆业悦府-一期-25号楼-402</t>
  </si>
  <si>
    <t>武汉佳兆业悦府-一期-25号楼-403</t>
  </si>
  <si>
    <t>武汉佳兆业悦府-一期-25号楼-404</t>
  </si>
  <si>
    <t>武汉佳兆业悦府-一期-25号楼-501</t>
  </si>
  <si>
    <t>武汉佳兆业悦府-一期-25号楼-502</t>
  </si>
  <si>
    <t>武汉佳兆业悦府-一期-25号楼-503</t>
  </si>
  <si>
    <t>武汉佳兆业悦府-一期-25号楼-504</t>
  </si>
  <si>
    <t>武汉佳兆业悦府-一期-25号楼-601</t>
  </si>
  <si>
    <t>武汉佳兆业悦府-一期-25号楼-602</t>
  </si>
  <si>
    <t>武汉佳兆业悦府-一期-25号楼-603</t>
  </si>
  <si>
    <t>武汉佳兆业悦府-一期-25号楼-604</t>
  </si>
  <si>
    <t>武汉佳兆业悦府-一期-25号楼-701</t>
  </si>
  <si>
    <t>武汉佳兆业悦府-一期-25号楼-702</t>
  </si>
  <si>
    <t>武汉佳兆业悦府-一期-25号楼-703</t>
  </si>
  <si>
    <t>武汉佳兆业悦府-一期-25号楼-704</t>
  </si>
  <si>
    <t>武汉佳兆业悦府-一期-25号楼-801</t>
  </si>
  <si>
    <t>武汉佳兆业悦府-一期-25号楼-802</t>
  </si>
  <si>
    <t>武汉佳兆业悦府-一期-25号楼-803</t>
  </si>
  <si>
    <t>武汉佳兆业悦府-一期-25号楼-804</t>
  </si>
  <si>
    <t>武汉佳兆业悦府-一期-25号楼-901</t>
  </si>
  <si>
    <t>武汉佳兆业悦府-一期-25号楼-902</t>
  </si>
  <si>
    <t>武汉佳兆业悦府-一期-25号楼-903</t>
  </si>
  <si>
    <t>武汉佳兆业悦府-一期-25号楼-904</t>
  </si>
  <si>
    <t>26号楼</t>
  </si>
  <si>
    <t>武汉佳兆业悦府-一期-26号楼-1001</t>
  </si>
  <si>
    <t>武汉佳兆业悦府-一期-26号楼-1002</t>
  </si>
  <si>
    <t>武汉佳兆业悦府-一期-26号楼-1003</t>
  </si>
  <si>
    <t>武汉佳兆业悦府-一期-26号楼-1004</t>
  </si>
  <si>
    <t>武汉佳兆业悦府-一期-26号楼-101</t>
  </si>
  <si>
    <t>武汉佳兆业悦府-一期-26号楼-102</t>
  </si>
  <si>
    <t>武汉佳兆业悦府-一期-26号楼-103</t>
  </si>
  <si>
    <t>武汉佳兆业悦府-一期-26号楼-104</t>
  </si>
  <si>
    <t>武汉佳兆业悦府-一期-26号楼-1101</t>
  </si>
  <si>
    <t>武汉佳兆业悦府-一期-26号楼-1102</t>
  </si>
  <si>
    <t>武汉佳兆业悦府-一期-26号楼-1103</t>
  </si>
  <si>
    <t>武汉佳兆业悦府-一期-26号楼-1104</t>
  </si>
  <si>
    <t>武汉佳兆业悦府-一期-26号楼-1201</t>
  </si>
  <si>
    <t>武汉佳兆业悦府-一期-26号楼-1202</t>
  </si>
  <si>
    <t>武汉佳兆业悦府-一期-26号楼-1203</t>
  </si>
  <si>
    <t>武汉佳兆业悦府-一期-26号楼-1204</t>
  </si>
  <si>
    <t>武汉佳兆业悦府-一期-26号楼-1301</t>
  </si>
  <si>
    <t>武汉佳兆业悦府-一期-26号楼-1302</t>
  </si>
  <si>
    <t>武汉佳兆业悦府-一期-26号楼-1303</t>
  </si>
  <si>
    <t>武汉佳兆业悦府-一期-26号楼-1304</t>
  </si>
  <si>
    <t>武汉佳兆业悦府-一期-26号楼-1401</t>
  </si>
  <si>
    <t>武汉佳兆业悦府-一期-26号楼-1402</t>
  </si>
  <si>
    <t>武汉佳兆业悦府-一期-26号楼-1403</t>
  </si>
  <si>
    <t>武汉佳兆业悦府-一期-26号楼-1404</t>
  </si>
  <si>
    <t>武汉佳兆业悦府-一期-26号楼-1501</t>
  </si>
  <si>
    <t>武汉佳兆业悦府-一期-26号楼-1502</t>
  </si>
  <si>
    <t>武汉佳兆业悦府-一期-26号楼-1503</t>
  </si>
  <si>
    <t>武汉佳兆业悦府-一期-26号楼-1504</t>
  </si>
  <si>
    <t>武汉佳兆业悦府-一期-26号楼-1601</t>
  </si>
  <si>
    <t>武汉佳兆业悦府-一期-26号楼-1602</t>
  </si>
  <si>
    <t>武汉佳兆业悦府-一期-26号楼-1603</t>
  </si>
  <si>
    <t>武汉佳兆业悦府-一期-26号楼-1604</t>
  </si>
  <si>
    <t>武汉佳兆业悦府-一期-26号楼-1701</t>
  </si>
  <si>
    <t>武汉佳兆业悦府-一期-26号楼-1702</t>
  </si>
  <si>
    <t>武汉佳兆业悦府-一期-26号楼-1703</t>
  </si>
  <si>
    <t>武汉佳兆业悦府-一期-26号楼-1704</t>
  </si>
  <si>
    <t>武汉佳兆业悦府-一期-26号楼-1801</t>
  </si>
  <si>
    <t>武汉佳兆业悦府-一期-26号楼-1802</t>
  </si>
  <si>
    <t>武汉佳兆业悦府-一期-26号楼-1803</t>
  </si>
  <si>
    <t>武汉佳兆业悦府-一期-26号楼-1804</t>
  </si>
  <si>
    <t>武汉佳兆业悦府-一期-26号楼-1901</t>
  </si>
  <si>
    <t>武汉佳兆业悦府-一期-26号楼-1902</t>
  </si>
  <si>
    <t>武汉佳兆业悦府-一期-26号楼-1903</t>
  </si>
  <si>
    <t>武汉佳兆业悦府-一期-26号楼-1904</t>
  </si>
  <si>
    <t>武汉佳兆业悦府-一期-26号楼-2001</t>
  </si>
  <si>
    <t>武汉佳兆业悦府-一期-26号楼-2002</t>
  </si>
  <si>
    <t>武汉佳兆业悦府-一期-26号楼-2003</t>
  </si>
  <si>
    <t>武汉佳兆业悦府-一期-26号楼-2004</t>
  </si>
  <si>
    <t>武汉佳兆业悦府-一期-26号楼-201</t>
  </si>
  <si>
    <t>武汉佳兆业悦府-一期-26号楼-202</t>
  </si>
  <si>
    <t>武汉佳兆业悦府-一期-26号楼-203</t>
  </si>
  <si>
    <t>武汉佳兆业悦府-一期-26号楼-204</t>
  </si>
  <si>
    <t>武汉佳兆业悦府-一期-26号楼-2101</t>
  </si>
  <si>
    <t>武汉佳兆业悦府-一期-26号楼-2102</t>
  </si>
  <si>
    <t>武汉佳兆业悦府-一期-26号楼-2103</t>
  </si>
  <si>
    <t>武汉佳兆业悦府-一期-26号楼-2104</t>
  </si>
  <si>
    <t>武汉佳兆业悦府-一期-26号楼-301</t>
  </si>
  <si>
    <t>武汉佳兆业悦府-一期-26号楼-302</t>
  </si>
  <si>
    <t>武汉佳兆业悦府-一期-26号楼-303</t>
  </si>
  <si>
    <t>武汉佳兆业悦府-一期-26号楼-304</t>
  </si>
  <si>
    <t>武汉佳兆业悦府-一期-26号楼-401</t>
  </si>
  <si>
    <t>武汉佳兆业悦府-一期-26号楼-402</t>
  </si>
  <si>
    <t>武汉佳兆业悦府-一期-26号楼-403</t>
  </si>
  <si>
    <t>武汉佳兆业悦府-一期-26号楼-404</t>
  </si>
  <si>
    <t>武汉佳兆业悦府-一期-26号楼-501</t>
  </si>
  <si>
    <t>武汉佳兆业悦府-一期-26号楼-502</t>
  </si>
  <si>
    <t>武汉佳兆业悦府-一期-26号楼-503</t>
  </si>
  <si>
    <t>武汉佳兆业悦府-一期-26号楼-504</t>
  </si>
  <si>
    <t>武汉佳兆业悦府-一期-26号楼-601</t>
  </si>
  <si>
    <t>武汉佳兆业悦府-一期-26号楼-602</t>
  </si>
  <si>
    <t>武汉佳兆业悦府-一期-26号楼-603</t>
  </si>
  <si>
    <t>武汉佳兆业悦府-一期-26号楼-604</t>
  </si>
  <si>
    <t>武汉佳兆业悦府-一期-26号楼-701</t>
  </si>
  <si>
    <t>武汉佳兆业悦府-一期-26号楼-702</t>
  </si>
  <si>
    <t>武汉佳兆业悦府-一期-26号楼-703</t>
  </si>
  <si>
    <t>武汉佳兆业悦府-一期-26号楼-704</t>
  </si>
  <si>
    <t>武汉佳兆业悦府-一期-26号楼-801</t>
  </si>
  <si>
    <t>武汉佳兆业悦府-一期-26号楼-802</t>
  </si>
  <si>
    <t>武汉佳兆业悦府-一期-26号楼-803</t>
  </si>
  <si>
    <t>武汉佳兆业悦府-一期-26号楼-804</t>
  </si>
  <si>
    <t>武汉佳兆业悦府-一期-26号楼-901</t>
  </si>
  <si>
    <t>武汉佳兆业悦府-一期-26号楼-902</t>
  </si>
  <si>
    <t>武汉佳兆业悦府-一期-26号楼-903</t>
  </si>
  <si>
    <t>武汉佳兆业悦府-一期-26号楼-904</t>
  </si>
  <si>
    <t>27号楼</t>
  </si>
  <si>
    <t>武汉佳兆业悦府-一期-27号楼-1001</t>
  </si>
  <si>
    <t>武汉佳兆业悦府-一期-27号楼-1002</t>
  </si>
  <si>
    <t>武汉佳兆业悦府-一期-27号楼-1003</t>
  </si>
  <si>
    <t>武汉佳兆业悦府-一期-27号楼-1004</t>
  </si>
  <si>
    <t>武汉佳兆业悦府-一期-27号楼-101</t>
  </si>
  <si>
    <t>武汉佳兆业悦府-一期-27号楼-102</t>
  </si>
  <si>
    <t>武汉佳兆业悦府-一期-27号楼-103</t>
  </si>
  <si>
    <t>武汉佳兆业悦府-一期-27号楼-104</t>
  </si>
  <si>
    <t>武汉佳兆业悦府-一期-27号楼-1101</t>
  </si>
  <si>
    <t>武汉佳兆业悦府-一期-27号楼-1102</t>
  </si>
  <si>
    <t>武汉佳兆业悦府-一期-27号楼-1103</t>
  </si>
  <si>
    <t>武汉佳兆业悦府-一期-27号楼-1104</t>
  </si>
  <si>
    <t>武汉佳兆业悦府-一期-27号楼-1201</t>
  </si>
  <si>
    <t>武汉佳兆业悦府-一期-27号楼-1202</t>
  </si>
  <si>
    <t>武汉佳兆业悦府-一期-27号楼-1203</t>
  </si>
  <si>
    <t>武汉佳兆业悦府-一期-27号楼-1204</t>
  </si>
  <si>
    <t>武汉佳兆业悦府-一期-27号楼-1301</t>
  </si>
  <si>
    <t>武汉佳兆业悦府-一期-27号楼-1302</t>
  </si>
  <si>
    <t>武汉佳兆业悦府-一期-27号楼-1303</t>
  </si>
  <si>
    <t>武汉佳兆业悦府-一期-27号楼-1304</t>
  </si>
  <si>
    <t>武汉佳兆业悦府-一期-27号楼-1401</t>
  </si>
  <si>
    <t>武汉佳兆业悦府-一期-27号楼-1402</t>
  </si>
  <si>
    <t>武汉佳兆业悦府-一期-27号楼-1403</t>
  </si>
  <si>
    <t>武汉佳兆业悦府-一期-27号楼-1404</t>
  </si>
  <si>
    <t>武汉佳兆业悦府-一期-27号楼-1501</t>
  </si>
  <si>
    <t>武汉佳兆业悦府-一期-27号楼-1502</t>
  </si>
  <si>
    <t>武汉佳兆业悦府-一期-27号楼-1503</t>
  </si>
  <si>
    <t>武汉佳兆业悦府-一期-27号楼-1504</t>
  </si>
  <si>
    <t>武汉佳兆业悦府-一期-27号楼-1601</t>
  </si>
  <si>
    <t>武汉佳兆业悦府-一期-27号楼-1602</t>
  </si>
  <si>
    <t>武汉佳兆业悦府-一期-27号楼-1603</t>
  </si>
  <si>
    <t>武汉佳兆业悦府-一期-27号楼-1604</t>
  </si>
  <si>
    <t>武汉佳兆业悦府-一期-27号楼-1701</t>
  </si>
  <si>
    <t>武汉佳兆业悦府-一期-27号楼-1702</t>
  </si>
  <si>
    <t>武汉佳兆业悦府-一期-27号楼-1703</t>
  </si>
  <si>
    <t>武汉佳兆业悦府-一期-27号楼-1704</t>
  </si>
  <si>
    <t>武汉佳兆业悦府-一期-27号楼-1801</t>
  </si>
  <si>
    <t>武汉佳兆业悦府-一期-27号楼-1802</t>
  </si>
  <si>
    <t>武汉佳兆业悦府-一期-27号楼-1803</t>
  </si>
  <si>
    <t>武汉佳兆业悦府-一期-27号楼-1804</t>
  </si>
  <si>
    <t>武汉佳兆业悦府-一期-27号楼-1901</t>
  </si>
  <si>
    <t>武汉佳兆业悦府-一期-27号楼-1902</t>
  </si>
  <si>
    <t>武汉佳兆业悦府-一期-27号楼-1903</t>
  </si>
  <si>
    <t>武汉佳兆业悦府-一期-27号楼-1904</t>
  </si>
  <si>
    <t>武汉佳兆业悦府-一期-27号楼-2001</t>
  </si>
  <si>
    <t>武汉佳兆业悦府-一期-27号楼-2002</t>
  </si>
  <si>
    <t>武汉佳兆业悦府-一期-27号楼-2003</t>
  </si>
  <si>
    <t>武汉佳兆业悦府-一期-27号楼-2004</t>
  </si>
  <si>
    <t>武汉佳兆业悦府-一期-27号楼-201</t>
  </si>
  <si>
    <t>武汉佳兆业悦府-一期-27号楼-202</t>
  </si>
  <si>
    <t>武汉佳兆业悦府-一期-27号楼-203</t>
  </si>
  <si>
    <t>武汉佳兆业悦府-一期-27号楼-204</t>
  </si>
  <si>
    <t>武汉佳兆业悦府-一期-27号楼-2101</t>
  </si>
  <si>
    <t>武汉佳兆业悦府-一期-27号楼-2102</t>
  </si>
  <si>
    <t>武汉佳兆业悦府-一期-27号楼-2103</t>
  </si>
  <si>
    <t>武汉佳兆业悦府-一期-27号楼-2104</t>
  </si>
  <si>
    <t>武汉佳兆业悦府-一期-27号楼-301</t>
  </si>
  <si>
    <t>武汉佳兆业悦府-一期-27号楼-302</t>
  </si>
  <si>
    <t>武汉佳兆业悦府-一期-27号楼-303</t>
  </si>
  <si>
    <t>武汉佳兆业悦府-一期-27号楼-304</t>
  </si>
  <si>
    <t>武汉佳兆业悦府-一期-27号楼-401</t>
  </si>
  <si>
    <t>武汉佳兆业悦府-一期-27号楼-402</t>
  </si>
  <si>
    <t>武汉佳兆业悦府-一期-27号楼-403</t>
  </si>
  <si>
    <t>武汉佳兆业悦府-一期-27号楼-404</t>
  </si>
  <si>
    <t>武汉佳兆业悦府-一期-27号楼-501</t>
  </si>
  <si>
    <t>武汉佳兆业悦府-一期-27号楼-502</t>
  </si>
  <si>
    <t>武汉佳兆业悦府-一期-27号楼-503</t>
  </si>
  <si>
    <t>武汉佳兆业悦府-一期-27号楼-504</t>
  </si>
  <si>
    <t>武汉佳兆业悦府-一期-27号楼-601</t>
  </si>
  <si>
    <t>武汉佳兆业悦府-一期-27号楼-602</t>
  </si>
  <si>
    <t>武汉佳兆业悦府-一期-27号楼-603</t>
  </si>
  <si>
    <t>武汉佳兆业悦府-一期-27号楼-604</t>
  </si>
  <si>
    <t>武汉佳兆业悦府-一期-27号楼-701</t>
  </si>
  <si>
    <t>武汉佳兆业悦府-一期-27号楼-702</t>
  </si>
  <si>
    <t>武汉佳兆业悦府-一期-27号楼-703</t>
  </si>
  <si>
    <t>武汉佳兆业悦府-一期-27号楼-704</t>
  </si>
  <si>
    <t>武汉佳兆业悦府-一期-27号楼-801</t>
  </si>
  <si>
    <t>武汉佳兆业悦府-一期-27号楼-802</t>
  </si>
  <si>
    <t>武汉佳兆业悦府-一期-27号楼-803</t>
  </si>
  <si>
    <t>武汉佳兆业悦府-一期-27号楼-804</t>
  </si>
  <si>
    <t>武汉佳兆业悦府-一期-27号楼-901</t>
  </si>
  <si>
    <t>武汉佳兆业悦府-一期-27号楼-902</t>
  </si>
  <si>
    <t>武汉佳兆业悦府-一期-27号楼-903</t>
  </si>
  <si>
    <t>武汉佳兆业悦府-一期-27号楼-904</t>
  </si>
  <si>
    <t>2号楼</t>
  </si>
  <si>
    <t>武汉佳兆业悦府-一期-2号楼-1-301</t>
  </si>
  <si>
    <t>武汉佳兆业悦府-一期-2号楼-1-302</t>
  </si>
  <si>
    <t>3号楼洋房</t>
  </si>
  <si>
    <t>武汉佳兆业悦府-一期-3号楼洋房-2-102</t>
  </si>
  <si>
    <t>5号楼洋房</t>
  </si>
  <si>
    <t>武汉佳兆业悦府-一期-5号楼洋房-2-301</t>
  </si>
  <si>
    <t>6号楼洋房</t>
  </si>
  <si>
    <t>武汉佳兆业悦府-一期-6号楼洋房-1-501</t>
  </si>
  <si>
    <t>武汉佳兆业悦府-一期-6号楼洋房-1-601</t>
  </si>
  <si>
    <t>8号楼洋房</t>
  </si>
  <si>
    <t>武汉佳兆业悦府-一期-8号楼洋房-1-602</t>
  </si>
  <si>
    <t>S1商铺</t>
  </si>
  <si>
    <t>武汉佳兆业悦府-一期-S1商铺-商1</t>
  </si>
  <si>
    <t>武汉佳兆业悦府-一期-S1商铺-商2</t>
  </si>
  <si>
    <t>武汉佳兆业悦府-一期-S1商铺-商3</t>
  </si>
  <si>
    <t>武汉佳兆业悦府-一期-S1商铺-商4</t>
  </si>
  <si>
    <t>武汉佳兆业悦府-一期-S1商铺-商5</t>
  </si>
  <si>
    <t>武汉佳兆业悦府-一期-S1商铺-商6</t>
  </si>
  <si>
    <t>武汉佳兆业悦府-一期-S1商铺-商7</t>
  </si>
  <si>
    <t>武汉佳兆业悦府-一期-S1商铺-商8</t>
  </si>
  <si>
    <t>S2商铺</t>
  </si>
  <si>
    <t>武汉佳兆业悦府-一期-S2商铺-商1</t>
  </si>
  <si>
    <t>武汉佳兆业悦府-一期-S2商铺-商10</t>
  </si>
  <si>
    <t>武汉佳兆业悦府-一期-S2商铺-商2</t>
  </si>
  <si>
    <t>武汉佳兆业悦府-一期-S2商铺-商3</t>
  </si>
  <si>
    <t>武汉佳兆业悦府-一期-S2商铺-商4</t>
  </si>
  <si>
    <t>武汉佳兆业悦府-一期-S2商铺-商5</t>
  </si>
  <si>
    <t>武汉佳兆业悦府-一期-S2商铺-商6</t>
  </si>
  <si>
    <t>武汉佳兆业悦府-一期-S2商铺-商7</t>
  </si>
  <si>
    <t>武汉佳兆业悦府-一期-S2商铺-商8</t>
  </si>
  <si>
    <t>武汉佳兆业悦府-一期-S2商铺-商9</t>
  </si>
  <si>
    <t>S3商铺</t>
  </si>
  <si>
    <t>武汉佳兆业悦府-一期-S3商铺-商1</t>
  </si>
  <si>
    <t>武汉佳兆业悦府-一期-S3商铺-商10</t>
  </si>
  <si>
    <t>武汉佳兆业悦府-一期-S3商铺-商2</t>
  </si>
  <si>
    <t>武汉佳兆业悦府-一期-S3商铺-商3</t>
  </si>
  <si>
    <t>武汉佳兆业悦府-一期-S3商铺-商4</t>
  </si>
  <si>
    <t>武汉佳兆业悦府-一期-S3商铺-商5</t>
  </si>
  <si>
    <t>武汉佳兆业悦府-一期-S3商铺-商6</t>
  </si>
  <si>
    <t>武汉佳兆业悦府-一期-S3商铺-商7</t>
  </si>
  <si>
    <t>武汉佳兆业悦府-一期-S3商铺-商8</t>
  </si>
  <si>
    <t>武汉佳兆业悦府-一期-S3商铺-商9</t>
  </si>
  <si>
    <t>S4商铺</t>
  </si>
  <si>
    <t>武汉佳兆业悦府-一期-S4商铺-商1</t>
  </si>
  <si>
    <t>武汉佳兆业悦府-一期-S4商铺-商10</t>
  </si>
  <si>
    <t>武汉佳兆业悦府-一期-S4商铺-商2</t>
  </si>
  <si>
    <t>武汉佳兆业悦府-一期-S4商铺-商3</t>
  </si>
  <si>
    <t>武汉佳兆业悦府-一期-S4商铺-商4</t>
  </si>
  <si>
    <t>武汉佳兆业悦府-一期-S4商铺-商5</t>
  </si>
  <si>
    <t>武汉佳兆业悦府-一期-S4商铺-商6</t>
  </si>
  <si>
    <t>武汉佳兆业悦府-一期-S4商铺-商7</t>
  </si>
  <si>
    <t>武汉佳兆业悦府-一期-S4商铺-商8</t>
  </si>
  <si>
    <t>武汉佳兆业悦府-一期-S4商铺-商9</t>
  </si>
  <si>
    <t>多层</t>
    <phoneticPr fontId="144" type="noConversion"/>
  </si>
  <si>
    <t>高层</t>
    <phoneticPr fontId="144" type="noConversion"/>
  </si>
  <si>
    <t>商业</t>
    <phoneticPr fontId="144" type="noConversion"/>
  </si>
  <si>
    <r>
      <t>19</t>
    </r>
    <r>
      <rPr>
        <sz val="9"/>
        <color indexed="8"/>
        <rFont val="宋体"/>
        <family val="3"/>
        <charset val="134"/>
      </rPr>
      <t>号楼</t>
    </r>
    <phoneticPr fontId="144" type="noConversion"/>
  </si>
  <si>
    <t>描述</t>
    <phoneticPr fontId="144" type="noConversion"/>
  </si>
  <si>
    <t>地上</t>
  </si>
  <si>
    <t>地上</t>
    <phoneticPr fontId="144" type="noConversion"/>
  </si>
  <si>
    <t>抵押范围</t>
    <phoneticPr fontId="144" type="noConversion"/>
  </si>
  <si>
    <t>地上</t>
    <phoneticPr fontId="144" type="noConversion"/>
  </si>
  <si>
    <t>合计</t>
    <phoneticPr fontId="144" type="noConversion"/>
  </si>
  <si>
    <t>多层</t>
    <phoneticPr fontId="8" type="noConversion"/>
  </si>
  <si>
    <t>高层</t>
    <phoneticPr fontId="8" type="noConversion"/>
  </si>
  <si>
    <t>商业</t>
    <phoneticPr fontId="8" type="noConversion"/>
  </si>
  <si>
    <t>收益法</t>
  </si>
  <si>
    <t>科目代码</t>
    <phoneticPr fontId="4" type="noConversion"/>
  </si>
  <si>
    <t>科目名称</t>
  </si>
  <si>
    <t>年初余额</t>
  </si>
  <si>
    <t>期初余额</t>
  </si>
  <si>
    <t>本期发生额</t>
  </si>
  <si>
    <t>本年累计</t>
  </si>
  <si>
    <t>期末余额</t>
  </si>
  <si>
    <t>借方</t>
  </si>
  <si>
    <t>贷方</t>
  </si>
  <si>
    <t>5003</t>
  </si>
  <si>
    <t>房地产企业开发成本</t>
  </si>
  <si>
    <t>5003.001</t>
  </si>
  <si>
    <t>土地获得价款</t>
  </si>
  <si>
    <t>5003.001.001</t>
  </si>
  <si>
    <t>政府地价及市政配套费</t>
  </si>
  <si>
    <t>5003.001.005</t>
  </si>
  <si>
    <t>土地税费</t>
  </si>
  <si>
    <t>5003.002</t>
  </si>
  <si>
    <t>开发前期准备</t>
  </si>
  <si>
    <t>5003.002.001</t>
  </si>
  <si>
    <t>勘察设计</t>
  </si>
  <si>
    <t>5003.002.002</t>
  </si>
  <si>
    <t>报批报建</t>
  </si>
  <si>
    <t>5003.002.003</t>
  </si>
  <si>
    <t>前期工程费</t>
  </si>
  <si>
    <t>5003.003</t>
  </si>
  <si>
    <t>主体建筑工程费</t>
  </si>
  <si>
    <t>5003.003.001</t>
  </si>
  <si>
    <t>基础工程费</t>
  </si>
  <si>
    <t>5003.003.002</t>
  </si>
  <si>
    <t>结构及粗装修</t>
  </si>
  <si>
    <t>5003.003.003</t>
  </si>
  <si>
    <t>门窗工程</t>
  </si>
  <si>
    <t>5003.004</t>
  </si>
  <si>
    <t>主体安装工程费</t>
  </si>
  <si>
    <t>5003.004.004</t>
  </si>
  <si>
    <t>暖通空调</t>
  </si>
  <si>
    <t>5003.006</t>
  </si>
  <si>
    <t>室外工程</t>
  </si>
  <si>
    <t>5003.006.001</t>
  </si>
  <si>
    <t>社区管网</t>
  </si>
  <si>
    <t>5003.006.002</t>
  </si>
  <si>
    <t>园林环境</t>
  </si>
  <si>
    <t>5003.007</t>
  </si>
  <si>
    <t>配套设施</t>
  </si>
  <si>
    <t>5003.007.003</t>
  </si>
  <si>
    <t>运动设施</t>
  </si>
  <si>
    <t>5003.008</t>
  </si>
  <si>
    <t>间接费用</t>
  </si>
  <si>
    <t>5003.008.001</t>
  </si>
  <si>
    <t>工程管理</t>
  </si>
  <si>
    <t>5003.008.002</t>
  </si>
  <si>
    <t>营销设施建造费</t>
  </si>
  <si>
    <t>5003.008.003</t>
  </si>
  <si>
    <t>物业管理完善费</t>
  </si>
  <si>
    <t>5003.008.003.002</t>
  </si>
  <si>
    <t>物业前期配合费</t>
  </si>
  <si>
    <t>5003.008.004</t>
  </si>
  <si>
    <t>资本化利息</t>
  </si>
  <si>
    <t>5003.008.005</t>
  </si>
  <si>
    <t>其他间接</t>
  </si>
  <si>
    <t>5003.008.005.001</t>
  </si>
  <si>
    <t>人工成本</t>
  </si>
  <si>
    <t>5003.008.005.001.001</t>
  </si>
  <si>
    <t>工资</t>
  </si>
  <si>
    <t>5003.008.005.001.002</t>
  </si>
  <si>
    <t>奖金</t>
  </si>
  <si>
    <t>5003.008.005.001.003</t>
  </si>
  <si>
    <t>住房费用</t>
  </si>
  <si>
    <t>5003.008.005.001.004</t>
  </si>
  <si>
    <t>福利费</t>
  </si>
  <si>
    <t>5003.008.005.001.005</t>
  </si>
  <si>
    <t>社会保险费</t>
  </si>
  <si>
    <t>5003.008.005.001.006</t>
  </si>
  <si>
    <t>住房公积金</t>
  </si>
  <si>
    <t>5003.008.005.001.008</t>
  </si>
  <si>
    <t>加班工作餐费</t>
  </si>
  <si>
    <t>5003.008.005.001.009</t>
  </si>
  <si>
    <t>食堂经费</t>
  </si>
  <si>
    <t>5003.008.005.001.099</t>
  </si>
  <si>
    <t>其他</t>
  </si>
  <si>
    <t>5003.008.005.002</t>
  </si>
  <si>
    <t>办公费</t>
  </si>
  <si>
    <t>5003.008.005.002.001</t>
  </si>
  <si>
    <t>办公用品费</t>
  </si>
  <si>
    <t>5003.008.005.002.002</t>
  </si>
  <si>
    <t>水电物管费</t>
  </si>
  <si>
    <t>5003.008.005.002.003</t>
  </si>
  <si>
    <t>信息化系统维护费</t>
  </si>
  <si>
    <t>5003.008.005.002.007</t>
  </si>
  <si>
    <t>通讯费</t>
  </si>
  <si>
    <t>5003.008.005.002.008</t>
  </si>
  <si>
    <t>市内交通费</t>
  </si>
  <si>
    <t>5003.008.005.002.010</t>
  </si>
  <si>
    <t>会议培训费</t>
  </si>
  <si>
    <t>5003.008.005.002.011</t>
  </si>
  <si>
    <t>晒图费（打印、复印费）</t>
  </si>
  <si>
    <t>5003.008.005.002.014</t>
  </si>
  <si>
    <t>劳保用品</t>
  </si>
  <si>
    <t>5003.008.005.002.099</t>
  </si>
  <si>
    <t>其他办公费</t>
  </si>
  <si>
    <t>5003.008.005.003</t>
  </si>
  <si>
    <t>折旧摊销费用</t>
  </si>
  <si>
    <t>5003.008.005.003.001</t>
  </si>
  <si>
    <t>固定资产折旧</t>
  </si>
  <si>
    <t>5003.008.005.006</t>
  </si>
  <si>
    <t>差旅费</t>
  </si>
  <si>
    <t>5003.008.005.007</t>
  </si>
  <si>
    <t>中间服务费</t>
  </si>
  <si>
    <t>5003.008.005.007.001</t>
  </si>
  <si>
    <t>咨询服务费</t>
  </si>
  <si>
    <t>5003.008.005.008</t>
  </si>
  <si>
    <t>车辆费</t>
  </si>
  <si>
    <t>5003.008.005.009</t>
  </si>
  <si>
    <t>开办费</t>
  </si>
  <si>
    <t xml:space="preserve"> </t>
    <phoneticPr fontId="144" type="noConversion"/>
  </si>
  <si>
    <t>土地面积</t>
    <phoneticPr fontId="144" type="noConversion"/>
  </si>
  <si>
    <t>多层</t>
    <phoneticPr fontId="4" type="noConversion"/>
  </si>
  <si>
    <t>高层</t>
    <phoneticPr fontId="4" type="noConversion"/>
  </si>
  <si>
    <t>毛坯</t>
    <phoneticPr fontId="4" type="noConversion"/>
  </si>
  <si>
    <t>装修</t>
    <phoneticPr fontId="4" type="noConversion"/>
  </si>
  <si>
    <t>自定义</t>
  </si>
  <si>
    <t>zy</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</si>
</sst>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微软雅黑"/>
      <family val="2"/>
      <charset val="134"/>
    </font>
    <font>
      <sz val="8"/>
      <color theme="1"/>
      <name val="宋体"/>
      <family val="3"/>
      <charset val="134"/>
      <scheme val="minor"/>
    </font>
    <font>
      <sz val="9"/>
      <name val="宋体  "/>
      <family val="2"/>
    </font>
    <font>
      <u/>
      <sz val="11"/>
      <color theme="10"/>
      <name val="宋体"/>
      <family val="3"/>
      <charset val="134"/>
      <scheme val="minor"/>
    </font>
    <font>
      <b/>
      <sz val="16"/>
      <color indexed="8"/>
      <name val="宋体  "/>
      <family val="2"/>
    </font>
    <font>
      <sz val="9"/>
      <color indexed="8"/>
      <name val="宋体  "/>
      <family val="2"/>
    </font>
    <font>
      <b/>
      <sz val="8"/>
      <color theme="1"/>
      <name val="宋体"/>
      <family val="3"/>
      <charset val="134"/>
      <scheme val="minor"/>
    </font>
    <font>
      <b/>
      <sz val="8"/>
      <color theme="1"/>
      <name val="微软雅黑"/>
      <family val="2"/>
      <charset val="134"/>
    </font>
    <font>
      <sz val="9"/>
      <color indexed="8"/>
      <name val="Dialog.plai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bgColor indexed="64"/>
      </patternFill>
    </fill>
    <fill>
      <patternFill patternType="solid">
        <fgColor theme="9" tint="-0.249977111117893"/>
        <bgColor indexed="64"/>
      </patternFill>
    </fill>
    <fill>
      <patternFill patternType="solid">
        <fgColor theme="8"/>
        <bgColor indexed="64"/>
      </patternFill>
    </fill>
    <fill>
      <patternFill patternType="solid">
        <fgColor indexed="42"/>
        <bgColor indexed="8"/>
      </patternFill>
    </fill>
    <fill>
      <patternFill patternType="solid">
        <fgColor indexed="26"/>
        <bgColor indexed="8"/>
      </patternFill>
    </fill>
    <fill>
      <patternFill patternType="solid">
        <fgColor theme="9"/>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3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4" fontId="1" fillId="0" borderId="0">
      <alignment vertical="center"/>
    </xf>
    <xf numFmtId="194" fontId="100" fillId="0" borderId="0">
      <alignment vertical="center"/>
    </xf>
    <xf numFmtId="194" fontId="57" fillId="0" borderId="0"/>
    <xf numFmtId="194" fontId="57" fillId="0" borderId="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194" fontId="38" fillId="0" borderId="0"/>
    <xf numFmtId="194" fontId="1" fillId="0" borderId="0">
      <alignment vertical="center"/>
    </xf>
    <xf numFmtId="194" fontId="257" fillId="0" borderId="0" applyFont="0" applyAlignment="0">
      <alignment vertical="center"/>
    </xf>
    <xf numFmtId="194" fontId="258" fillId="0" borderId="0" applyNumberFormat="0" applyFill="0" applyBorder="0" applyAlignment="0" applyProtection="0"/>
    <xf numFmtId="197" fontId="171" fillId="0" borderId="0" applyFont="0" applyFill="0" applyBorder="0" applyAlignment="0" applyProtection="0">
      <alignment vertical="center"/>
    </xf>
    <xf numFmtId="197" fontId="100" fillId="0" borderId="0" applyFont="0" applyFill="0" applyBorder="0" applyAlignment="0" applyProtection="0">
      <alignment vertical="center"/>
    </xf>
    <xf numFmtId="194" fontId="57" fillId="0" borderId="0"/>
    <xf numFmtId="0" fontId="257" fillId="0" borderId="0" applyFont="0" applyAlignment="0">
      <alignment vertical="center"/>
    </xf>
  </cellStyleXfs>
  <cellXfs count="33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256" fillId="0" borderId="0" xfId="18" applyNumberFormat="1" applyFont="1" applyAlignment="1">
      <alignment horizontal="left" vertical="center"/>
    </xf>
    <xf numFmtId="0" fontId="256" fillId="0" borderId="0" xfId="18" applyNumberFormat="1" applyFont="1">
      <alignment vertical="center"/>
    </xf>
    <xf numFmtId="0" fontId="100" fillId="0" borderId="0" xfId="18" applyNumberFormat="1">
      <alignment vertical="center"/>
    </xf>
    <xf numFmtId="0" fontId="100" fillId="5" borderId="0" xfId="18" applyNumberFormat="1" applyFill="1">
      <alignment vertical="center"/>
    </xf>
    <xf numFmtId="0" fontId="256" fillId="0" borderId="0" xfId="18" applyNumberFormat="1" applyFont="1" applyFill="1">
      <alignment vertical="center"/>
    </xf>
    <xf numFmtId="0" fontId="100" fillId="0" borderId="0" xfId="18" applyNumberFormat="1" applyFill="1">
      <alignment vertical="center"/>
    </xf>
    <xf numFmtId="0" fontId="255" fillId="0" borderId="0" xfId="17" applyNumberFormat="1" applyFont="1" applyAlignment="1">
      <alignment horizontal="left" vertical="center"/>
    </xf>
    <xf numFmtId="0" fontId="255" fillId="0" borderId="0" xfId="17" applyNumberFormat="1" applyFont="1" applyAlignment="1">
      <alignment horizontal="left" vertical="center" wrapText="1"/>
    </xf>
    <xf numFmtId="0" fontId="255" fillId="5" borderId="0" xfId="17" applyNumberFormat="1" applyFont="1" applyFill="1" applyAlignment="1">
      <alignment horizontal="left" vertical="center"/>
    </xf>
    <xf numFmtId="0" fontId="255" fillId="5" borderId="0" xfId="17" applyNumberFormat="1" applyFont="1" applyFill="1" applyAlignment="1">
      <alignment horizontal="left" vertical="center" wrapText="1"/>
    </xf>
    <xf numFmtId="0" fontId="225" fillId="0" borderId="4" xfId="0" applyNumberFormat="1" applyFont="1" applyFill="1" applyBorder="1" applyAlignment="1" applyProtection="1">
      <alignment horizontal="left" vertical="center"/>
      <protection locked="0"/>
    </xf>
    <xf numFmtId="0" fontId="191" fillId="7" borderId="60"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65" fillId="0" borderId="1" xfId="0" applyFont="1" applyBorder="1" applyAlignment="1" applyProtection="1">
      <alignment horizontal="left" vertical="center" wrapText="1"/>
      <protection locked="0"/>
    </xf>
    <xf numFmtId="0" fontId="84" fillId="0" borderId="156" xfId="0" applyNumberFormat="1" applyFont="1" applyFill="1" applyBorder="1" applyAlignment="1" applyProtection="1">
      <alignment horizontal="center" vertical="top" wrapText="1"/>
      <protection locked="0"/>
    </xf>
    <xf numFmtId="0" fontId="84" fillId="0" borderId="158" xfId="0" applyNumberFormat="1" applyFont="1" applyFill="1" applyBorder="1" applyAlignment="1" applyProtection="1">
      <alignment horizontal="center" vertical="top" wrapText="1"/>
      <protection locked="0"/>
    </xf>
    <xf numFmtId="0" fontId="84" fillId="0" borderId="157" xfId="0" applyNumberFormat="1" applyFont="1" applyFill="1" applyBorder="1" applyAlignment="1" applyProtection="1">
      <alignment horizontal="center" vertical="top" wrapText="1"/>
      <protection locked="0"/>
    </xf>
    <xf numFmtId="0" fontId="81" fillId="0" borderId="157" xfId="0" applyNumberFormat="1" applyFont="1" applyFill="1" applyBorder="1" applyAlignment="1" applyProtection="1">
      <alignment vertical="top" wrapText="1"/>
      <protection locked="0"/>
    </xf>
    <xf numFmtId="0" fontId="81" fillId="0" borderId="157" xfId="0" applyNumberFormat="1" applyFont="1" applyFill="1" applyBorder="1" applyAlignment="1" applyProtection="1">
      <alignment horizontal="center" vertical="top" wrapText="1"/>
      <protection locked="0"/>
    </xf>
    <xf numFmtId="0" fontId="57" fillId="0" borderId="0" xfId="31" applyNumberFormat="1" applyAlignment="1">
      <alignment horizontal="left" vertical="center"/>
    </xf>
    <xf numFmtId="0" fontId="100" fillId="0" borderId="0" xfId="18" applyNumberFormat="1" applyAlignment="1">
      <alignment horizontal="left" vertical="center"/>
    </xf>
    <xf numFmtId="0" fontId="57" fillId="17" borderId="0" xfId="31" applyNumberFormat="1" applyFill="1" applyAlignment="1">
      <alignment horizontal="left" vertical="center"/>
    </xf>
    <xf numFmtId="0" fontId="100" fillId="17" borderId="0" xfId="18" applyNumberFormat="1" applyFont="1" applyFill="1" applyAlignment="1">
      <alignment horizontal="left" vertical="center"/>
    </xf>
    <xf numFmtId="0" fontId="100" fillId="17" borderId="0" xfId="18" applyNumberFormat="1" applyFill="1" applyAlignment="1">
      <alignment horizontal="left" vertical="center"/>
    </xf>
    <xf numFmtId="0" fontId="57" fillId="9" borderId="0" xfId="31" applyNumberFormat="1" applyFill="1" applyAlignment="1">
      <alignment horizontal="left" vertical="center"/>
    </xf>
    <xf numFmtId="0" fontId="100" fillId="9" borderId="0" xfId="18" applyNumberFormat="1" applyFill="1" applyAlignment="1">
      <alignment horizontal="left" vertical="center"/>
    </xf>
    <xf numFmtId="0" fontId="57" fillId="18" borderId="0" xfId="31" applyNumberFormat="1" applyFill="1" applyAlignment="1">
      <alignment horizontal="left" vertical="center"/>
    </xf>
    <xf numFmtId="0" fontId="100" fillId="18" borderId="0" xfId="18" applyNumberFormat="1" applyFill="1" applyAlignment="1">
      <alignment horizontal="left" vertical="center"/>
    </xf>
    <xf numFmtId="0" fontId="100" fillId="0" borderId="1" xfId="18" applyNumberFormat="1" applyBorder="1" applyAlignment="1">
      <alignment horizontal="left" vertical="top"/>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94" fontId="138"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protection locked="0"/>
    </xf>
    <xf numFmtId="0" fontId="257" fillId="0" borderId="0" xfId="32" applyFont="1" applyAlignment="1">
      <alignment vertical="center"/>
    </xf>
    <xf numFmtId="0" fontId="260" fillId="3" borderId="1" xfId="32" applyFont="1" applyFill="1" applyBorder="1" applyAlignment="1">
      <alignment horizontal="center" vertical="center"/>
    </xf>
    <xf numFmtId="0" fontId="260" fillId="3" borderId="1" xfId="32" applyFont="1" applyFill="1" applyBorder="1" applyAlignment="1">
      <alignment horizontal="left" vertical="center"/>
    </xf>
    <xf numFmtId="4" fontId="260" fillId="3" borderId="1" xfId="32" applyNumberFormat="1" applyFont="1" applyFill="1" applyBorder="1" applyAlignment="1">
      <alignment horizontal="right" vertical="center"/>
    </xf>
    <xf numFmtId="0" fontId="261" fillId="0" borderId="0" xfId="18" applyNumberFormat="1" applyFont="1">
      <alignment vertical="center"/>
    </xf>
    <xf numFmtId="0" fontId="101" fillId="0" borderId="0" xfId="18" applyNumberFormat="1" applyFont="1">
      <alignment vertical="center"/>
    </xf>
    <xf numFmtId="177" fontId="81" fillId="0" borderId="1" xfId="1" applyNumberFormat="1" applyFont="1" applyFill="1" applyBorder="1" applyAlignment="1" applyProtection="1">
      <alignment vertical="center"/>
      <protection locked="0" hidden="1"/>
    </xf>
    <xf numFmtId="0" fontId="57" fillId="0" borderId="0" xfId="31" applyNumberFormat="1" applyFill="1" applyAlignment="1">
      <alignment horizontal="left" vertical="center"/>
    </xf>
    <xf numFmtId="0" fontId="100" fillId="0" borderId="0" xfId="18" applyNumberFormat="1" applyFill="1" applyAlignment="1">
      <alignment horizontal="left" vertical="center"/>
    </xf>
    <xf numFmtId="0" fontId="255" fillId="0" borderId="0" xfId="18" applyNumberFormat="1" applyFont="1" applyAlignment="1">
      <alignment horizontal="left" vertical="center"/>
    </xf>
    <xf numFmtId="0" fontId="255" fillId="0" borderId="0" xfId="18" applyNumberFormat="1" applyFont="1" applyAlignment="1">
      <alignment horizontal="left" vertical="center" wrapText="1"/>
    </xf>
    <xf numFmtId="10" fontId="255" fillId="0" borderId="0" xfId="18" applyNumberFormat="1" applyFont="1" applyAlignment="1">
      <alignment horizontal="left" vertical="center" wrapText="1"/>
    </xf>
    <xf numFmtId="0" fontId="255" fillId="0" borderId="0" xfId="18" applyNumberFormat="1" applyFont="1">
      <alignment vertical="center"/>
    </xf>
    <xf numFmtId="0" fontId="255" fillId="0" borderId="6" xfId="18" applyNumberFormat="1" applyFont="1" applyBorder="1" applyAlignment="1">
      <alignment horizontal="left" vertical="center" wrapText="1"/>
    </xf>
    <xf numFmtId="0" fontId="255" fillId="0" borderId="9" xfId="18" applyNumberFormat="1" applyFont="1" applyBorder="1" applyAlignment="1">
      <alignment horizontal="left" vertical="center" wrapText="1"/>
    </xf>
    <xf numFmtId="0" fontId="255" fillId="0" borderId="10" xfId="18" applyNumberFormat="1" applyFont="1" applyBorder="1" applyAlignment="1">
      <alignment horizontal="left" vertical="center" wrapText="1"/>
    </xf>
    <xf numFmtId="0" fontId="255" fillId="0" borderId="0" xfId="18" applyNumberFormat="1" applyFont="1" applyBorder="1" applyAlignment="1">
      <alignment horizontal="left" vertical="center" wrapText="1"/>
    </xf>
    <xf numFmtId="0" fontId="255" fillId="0" borderId="23"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55" fillId="0" borderId="24" xfId="18" applyNumberFormat="1" applyFont="1" applyBorder="1" applyAlignment="1">
      <alignment horizontal="left" vertical="center" wrapText="1"/>
    </xf>
    <xf numFmtId="10" fontId="255" fillId="0" borderId="0" xfId="18" applyNumberFormat="1" applyFont="1" applyAlignment="1">
      <alignment horizontal="left" vertical="center"/>
    </xf>
    <xf numFmtId="10" fontId="255" fillId="0" borderId="0" xfId="18" applyNumberFormat="1" applyFont="1">
      <alignment vertical="center"/>
    </xf>
    <xf numFmtId="0" fontId="255" fillId="5" borderId="25" xfId="18" applyNumberFormat="1" applyFont="1" applyFill="1" applyBorder="1" applyAlignment="1">
      <alignment horizontal="left" vertical="center" wrapText="1"/>
    </xf>
    <xf numFmtId="0" fontId="255" fillId="5" borderId="32" xfId="18" applyNumberFormat="1" applyFont="1" applyFill="1" applyBorder="1" applyAlignment="1">
      <alignment horizontal="left" vertical="center" wrapText="1"/>
    </xf>
    <xf numFmtId="0" fontId="255" fillId="5" borderId="49" xfId="18" applyNumberFormat="1" applyFont="1" applyFill="1" applyBorder="1" applyAlignment="1">
      <alignment horizontal="left" vertical="center" wrapText="1"/>
    </xf>
    <xf numFmtId="0" fontId="255" fillId="0" borderId="0" xfId="18" applyNumberFormat="1" applyFont="1" applyFill="1" applyBorder="1" applyAlignment="1">
      <alignment horizontal="left" vertical="center" wrapText="1"/>
    </xf>
    <xf numFmtId="0" fontId="262" fillId="0" borderId="0" xfId="18" applyNumberFormat="1" applyFont="1" applyAlignment="1">
      <alignment horizontal="left" vertical="center"/>
    </xf>
    <xf numFmtId="0" fontId="262" fillId="0" borderId="1" xfId="18" applyNumberFormat="1" applyFont="1" applyBorder="1" applyAlignment="1">
      <alignment horizontal="left" vertical="center" wrapText="1"/>
    </xf>
    <xf numFmtId="0" fontId="262" fillId="0" borderId="0" xfId="18" applyNumberFormat="1" applyFont="1">
      <alignment vertical="center"/>
    </xf>
    <xf numFmtId="0" fontId="255" fillId="0" borderId="0" xfId="18" applyNumberFormat="1" applyFont="1" applyFill="1" applyAlignment="1">
      <alignment horizontal="left" vertical="center"/>
    </xf>
    <xf numFmtId="0" fontId="255" fillId="0" borderId="1" xfId="18" applyNumberFormat="1" applyFont="1" applyFill="1" applyBorder="1" applyAlignment="1">
      <alignment horizontal="left" vertical="center" wrapText="1"/>
    </xf>
    <xf numFmtId="0" fontId="262" fillId="0" borderId="1" xfId="18" applyNumberFormat="1" applyFont="1" applyFill="1" applyBorder="1" applyAlignment="1">
      <alignment horizontal="left" vertical="center" wrapText="1"/>
    </xf>
    <xf numFmtId="0" fontId="255" fillId="0" borderId="0" xfId="18" applyNumberFormat="1" applyFont="1" applyFill="1">
      <alignment vertical="center"/>
    </xf>
    <xf numFmtId="0" fontId="260" fillId="5" borderId="1" xfId="32" applyFont="1" applyFill="1" applyBorder="1" applyAlignment="1">
      <alignment horizontal="center" vertical="center"/>
    </xf>
    <xf numFmtId="0" fontId="260" fillId="5" borderId="1" xfId="32" applyFont="1" applyFill="1" applyBorder="1" applyAlignment="1">
      <alignment horizontal="left" vertical="center"/>
    </xf>
    <xf numFmtId="4" fontId="260" fillId="5" borderId="1" xfId="32" applyNumberFormat="1" applyFont="1" applyFill="1" applyBorder="1" applyAlignment="1">
      <alignment horizontal="right" vertical="center"/>
    </xf>
    <xf numFmtId="0" fontId="257" fillId="5" borderId="0" xfId="32" applyFont="1" applyFill="1" applyAlignment="1">
      <alignment vertical="center"/>
    </xf>
    <xf numFmtId="0" fontId="262" fillId="19" borderId="1" xfId="18" applyNumberFormat="1" applyFont="1" applyFill="1" applyBorder="1" applyAlignment="1">
      <alignment horizontal="left" vertical="center" wrapText="1"/>
    </xf>
    <xf numFmtId="0" fontId="255" fillId="19" borderId="1" xfId="18" applyNumberFormat="1" applyFont="1" applyFill="1" applyBorder="1" applyAlignment="1">
      <alignment horizontal="left" vertical="center" wrapText="1"/>
    </xf>
    <xf numFmtId="4" fontId="255" fillId="19" borderId="1" xfId="18" applyNumberFormat="1" applyFont="1" applyFill="1" applyBorder="1" applyAlignment="1">
      <alignment horizontal="left" vertical="center" wrapText="1"/>
    </xf>
    <xf numFmtId="0" fontId="255" fillId="20" borderId="0" xfId="18" applyNumberFormat="1" applyFont="1" applyFill="1" applyAlignment="1">
      <alignment horizontal="left" vertical="center"/>
    </xf>
    <xf numFmtId="0" fontId="255" fillId="20" borderId="1" xfId="18" applyNumberFormat="1" applyFont="1" applyFill="1" applyBorder="1" applyAlignment="1">
      <alignment horizontal="left" vertical="center" wrapText="1"/>
    </xf>
    <xf numFmtId="0" fontId="262" fillId="20" borderId="1" xfId="18" applyNumberFormat="1" applyFont="1" applyFill="1" applyBorder="1" applyAlignment="1">
      <alignment horizontal="left" vertical="center" wrapText="1"/>
    </xf>
    <xf numFmtId="0" fontId="255" fillId="20" borderId="0" xfId="18" applyNumberFormat="1" applyFont="1" applyFill="1">
      <alignment vertical="center"/>
    </xf>
    <xf numFmtId="0" fontId="256" fillId="20" borderId="0" xfId="18" applyNumberFormat="1" applyFont="1" applyFill="1">
      <alignment vertical="center"/>
    </xf>
    <xf numFmtId="0" fontId="100" fillId="20" borderId="0" xfId="18" applyNumberFormat="1" applyFill="1">
      <alignment vertical="center"/>
    </xf>
    <xf numFmtId="0" fontId="263" fillId="21" borderId="0" xfId="0" applyFont="1" applyFill="1" applyAlignment="1" applyProtection="1">
      <alignment horizontal="center" vertical="center"/>
    </xf>
    <xf numFmtId="0" fontId="263" fillId="0" borderId="0" xfId="0" applyFont="1" applyAlignment="1" applyProtection="1">
      <alignment horizontal="left" vertical="center"/>
    </xf>
    <xf numFmtId="39" fontId="263" fillId="0" borderId="0" xfId="0" applyNumberFormat="1" applyFont="1" applyAlignment="1" applyProtection="1">
      <alignment horizontal="right" vertical="center"/>
    </xf>
    <xf numFmtId="0" fontId="263" fillId="22" borderId="0" xfId="0" applyFont="1" applyFill="1" applyAlignment="1" applyProtection="1">
      <alignment horizontal="left" vertical="center"/>
    </xf>
    <xf numFmtId="39" fontId="263" fillId="22" borderId="0" xfId="0" applyNumberFormat="1" applyFont="1" applyFill="1" applyAlignment="1" applyProtection="1">
      <alignment horizontal="right" vertical="center"/>
    </xf>
    <xf numFmtId="0" fontId="263" fillId="23" borderId="0" xfId="0" applyFont="1" applyFill="1" applyAlignment="1" applyProtection="1">
      <alignment horizontal="left" vertical="center"/>
    </xf>
    <xf numFmtId="39" fontId="263" fillId="23" borderId="0" xfId="0" applyNumberFormat="1" applyFont="1" applyFill="1" applyAlignment="1" applyProtection="1">
      <alignment horizontal="right" vertical="center"/>
    </xf>
    <xf numFmtId="198" fontId="0" fillId="0" borderId="0" xfId="0" applyNumberFormat="1">
      <alignment vertical="center"/>
    </xf>
    <xf numFmtId="198" fontId="255" fillId="19" borderId="1" xfId="18" applyNumberFormat="1" applyFont="1" applyFill="1" applyBorder="1" applyAlignment="1">
      <alignment horizontal="left" vertical="center" wrapText="1"/>
    </xf>
    <xf numFmtId="4" fontId="255" fillId="20" borderId="1" xfId="18" applyNumberFormat="1" applyFont="1" applyFill="1" applyBorder="1" applyAlignment="1">
      <alignment horizontal="left" vertical="center" wrapText="1"/>
    </xf>
    <xf numFmtId="0" fontId="4" fillId="0" borderId="0" xfId="32" applyFont="1" applyAlignment="1">
      <alignment vertical="center"/>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0" fontId="262" fillId="0" borderId="1"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62" fillId="0" borderId="36" xfId="18" applyNumberFormat="1" applyFont="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2" fillId="0" borderId="1"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62" fillId="0" borderId="46" xfId="18" applyNumberFormat="1" applyFont="1" applyBorder="1" applyAlignment="1">
      <alignment horizontal="left" vertical="center" wrapText="1"/>
    </xf>
    <xf numFmtId="0" fontId="262" fillId="0" borderId="36" xfId="18" applyNumberFormat="1" applyFont="1" applyBorder="1" applyAlignment="1">
      <alignment horizontal="left" vertical="center" wrapText="1"/>
    </xf>
    <xf numFmtId="0" fontId="262" fillId="19" borderId="5" xfId="18" applyNumberFormat="1" applyFont="1" applyFill="1" applyBorder="1" applyAlignment="1">
      <alignment horizontal="left" vertical="center" wrapText="1"/>
    </xf>
    <xf numFmtId="0" fontId="262" fillId="19" borderId="54" xfId="18" applyNumberFormat="1" applyFont="1" applyFill="1" applyBorder="1" applyAlignment="1">
      <alignment horizontal="left" vertical="center" wrapText="1"/>
    </xf>
    <xf numFmtId="0" fontId="262" fillId="19" borderId="3" xfId="18" applyNumberFormat="1" applyFont="1" applyFill="1" applyBorder="1" applyAlignment="1">
      <alignment horizontal="left" vertical="center" wrapText="1"/>
    </xf>
    <xf numFmtId="0" fontId="259" fillId="3" borderId="0" xfId="32" applyFont="1" applyFill="1" applyAlignment="1">
      <alignment horizontal="center" vertical="center"/>
    </xf>
    <xf numFmtId="0" fontId="263" fillId="21" borderId="0" xfId="0" applyFont="1" applyFill="1" applyAlignment="1" applyProtection="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57" xfId="0" applyNumberFormat="1" applyFont="1" applyFill="1" applyBorder="1" applyAlignment="1" applyProtection="1">
      <alignment horizontal="center" vertical="top" wrapText="1"/>
      <protection locked="0"/>
    </xf>
    <xf numFmtId="0" fontId="84" fillId="0" borderId="156" xfId="0" applyNumberFormat="1" applyFont="1" applyFill="1" applyBorder="1" applyAlignment="1" applyProtection="1">
      <alignment horizontal="center" vertical="top" wrapText="1"/>
      <protection locked="0"/>
    </xf>
    <xf numFmtId="0" fontId="84" fillId="0" borderId="158" xfId="0" applyNumberFormat="1" applyFont="1" applyFill="1" applyBorder="1" applyAlignment="1" applyProtection="1">
      <alignment vertical="top" wrapText="1"/>
      <protection locked="0"/>
    </xf>
    <xf numFmtId="0" fontId="81" fillId="0" borderId="159" xfId="0" applyNumberFormat="1" applyFont="1" applyFill="1" applyBorder="1" applyAlignment="1" applyProtection="1">
      <alignment vertical="center" wrapText="1"/>
      <protection locked="0"/>
    </xf>
    <xf numFmtId="0" fontId="81" fillId="0" borderId="160" xfId="0" applyNumberFormat="1" applyFont="1" applyFill="1" applyBorder="1" applyAlignment="1" applyProtection="1">
      <alignment vertical="center"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00" fillId="0" borderId="1" xfId="18" applyNumberFormat="1" applyBorder="1" applyAlignment="1">
      <alignment horizontal="left" vertical="top"/>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33">
    <cellStyle name="0,0_x000d__x000a_NA_x000d__x000a_" xfId="19"/>
    <cellStyle name="0,0_x000d__x000a_NA_x000d__x000a_ 2" xfId="20"/>
    <cellStyle name="百分比 2" xfId="14"/>
    <cellStyle name="百分比 3" xfId="21"/>
    <cellStyle name="百分比 5" xfId="22"/>
    <cellStyle name="百分比 5 2" xfId="23"/>
    <cellStyle name="百分比 5 3" xfId="24"/>
    <cellStyle name="常规" xfId="0" builtinId="0"/>
    <cellStyle name="常规 10" xfId="17"/>
    <cellStyle name="常规 10 2 2" xfId="25"/>
    <cellStyle name="常规 11" xfId="18"/>
    <cellStyle name="常规 11 2" xfId="31"/>
    <cellStyle name="常规 12" xfId="26"/>
    <cellStyle name="常规 13" xfId="32"/>
    <cellStyle name="常规 16" xfId="10"/>
    <cellStyle name="常规 2" xfId="1"/>
    <cellStyle name="常规 2 2" xfId="8"/>
    <cellStyle name="常规 2 2 2 2 3" xfId="15"/>
    <cellStyle name="常规 2 3" xfId="2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2" xfId="28"/>
    <cellStyle name="千位分隔 2" xfId="29"/>
    <cellStyle name="千位分隔 3" xfId="30"/>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38100</xdr:rowOff>
    </xdr:from>
    <xdr:to>
      <xdr:col>17</xdr:col>
      <xdr:colOff>119269</xdr:colOff>
      <xdr:row>0</xdr:row>
      <xdr:rowOff>333375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38100"/>
          <a:ext cx="4095750" cy="295275"/>
        </a:xfrm>
        <a:prstGeom prst="rect">
          <a:avLst/>
        </a:prstGeom>
      </xdr:spPr>
    </xdr:pic>
    <xdr:clientData/>
  </xdr:twoCellAnchor>
  <xdr:twoCellAnchor editAs="oneCell">
    <xdr:from>
      <xdr:col>26</xdr:col>
      <xdr:colOff>247650</xdr:colOff>
      <xdr:row>9</xdr:row>
      <xdr:rowOff>85725</xdr:rowOff>
    </xdr:from>
    <xdr:to>
      <xdr:col>36</xdr:col>
      <xdr:colOff>552450</xdr:colOff>
      <xdr:row>16</xdr:row>
      <xdr:rowOff>475288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68075" y="3781425"/>
          <a:ext cx="7162800" cy="4056688"/>
        </a:xfrm>
        <a:prstGeom prst="rect">
          <a:avLst/>
        </a:prstGeom>
      </xdr:spPr>
    </xdr:pic>
    <xdr:clientData/>
  </xdr:twoCellAnchor>
  <xdr:twoCellAnchor editAs="oneCell">
    <xdr:from>
      <xdr:col>26</xdr:col>
      <xdr:colOff>95250</xdr:colOff>
      <xdr:row>18</xdr:row>
      <xdr:rowOff>38100</xdr:rowOff>
    </xdr:from>
    <xdr:to>
      <xdr:col>40</xdr:col>
      <xdr:colOff>552450</xdr:colOff>
      <xdr:row>32</xdr:row>
      <xdr:rowOff>1464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88225" y="7610475"/>
          <a:ext cx="10058400" cy="7295543"/>
        </a:xfrm>
        <a:prstGeom prst="rect">
          <a:avLst/>
        </a:prstGeom>
      </xdr:spPr>
    </xdr:pic>
    <xdr:clientData/>
  </xdr:twoCellAnchor>
  <xdr:twoCellAnchor editAs="oneCell">
    <xdr:from>
      <xdr:col>26</xdr:col>
      <xdr:colOff>104775</xdr:colOff>
      <xdr:row>42</xdr:row>
      <xdr:rowOff>57150</xdr:rowOff>
    </xdr:from>
    <xdr:to>
      <xdr:col>40</xdr:col>
      <xdr:colOff>561975</xdr:colOff>
      <xdr:row>51</xdr:row>
      <xdr:rowOff>481603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25536" y="20995585"/>
          <a:ext cx="10081591" cy="5120692"/>
        </a:xfrm>
        <a:prstGeom prst="rect">
          <a:avLst/>
        </a:prstGeom>
      </xdr:spPr>
    </xdr:pic>
    <xdr:clientData/>
  </xdr:twoCellAnchor>
  <xdr:twoCellAnchor editAs="oneCell">
    <xdr:from>
      <xdr:col>32</xdr:col>
      <xdr:colOff>53424</xdr:colOff>
      <xdr:row>0</xdr:row>
      <xdr:rowOff>0</xdr:rowOff>
    </xdr:from>
    <xdr:to>
      <xdr:col>36</xdr:col>
      <xdr:colOff>617055</xdr:colOff>
      <xdr:row>6</xdr:row>
      <xdr:rowOff>162125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198924" y="0"/>
          <a:ext cx="3313457" cy="2696603"/>
        </a:xfrm>
        <a:prstGeom prst="rect">
          <a:avLst/>
        </a:prstGeom>
      </xdr:spPr>
    </xdr:pic>
    <xdr:clientData/>
  </xdr:twoCellAnchor>
  <xdr:twoCellAnchor editAs="oneCell">
    <xdr:from>
      <xdr:col>26</xdr:col>
      <xdr:colOff>220316</xdr:colOff>
      <xdr:row>0</xdr:row>
      <xdr:rowOff>0</xdr:rowOff>
    </xdr:from>
    <xdr:to>
      <xdr:col>31</xdr:col>
      <xdr:colOff>650100</xdr:colOff>
      <xdr:row>8</xdr:row>
      <xdr:rowOff>190500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241077" y="0"/>
          <a:ext cx="3867067" cy="3528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647700</xdr:colOff>
      <xdr:row>34</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05700" cy="5829300"/>
        </a:xfrm>
        <a:prstGeom prst="rect">
          <a:avLst/>
        </a:prstGeom>
      </xdr:spPr>
    </xdr:pic>
    <xdr:clientData/>
  </xdr:twoCellAnchor>
  <xdr:twoCellAnchor>
    <xdr:from>
      <xdr:col>0</xdr:col>
      <xdr:colOff>37913</xdr:colOff>
      <xdr:row>1</xdr:row>
      <xdr:rowOff>19050</xdr:rowOff>
    </xdr:from>
    <xdr:to>
      <xdr:col>2</xdr:col>
      <xdr:colOff>142688</xdr:colOff>
      <xdr:row>30</xdr:row>
      <xdr:rowOff>57150</xdr:rowOff>
    </xdr:to>
    <xdr:grpSp>
      <xdr:nvGrpSpPr>
        <xdr:cNvPr id="3" name="组合 2"/>
        <xdr:cNvGrpSpPr/>
      </xdr:nvGrpSpPr>
      <xdr:grpSpPr>
        <a:xfrm>
          <a:off x="37913" y="190500"/>
          <a:ext cx="1476375" cy="5010150"/>
          <a:chOff x="37913" y="190500"/>
          <a:chExt cx="1476375" cy="5010150"/>
        </a:xfrm>
      </xdr:grpSpPr>
      <xdr:sp macro="" textlink="">
        <xdr:nvSpPr>
          <xdr:cNvPr id="4" name="矩形标注 3"/>
          <xdr:cNvSpPr/>
        </xdr:nvSpPr>
        <xdr:spPr>
          <a:xfrm>
            <a:off x="37913" y="190500"/>
            <a:ext cx="1476375" cy="571499"/>
          </a:xfrm>
          <a:prstGeom prst="wedgeRectCallout">
            <a:avLst>
              <a:gd name="adj1" fmla="val 120318"/>
              <a:gd name="adj2" fmla="val 37588"/>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1.5  624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a:p>
            <a:pPr algn="l"/>
            <a:r>
              <a:rPr lang="zh-CN" altLang="en-US" sz="1000" b="0" i="0">
                <a:solidFill>
                  <a:sysClr val="windowText" lastClr="000000"/>
                </a:solidFill>
                <a:effectLst/>
                <a:latin typeface="微软雅黑" pitchFamily="34" charset="-122"/>
                <a:ea typeface="微软雅黑" pitchFamily="34" charset="-122"/>
                <a:cs typeface="+mn-cs"/>
              </a:rPr>
              <a:t>自持</a:t>
            </a:r>
            <a:r>
              <a:rPr lang="en-US" altLang="zh-CN" sz="1000" b="0" i="0">
                <a:solidFill>
                  <a:sysClr val="windowText" lastClr="000000"/>
                </a:solidFill>
                <a:effectLst/>
                <a:latin typeface="微软雅黑" pitchFamily="34" charset="-122"/>
                <a:ea typeface="微软雅黑" pitchFamily="34" charset="-122"/>
                <a:cs typeface="+mn-cs"/>
              </a:rPr>
              <a:t>10</a:t>
            </a:r>
            <a:r>
              <a:rPr lang="zh-CN" altLang="en-US" sz="1000" b="0" i="0">
                <a:solidFill>
                  <a:sysClr val="windowText" lastClr="000000"/>
                </a:solidFill>
                <a:effectLst/>
                <a:latin typeface="微软雅黑" pitchFamily="34" charset="-122"/>
                <a:ea typeface="微软雅黑" pitchFamily="34" charset="-122"/>
                <a:cs typeface="+mn-cs"/>
              </a:rPr>
              <a:t>年</a:t>
            </a:r>
            <a:endParaRPr lang="zh-CN" altLang="en-US" sz="1000">
              <a:solidFill>
                <a:sysClr val="windowText" lastClr="000000"/>
              </a:solidFill>
              <a:latin typeface="微软雅黑" pitchFamily="34" charset="-122"/>
              <a:ea typeface="微软雅黑" pitchFamily="34" charset="-122"/>
            </a:endParaRPr>
          </a:p>
        </xdr:txBody>
      </xdr:sp>
      <xdr:sp macro="" textlink="">
        <xdr:nvSpPr>
          <xdr:cNvPr id="5" name="矩形标注 4"/>
          <xdr:cNvSpPr/>
        </xdr:nvSpPr>
        <xdr:spPr>
          <a:xfrm>
            <a:off x="38100" y="819150"/>
            <a:ext cx="1476000" cy="352425"/>
          </a:xfrm>
          <a:prstGeom prst="wedgeRectCallout">
            <a:avLst>
              <a:gd name="adj1" fmla="val 189744"/>
              <a:gd name="adj2" fmla="val -1682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2.7  1160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6" name="矩形标注 5"/>
          <xdr:cNvSpPr/>
        </xdr:nvSpPr>
        <xdr:spPr>
          <a:xfrm>
            <a:off x="38100" y="1238250"/>
            <a:ext cx="1476000" cy="352425"/>
          </a:xfrm>
          <a:prstGeom prst="wedgeRectCallout">
            <a:avLst>
              <a:gd name="adj1" fmla="val 208353"/>
              <a:gd name="adj2" fmla="val -12493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2.7  1160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7" name="矩形标注 6"/>
          <xdr:cNvSpPr/>
        </xdr:nvSpPr>
        <xdr:spPr>
          <a:xfrm>
            <a:off x="38100" y="1657350"/>
            <a:ext cx="1476000" cy="352425"/>
          </a:xfrm>
          <a:prstGeom prst="wedgeRectCallout">
            <a:avLst>
              <a:gd name="adj1" fmla="val 189582"/>
              <a:gd name="adj2" fmla="val -127638"/>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2.83  972</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新城</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8" name="矩形标注 7"/>
          <xdr:cNvSpPr/>
        </xdr:nvSpPr>
        <xdr:spPr>
          <a:xfrm>
            <a:off x="38100" y="2085975"/>
            <a:ext cx="1476000" cy="352425"/>
          </a:xfrm>
          <a:prstGeom prst="wedgeRectCallout">
            <a:avLst>
              <a:gd name="adj1" fmla="val 133439"/>
              <a:gd name="adj2" fmla="val -10061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225</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9" name="矩形标注 8"/>
          <xdr:cNvSpPr/>
        </xdr:nvSpPr>
        <xdr:spPr>
          <a:xfrm>
            <a:off x="38100" y="2524125"/>
            <a:ext cx="1476000" cy="352425"/>
          </a:xfrm>
          <a:prstGeom prst="wedgeRectCallout">
            <a:avLst>
              <a:gd name="adj1" fmla="val 54064"/>
              <a:gd name="adj2" fmla="val 36965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2.8  970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中铁</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0" name="矩形标注 9"/>
          <xdr:cNvSpPr/>
        </xdr:nvSpPr>
        <xdr:spPr>
          <a:xfrm>
            <a:off x="38100" y="4848225"/>
            <a:ext cx="1476000" cy="352425"/>
          </a:xfrm>
          <a:prstGeom prst="wedgeRectCallout">
            <a:avLst>
              <a:gd name="adj1" fmla="val 56000"/>
              <a:gd name="adj2" fmla="val -165476"/>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3  1047</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葛洲坝</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1" name="矩形标注 10"/>
          <xdr:cNvSpPr/>
        </xdr:nvSpPr>
        <xdr:spPr>
          <a:xfrm>
            <a:off x="38100" y="2943225"/>
            <a:ext cx="1476000" cy="352425"/>
          </a:xfrm>
          <a:prstGeom prst="wedgeRectCallout">
            <a:avLst>
              <a:gd name="adj1" fmla="val 22443"/>
              <a:gd name="adj2" fmla="val 272362"/>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3  1040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北辰</a:t>
            </a:r>
            <a:endParaRPr lang="en-US" altLang="zh-CN" sz="1000" b="0" i="0">
              <a:solidFill>
                <a:sysClr val="windowText" lastClr="000000"/>
              </a:solidFill>
              <a:effectLst/>
              <a:latin typeface="微软雅黑" pitchFamily="34" charset="-122"/>
              <a:ea typeface="微软雅黑" pitchFamily="34" charset="-122"/>
              <a:cs typeface="+mn-cs"/>
            </a:endParaRPr>
          </a:p>
        </xdr:txBody>
      </xdr:sp>
    </xdr:grpSp>
    <xdr:clientData/>
  </xdr:twoCellAnchor>
  <xdr:twoCellAnchor>
    <xdr:from>
      <xdr:col>2</xdr:col>
      <xdr:colOff>285750</xdr:colOff>
      <xdr:row>28</xdr:row>
      <xdr:rowOff>57150</xdr:rowOff>
    </xdr:from>
    <xdr:to>
      <xdr:col>4</xdr:col>
      <xdr:colOff>390150</xdr:colOff>
      <xdr:row>30</xdr:row>
      <xdr:rowOff>66675</xdr:rowOff>
    </xdr:to>
    <xdr:sp macro="" textlink="">
      <xdr:nvSpPr>
        <xdr:cNvPr id="12" name="矩形标注 11"/>
        <xdr:cNvSpPr/>
      </xdr:nvSpPr>
      <xdr:spPr>
        <a:xfrm>
          <a:off x="1657350" y="4857750"/>
          <a:ext cx="1476000" cy="352425"/>
        </a:xfrm>
        <a:prstGeom prst="wedgeRectCallout">
          <a:avLst>
            <a:gd name="adj1" fmla="val 26960"/>
            <a:gd name="adj2" fmla="val -595206"/>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3.5  1644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657225</xdr:colOff>
      <xdr:row>6</xdr:row>
      <xdr:rowOff>142875</xdr:rowOff>
    </xdr:from>
    <xdr:to>
      <xdr:col>8</xdr:col>
      <xdr:colOff>75825</xdr:colOff>
      <xdr:row>8</xdr:row>
      <xdr:rowOff>152400</xdr:rowOff>
    </xdr:to>
    <xdr:sp macro="" textlink="">
      <xdr:nvSpPr>
        <xdr:cNvPr id="13" name="矩形标注 12"/>
        <xdr:cNvSpPr/>
      </xdr:nvSpPr>
      <xdr:spPr>
        <a:xfrm>
          <a:off x="4086225" y="1171575"/>
          <a:ext cx="1476000" cy="352425"/>
        </a:xfrm>
        <a:prstGeom prst="wedgeRectCallout">
          <a:avLst>
            <a:gd name="adj1" fmla="val -112430"/>
            <a:gd name="adj2" fmla="val 43452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3.5  1638</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657225</xdr:colOff>
      <xdr:row>9</xdr:row>
      <xdr:rowOff>47625</xdr:rowOff>
    </xdr:from>
    <xdr:to>
      <xdr:col>8</xdr:col>
      <xdr:colOff>75825</xdr:colOff>
      <xdr:row>11</xdr:row>
      <xdr:rowOff>57150</xdr:rowOff>
    </xdr:to>
    <xdr:sp macro="" textlink="">
      <xdr:nvSpPr>
        <xdr:cNvPr id="14" name="矩形标注 13"/>
        <xdr:cNvSpPr/>
      </xdr:nvSpPr>
      <xdr:spPr>
        <a:xfrm>
          <a:off x="4086225" y="1590675"/>
          <a:ext cx="1476000" cy="352425"/>
        </a:xfrm>
        <a:prstGeom prst="wedgeRectCallout">
          <a:avLst>
            <a:gd name="adj1" fmla="val -113721"/>
            <a:gd name="adj2" fmla="val 4480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2.8  1310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676275</xdr:colOff>
      <xdr:row>11</xdr:row>
      <xdr:rowOff>142875</xdr:rowOff>
    </xdr:from>
    <xdr:to>
      <xdr:col>8</xdr:col>
      <xdr:colOff>94875</xdr:colOff>
      <xdr:row>13</xdr:row>
      <xdr:rowOff>152400</xdr:rowOff>
    </xdr:to>
    <xdr:sp macro="" textlink="">
      <xdr:nvSpPr>
        <xdr:cNvPr id="15" name="矩形标注 14"/>
        <xdr:cNvSpPr/>
      </xdr:nvSpPr>
      <xdr:spPr>
        <a:xfrm>
          <a:off x="4105275" y="2028825"/>
          <a:ext cx="1476000" cy="352425"/>
        </a:xfrm>
        <a:prstGeom prst="wedgeRectCallout">
          <a:avLst>
            <a:gd name="adj1" fmla="val -113721"/>
            <a:gd name="adj2" fmla="val 40209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3.5  2124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8</xdr:col>
      <xdr:colOff>466725</xdr:colOff>
      <xdr:row>7</xdr:row>
      <xdr:rowOff>133350</xdr:rowOff>
    </xdr:from>
    <xdr:to>
      <xdr:col>10</xdr:col>
      <xdr:colOff>571125</xdr:colOff>
      <xdr:row>32</xdr:row>
      <xdr:rowOff>104775</xdr:rowOff>
    </xdr:to>
    <xdr:grpSp>
      <xdr:nvGrpSpPr>
        <xdr:cNvPr id="16" name="组合 15"/>
        <xdr:cNvGrpSpPr/>
      </xdr:nvGrpSpPr>
      <xdr:grpSpPr>
        <a:xfrm>
          <a:off x="5953125" y="1333500"/>
          <a:ext cx="1476000" cy="4257675"/>
          <a:chOff x="5953125" y="1333500"/>
          <a:chExt cx="1476000" cy="4257675"/>
        </a:xfrm>
      </xdr:grpSpPr>
      <xdr:sp macro="" textlink="">
        <xdr:nvSpPr>
          <xdr:cNvPr id="17" name="矩形标注 16"/>
          <xdr:cNvSpPr/>
        </xdr:nvSpPr>
        <xdr:spPr>
          <a:xfrm>
            <a:off x="5953125" y="2743200"/>
            <a:ext cx="1476000" cy="352425"/>
          </a:xfrm>
          <a:prstGeom prst="wedgeRectCallout">
            <a:avLst>
              <a:gd name="adj1" fmla="val -145342"/>
              <a:gd name="adj2" fmla="val -331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3.7  761</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8" name="矩形标注 17"/>
          <xdr:cNvSpPr/>
        </xdr:nvSpPr>
        <xdr:spPr>
          <a:xfrm>
            <a:off x="5953125" y="3267075"/>
            <a:ext cx="1476000" cy="352425"/>
          </a:xfrm>
          <a:prstGeom prst="wedgeRectCallout">
            <a:avLst>
              <a:gd name="adj1" fmla="val -80163"/>
              <a:gd name="adj2" fmla="val -8720"/>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3.9  1286</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金地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9" name="矩形标注 18"/>
          <xdr:cNvSpPr/>
        </xdr:nvSpPr>
        <xdr:spPr>
          <a:xfrm>
            <a:off x="5953125" y="5238750"/>
            <a:ext cx="1476000" cy="352425"/>
          </a:xfrm>
          <a:prstGeom prst="wedgeRectCallout">
            <a:avLst>
              <a:gd name="adj1" fmla="val -8532"/>
              <a:gd name="adj2" fmla="val -36277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3-3.5  2150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融创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20" name="矩形标注 19"/>
          <xdr:cNvSpPr/>
        </xdr:nvSpPr>
        <xdr:spPr>
          <a:xfrm>
            <a:off x="5953125" y="1333500"/>
            <a:ext cx="1476000" cy="352425"/>
          </a:xfrm>
          <a:prstGeom prst="wedgeRectCallout">
            <a:avLst>
              <a:gd name="adj1" fmla="val 1147"/>
              <a:gd name="adj2" fmla="val 21019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3.5  2165</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电建 </a:t>
            </a:r>
            <a:endParaRPr lang="en-US" altLang="zh-CN" sz="1000" b="0" i="0">
              <a:solidFill>
                <a:sysClr val="windowText" lastClr="000000"/>
              </a:solidFill>
              <a:effectLst/>
              <a:latin typeface="微软雅黑" pitchFamily="34" charset="-122"/>
              <a:ea typeface="微软雅黑" pitchFamily="34" charset="-122"/>
              <a:cs typeface="+mn-cs"/>
            </a:endParaRPr>
          </a:p>
        </xdr:txBody>
      </xdr:sp>
    </xdr:grpSp>
    <xdr:clientData/>
  </xdr:twoCellAnchor>
  <xdr:twoCellAnchor editAs="oneCell">
    <xdr:from>
      <xdr:col>0</xdr:col>
      <xdr:colOff>0</xdr:colOff>
      <xdr:row>35</xdr:row>
      <xdr:rowOff>0</xdr:rowOff>
    </xdr:from>
    <xdr:to>
      <xdr:col>14</xdr:col>
      <xdr:colOff>152400</xdr:colOff>
      <xdr:row>71</xdr:row>
      <xdr:rowOff>109626</xdr:rowOff>
    </xdr:to>
    <xdr:pic>
      <xdr:nvPicPr>
        <xdr:cNvPr id="21" name="图片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10058400" cy="6281826"/>
        </a:xfrm>
        <a:prstGeom prst="rect">
          <a:avLst/>
        </a:prstGeom>
      </xdr:spPr>
    </xdr:pic>
    <xdr:clientData/>
  </xdr:twoCellAnchor>
  <xdr:twoCellAnchor editAs="oneCell">
    <xdr:from>
      <xdr:col>0</xdr:col>
      <xdr:colOff>0</xdr:colOff>
      <xdr:row>73</xdr:row>
      <xdr:rowOff>0</xdr:rowOff>
    </xdr:from>
    <xdr:to>
      <xdr:col>13</xdr:col>
      <xdr:colOff>495300</xdr:colOff>
      <xdr:row>114</xdr:row>
      <xdr:rowOff>47625</xdr:rowOff>
    </xdr:to>
    <xdr:pic>
      <xdr:nvPicPr>
        <xdr:cNvPr id="22" name="图片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515850"/>
          <a:ext cx="9563100" cy="7077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7494;&#27721;&#19996;&#35199;&#28246;&#20339;&#20806;&#19994;&#183;B&#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7494;&#27721;&#19996;&#35199;&#28246;&#20339;&#20806;&#19994;&#183;B&#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65288;&#27494;&#27721;&#19996;&#35199;&#28246;&#20339;&#20806;&#19994;&#183;C&#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27494;&#27721;&#19996;&#35199;&#28246;&#20339;&#20806;&#19994;&#183;C&#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28047.419999999991</v>
          </cell>
          <cell r="C14">
            <v>0</v>
          </cell>
          <cell r="D14">
            <v>20427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元)"/>
      <sheetName val="土地比较法-住宅、综合"/>
      <sheetName val="土地案例"/>
      <sheetName val="案例位置"/>
      <sheetName val="假设开发法"/>
      <sheetName val="比较法-住宅"/>
      <sheetName val="收益法"/>
      <sheetName val="成本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131117.79999999996</v>
          </cell>
          <cell r="C14">
            <v>0</v>
          </cell>
          <cell r="D14">
            <v>80892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878.63999999999987</v>
          </cell>
          <cell r="C14">
            <v>0</v>
          </cell>
          <cell r="D14">
            <v>760</v>
          </cell>
          <cell r="G14">
            <v>760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土地案例（商业）"/>
      <sheetName val="Sheet2"/>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2992.26</v>
          </cell>
          <cell r="C14">
            <v>0</v>
          </cell>
          <cell r="D14">
            <v>1450</v>
          </cell>
          <cell r="G14">
            <v>1450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sqref="A1:XFD74"/>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湖北省武汉市东西湖区泾河街金北一路以北、吴新干线以东“佳兆业·悦府”居住项目局部出让国有建设用地使用权及在建建筑物房地产抵押价值预评估</v>
      </c>
    </row>
    <row r="3" spans="1:2" s="1592" customFormat="1">
      <c r="A3" s="1590" t="s">
        <v>1217</v>
      </c>
      <c r="B3" s="1591" t="str">
        <f>'预评函-封皮'!B40</f>
        <v>中诚信托有限责任公司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受贵公司委托，我公司对湖北省武汉市东西湖区泾河街金北一路以北、吴新干线以东“佳兆业·悦府”居住项目局部出让国有建设用地使用权及在建建筑物房地产抵押价值进行了预评估。</v>
      </c>
    </row>
    <row r="7" spans="1:2" s="1592" customFormat="1">
      <c r="A7" s="1590" t="s">
        <v>1260</v>
      </c>
      <c r="B7" s="1591" t="str">
        <f>'预评函-1'!A7</f>
        <v>估价对象为湖北省武汉市东西湖区泾河街金北一路以北、吴新干线以东“佳兆业·悦府”居住项目局部出让国有建设用地使用权及在建建筑物房地产，为金兆佳置业（武汉）有限公司所有。根据《国有土地使用证》[]，估价对象（分摊）出让国有建设用地使用权面积为0平方米。根据《房屋所有权证》[]、《测绘报告》[]，估价对象建筑面积为35526.12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湖北省武汉市东西湖区泾河街金北一路以北、吴新干线以东“佳兆业·悦府”居住项目局部出让国有建设用地使用权及在建建筑物房地产,属金兆佳置业（武汉）有限公司开发建设的居住项目，该项目尚在开发建设中。根据《国有土地使用证》[]，估价对象（分摊）出让国有建设用地使用权面积为0平方米。根据《房屋所有权证》[]、《测绘报告》[]，估价对象规划建筑面积为35526.12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2019年5月16日（评估专业人员实地查勘之日）</v>
      </c>
    </row>
    <row r="13" spans="1:2" s="1592" customFormat="1">
      <c r="A13" s="1590" t="s">
        <v>1223</v>
      </c>
      <c r="B13" s="1591" t="str">
        <f>'预评函-1'!A18</f>
        <v>本次估价的“房地产价值”是指在正常市场情况下，在价值时点2019年5月16日，估价对象规划用途为住宅、商业，土地取得方式为出让，出让国有建设用地使用权剩余土地使用年限为住宅68.6年、商业38.6年，假定未设立法定优先受偿款下的房地产市场价值。</v>
      </c>
    </row>
    <row r="14" spans="1:2" s="1592" customFormat="1">
      <c r="A14" s="1590" t="s">
        <v>1224</v>
      </c>
      <c r="B14" s="1591" t="str">
        <f>'预评函-1'!A19</f>
        <v>其中，“出让国有建设用地使用权价值”是指估价对象用途为住宅、商业，实际开发程度为宗地红线外“七通”（即通路、通电、通讯、通上水、通下水、燃气、平整）、红线内场地平整条件下，剩余土地使用年限为住宅68.6年、商业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25267</v>
      </c>
    </row>
    <row r="21" spans="1:2" s="1592" customFormat="1">
      <c r="A21" s="1590" t="s">
        <v>1231</v>
      </c>
      <c r="B21" s="1591">
        <f ca="1">'预评函-2'!D7</f>
        <v>7112</v>
      </c>
    </row>
    <row r="22" spans="1:2" s="1592" customFormat="1">
      <c r="A22" s="1590" t="s">
        <v>1232</v>
      </c>
      <c r="B22" s="1591" t="str">
        <f ca="1">'预评函-2'!D6</f>
        <v>贰亿伍仟贰佰陆拾柒万元整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25267</v>
      </c>
    </row>
    <row r="31" spans="1:2" s="1592" customFormat="1">
      <c r="A31" s="1590" t="s">
        <v>1270</v>
      </c>
      <c r="B31" s="1591">
        <f ca="1">'预评函-2'!D15</f>
        <v>7112</v>
      </c>
    </row>
    <row r="32" spans="1:2" s="1592" customFormat="1">
      <c r="A32" s="1590" t="s">
        <v>1237</v>
      </c>
      <c r="B32" s="1591" t="str">
        <f ca="1">'预评函-2'!D14</f>
        <v>贰亿伍仟贰佰陆拾柒万元整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湖北省武汉市东西湖区泾河街金北一路以北、吴新干线以东“佳兆业·悦府”居住项目局部出让国有建设用地使用权及在建建筑物房地产</v>
      </c>
    </row>
    <row r="42" spans="1:2" s="1592" customFormat="1">
      <c r="A42" s="1590" t="s">
        <v>1284</v>
      </c>
      <c r="B42" s="1591" t="str">
        <f>'预评函-3'!B2</f>
        <v>建筑面积</v>
      </c>
    </row>
    <row r="43" spans="1:2" s="1592" customFormat="1">
      <c r="A43" s="1590" t="s">
        <v>1285</v>
      </c>
      <c r="B43" s="1591">
        <f>'预评函-3'!B4</f>
        <v>35526.120000000024</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23877</v>
      </c>
    </row>
    <row r="48" spans="1:2" s="1592" customFormat="1">
      <c r="A48" s="1590" t="s">
        <v>1243</v>
      </c>
      <c r="B48" s="1591">
        <f ca="1">'预评函-3'!E4</f>
        <v>6721</v>
      </c>
    </row>
    <row r="49" spans="1:2" s="1592" customFormat="1">
      <c r="A49" s="1590" t="s">
        <v>1244</v>
      </c>
      <c r="B49" s="1591" t="str">
        <f ca="1">'预评函-3'!D5</f>
        <v>贰亿叁仟捌佰柒拾柒万元整</v>
      </c>
    </row>
    <row r="50" spans="1:2" s="1592" customFormat="1">
      <c r="A50" s="1590" t="s">
        <v>1268</v>
      </c>
      <c r="B50" s="1591" t="str">
        <f>'预评函-3'!F2</f>
        <v>在建建筑物价值</v>
      </c>
    </row>
    <row r="51" spans="1:2" s="1592" customFormat="1">
      <c r="A51" s="1590" t="s">
        <v>1245</v>
      </c>
      <c r="B51" s="1591">
        <f ca="1">'预评函-3'!F4</f>
        <v>1390</v>
      </c>
    </row>
    <row r="52" spans="1:2" s="1592" customFormat="1">
      <c r="A52" s="1590" t="s">
        <v>1246</v>
      </c>
      <c r="B52" s="1591">
        <f ca="1">'预评函-3'!G4</f>
        <v>391</v>
      </c>
    </row>
    <row r="53" spans="1:2" s="1592" customFormat="1">
      <c r="A53" s="1590" t="s">
        <v>1274</v>
      </c>
      <c r="B53" s="1591" t="str">
        <f ca="1">'预评函-3'!F5</f>
        <v>壹仟叁佰玖拾万元整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90"/>
      <c r="B54" s="2021" t="s">
        <v>861</v>
      </c>
      <c r="C54" s="2018" t="s">
        <v>1277</v>
      </c>
    </row>
    <row r="55" spans="1:4">
      <c r="A55" s="3090"/>
      <c r="B55" s="2021" t="s">
        <v>862</v>
      </c>
      <c r="C55" s="2018" t="s">
        <v>1278</v>
      </c>
    </row>
    <row r="56" spans="1:4">
      <c r="A56" s="3090"/>
      <c r="B56" s="2021" t="s">
        <v>863</v>
      </c>
      <c r="C56" s="2018" t="s">
        <v>1282</v>
      </c>
    </row>
    <row r="57" spans="1:4">
      <c r="A57" s="309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91" t="str">
        <f>IF(B10="北京市","北京市",C10)&amp;F10&amp;IF(结果表!G1="在建","出让国有建设用地使用权及在建建筑物",IF(结果表!G1="土地","出让国有建设用地使用权",))&amp;B9&amp;"预评估"</f>
        <v>湖北省武汉市东西湖区泾河街金北一路以北、吴新干线以东“佳兆业·悦府”居住项目局部出让国有建设用地使用权及在建建筑物房地产抵押价值预评估</v>
      </c>
      <c r="C1" s="3092"/>
      <c r="D1" s="3092"/>
      <c r="E1" s="3092"/>
      <c r="F1" s="3092"/>
      <c r="G1" s="3092"/>
      <c r="H1" s="3092"/>
      <c r="I1" s="309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湖北省武汉市东西湖区泾河街金北一路以北、吴新干线以东“佳兆业·悦府”居住项目局部出让国有建设用地使用权及在建建筑物房地产抵押价值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湖北省武汉市东西湖区泾河街金北一路以北、吴新干线以东“佳兆业·悦府”居住项目局部出让国有建设用地使用权及在建建筑物房地产</v>
      </c>
    </row>
    <row r="3" spans="1:19" ht="18" customHeight="1">
      <c r="A3" s="2034" t="s">
        <v>1774</v>
      </c>
      <c r="B3" s="2035">
        <v>43601</v>
      </c>
      <c r="C3" s="2036" t="s">
        <v>1775</v>
      </c>
      <c r="D3" s="2035">
        <v>43601</v>
      </c>
      <c r="E3" s="2025"/>
      <c r="F3" s="2025"/>
      <c r="G3" s="2025"/>
      <c r="H3" s="2025"/>
      <c r="I3" s="2025"/>
      <c r="J3" s="2025"/>
      <c r="K3" s="2026"/>
      <c r="L3" s="2027"/>
      <c r="M3" s="2027"/>
      <c r="N3" s="2028"/>
      <c r="O3" s="2029"/>
      <c r="P3" s="2028"/>
      <c r="Q3" s="2028"/>
      <c r="R3" s="2028"/>
      <c r="S3" s="2030"/>
    </row>
    <row r="4" spans="1:19" ht="18" customHeight="1" thickBot="1">
      <c r="A4" s="2037" t="s">
        <v>1776</v>
      </c>
      <c r="B4" s="2038" t="s">
        <v>3160</v>
      </c>
      <c r="C4" s="1037">
        <f ca="1">SUMIF(注册房地产估价师,B4,估价师及机构信息!B3:B24)</f>
        <v>1120070131</v>
      </c>
      <c r="D4" s="2038" t="s">
        <v>3161</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1777</v>
      </c>
      <c r="B5" s="2044" t="str">
        <f>B6</f>
        <v>中诚信托有限责任公司</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60" t="s">
        <v>3168</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t="str">
        <f>C11</f>
        <v>金兆佳置业（武汉）有限公司</v>
      </c>
      <c r="C7" s="2048"/>
      <c r="D7" s="2049"/>
      <c r="E7" s="2033"/>
      <c r="F7" s="2041"/>
      <c r="G7" s="2041"/>
      <c r="H7" s="2041"/>
      <c r="I7" s="2041"/>
      <c r="J7" s="2041"/>
      <c r="K7" s="2052"/>
      <c r="L7" s="2027"/>
      <c r="M7" s="2027"/>
      <c r="N7" s="2028"/>
      <c r="O7" s="2029"/>
      <c r="P7" s="2028"/>
      <c r="Q7" s="2028"/>
      <c r="R7" s="2028"/>
    </row>
    <row r="8" spans="1:19" ht="18" customHeight="1">
      <c r="A8" s="2047" t="s">
        <v>1780</v>
      </c>
      <c r="B8" s="2053" t="s">
        <v>3165</v>
      </c>
      <c r="C8" s="2054"/>
      <c r="D8" s="3094" t="s">
        <v>1781</v>
      </c>
      <c r="E8" s="2055" t="s">
        <v>3164</v>
      </c>
      <c r="F8" s="2056"/>
      <c r="G8" s="2025"/>
      <c r="H8" s="2025"/>
      <c r="I8" s="2025"/>
      <c r="J8" s="2041"/>
      <c r="K8" s="2042"/>
      <c r="L8" s="2027"/>
      <c r="M8" s="2027"/>
      <c r="N8" s="2028"/>
      <c r="O8" s="2029"/>
      <c r="P8" s="2028"/>
      <c r="Q8" s="2028"/>
      <c r="R8" s="2028"/>
    </row>
    <row r="9" spans="1:19" ht="18" customHeight="1" thickBot="1">
      <c r="A9" s="2039" t="s">
        <v>1782</v>
      </c>
      <c r="B9" s="2057" t="s">
        <v>3164</v>
      </c>
      <c r="C9" s="2058"/>
      <c r="D9" s="3095"/>
      <c r="E9" s="2057" t="s">
        <v>70</v>
      </c>
      <c r="F9" s="2059"/>
      <c r="G9" s="2060"/>
      <c r="H9" s="2060"/>
      <c r="I9" s="2060"/>
      <c r="J9" s="2041"/>
      <c r="K9" s="2052"/>
      <c r="L9" s="2027"/>
      <c r="M9" s="2027"/>
      <c r="N9" s="2028"/>
      <c r="O9" s="2029"/>
      <c r="P9" s="2028"/>
      <c r="Q9" s="2028"/>
      <c r="R9" s="2028"/>
    </row>
    <row r="10" spans="1:19" ht="18" customHeight="1" thickTop="1">
      <c r="A10" s="2061" t="s">
        <v>1783</v>
      </c>
      <c r="B10" s="2062" t="s">
        <v>3162</v>
      </c>
      <c r="C10" s="2959" t="s">
        <v>3167</v>
      </c>
      <c r="D10" s="2046"/>
      <c r="E10" s="2063" t="s">
        <v>1784</v>
      </c>
      <c r="F10" s="2958" t="s">
        <v>3166</v>
      </c>
      <c r="G10" s="2064"/>
      <c r="H10" s="2065"/>
      <c r="I10" s="2046"/>
      <c r="J10" s="2041"/>
      <c r="K10" s="2052"/>
      <c r="L10" s="2027"/>
      <c r="M10" s="2027"/>
      <c r="N10" s="2028"/>
      <c r="O10" s="2029"/>
      <c r="P10" s="2028"/>
      <c r="Q10" s="2028"/>
      <c r="R10" s="2028"/>
    </row>
    <row r="11" spans="1:19" ht="18" customHeight="1">
      <c r="A11" s="2066" t="s">
        <v>1785</v>
      </c>
      <c r="B11" s="2067" t="s">
        <v>3163</v>
      </c>
      <c r="C11" s="2068" t="str">
        <f>不动产权证书!D3</f>
        <v>金兆佳置业（武汉）有限公司</v>
      </c>
      <c r="D11" s="2069"/>
      <c r="E11" s="2041"/>
      <c r="F11" s="2041"/>
      <c r="G11" s="2041"/>
      <c r="H11" s="2041"/>
      <c r="I11" s="2041"/>
      <c r="J11" s="2041"/>
      <c r="K11" s="2052"/>
      <c r="L11" s="2027"/>
      <c r="M11" s="2027"/>
      <c r="N11" s="2028"/>
      <c r="O11" s="2029"/>
      <c r="P11" s="2028"/>
      <c r="Q11" s="2028"/>
      <c r="R11" s="2028"/>
    </row>
    <row r="12" spans="1:19" ht="18" customHeight="1">
      <c r="A12" s="2070" t="s">
        <v>1786</v>
      </c>
      <c r="B12" s="2067" t="s">
        <v>3065</v>
      </c>
      <c r="C12" s="2071" t="s">
        <v>1787</v>
      </c>
      <c r="D12" s="2072" t="s">
        <v>1788</v>
      </c>
      <c r="E12" s="2072" t="s">
        <v>1789</v>
      </c>
      <c r="F12" s="2072" t="s">
        <v>1790</v>
      </c>
      <c r="G12" s="2072" t="s">
        <v>1791</v>
      </c>
      <c r="H12" s="2072" t="s">
        <v>1792</v>
      </c>
      <c r="I12" s="2072" t="s">
        <v>1793</v>
      </c>
      <c r="J12" s="2041"/>
      <c r="K12" s="2052"/>
      <c r="L12" s="2027"/>
      <c r="M12" s="2027"/>
      <c r="N12" s="2028"/>
      <c r="O12" s="2029"/>
      <c r="P12" s="2028"/>
      <c r="Q12" s="2028"/>
      <c r="R12" s="2028"/>
    </row>
    <row r="13" spans="1:19" ht="18" customHeight="1">
      <c r="A13" s="2073"/>
      <c r="B13" s="2074"/>
      <c r="C13" s="2075" t="s">
        <v>1794</v>
      </c>
      <c r="D13" s="2076">
        <v>68640</v>
      </c>
      <c r="E13" s="2076">
        <v>57683</v>
      </c>
      <c r="F13" s="2076"/>
      <c r="G13" s="2076">
        <v>61335</v>
      </c>
      <c r="H13" s="2076"/>
      <c r="I13" s="1047"/>
      <c r="J13" s="2041"/>
      <c r="K13" s="2052"/>
      <c r="L13" s="2027"/>
      <c r="M13" s="2027"/>
      <c r="N13" s="2028"/>
      <c r="O13" s="2029"/>
      <c r="P13" s="2028"/>
      <c r="Q13" s="2028"/>
      <c r="R13" s="2028"/>
    </row>
    <row r="14" spans="1:19" ht="18" customHeight="1">
      <c r="A14" s="2073"/>
      <c r="B14" s="2074"/>
      <c r="C14" s="2075" t="s">
        <v>1795</v>
      </c>
      <c r="D14" s="1050">
        <v>70</v>
      </c>
      <c r="E14" s="1050">
        <v>40</v>
      </c>
      <c r="F14" s="1050"/>
      <c r="G14" s="1050">
        <v>50</v>
      </c>
      <c r="H14" s="1050"/>
      <c r="I14" s="1050"/>
      <c r="J14" s="2041"/>
      <c r="K14" s="2077"/>
      <c r="L14" s="2027"/>
      <c r="M14" s="2027"/>
      <c r="N14" s="2028"/>
      <c r="O14" s="2029"/>
      <c r="P14" s="2028"/>
      <c r="Q14" s="2028"/>
      <c r="R14" s="2028"/>
    </row>
    <row r="15" spans="1:19" ht="18" customHeight="1">
      <c r="A15" s="2061"/>
      <c r="B15" s="2078"/>
      <c r="C15" s="2075" t="s">
        <v>1796</v>
      </c>
      <c r="D15" s="1049">
        <f>IF(B12="出让",IF(D13="","",ROUNDDOWN(MIN((D13-$D$3)/365,D14),2)),D14)</f>
        <v>68.599999999999994</v>
      </c>
      <c r="E15" s="1049">
        <f>IF(B12="出让",IF(E13="","",ROUNDDOWN(MIN((E13-$D$3)/365,E14),2)),E14)</f>
        <v>38.58</v>
      </c>
      <c r="F15" s="1049" t="str">
        <f>IF(B12="出让",IF(F13="","",ROUNDDOWN(MIN((F13-$D$3)/365,F14),2)),F14)</f>
        <v/>
      </c>
      <c r="G15" s="1049">
        <f>IF(B12="出让",IF(G13="","",ROUNDDOWN(MIN((G13-$D$3)/365,G14),2)),G14)</f>
        <v>48.58</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1797</v>
      </c>
      <c r="B16" s="3101" t="s">
        <v>3171</v>
      </c>
      <c r="C16" s="3102"/>
      <c r="D16" s="3103"/>
      <c r="E16" s="2082" t="s">
        <v>1798</v>
      </c>
      <c r="F16" s="3104" t="s">
        <v>3172</v>
      </c>
      <c r="G16" s="3105"/>
      <c r="H16" s="3105"/>
      <c r="I16" s="3106"/>
      <c r="J16" s="2028"/>
      <c r="K16" s="2079"/>
      <c r="L16" s="2080"/>
      <c r="M16" s="2080"/>
      <c r="N16" s="2081"/>
      <c r="O16" s="2080"/>
      <c r="P16" s="2081"/>
      <c r="Q16" s="2028"/>
      <c r="R16" s="2028"/>
    </row>
    <row r="17" spans="1:22" ht="18" customHeight="1">
      <c r="A17" s="2083" t="s">
        <v>1799</v>
      </c>
      <c r="B17" s="2034" t="s">
        <v>1800</v>
      </c>
      <c r="C17" s="1054">
        <f>'数据-汇总表'!E3</f>
        <v>35526.120000000024</v>
      </c>
      <c r="D17" s="2084" t="s">
        <v>1801</v>
      </c>
      <c r="E17" s="3107" t="s">
        <v>1802</v>
      </c>
      <c r="F17" s="3108"/>
      <c r="G17" s="3108"/>
      <c r="H17" s="3108"/>
      <c r="I17" s="3109"/>
      <c r="J17" s="2028"/>
      <c r="K17" s="2085"/>
      <c r="L17" s="2080"/>
      <c r="M17" s="2080"/>
      <c r="N17" s="2081"/>
      <c r="O17" s="2080"/>
      <c r="P17" s="2081"/>
      <c r="Q17" s="2028"/>
      <c r="R17" s="2028"/>
      <c r="S17" s="2028"/>
      <c r="T17" s="2028"/>
      <c r="U17" s="2028"/>
      <c r="V17" s="2028"/>
    </row>
    <row r="18" spans="1:22" ht="36" customHeight="1" thickBot="1">
      <c r="A18" s="2086" t="s">
        <v>70</v>
      </c>
      <c r="B18" s="2037" t="s">
        <v>1803</v>
      </c>
      <c r="C18" s="1444">
        <f>'数据-汇总表'!D3</f>
        <v>0</v>
      </c>
      <c r="D18" s="2087" t="s">
        <v>1801</v>
      </c>
      <c r="E18" s="3110" t="s">
        <v>1804</v>
      </c>
      <c r="F18" s="3111"/>
      <c r="G18" s="3111"/>
      <c r="H18" s="3111"/>
      <c r="I18" s="3112"/>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c r="D19" s="2089" t="s">
        <v>1807</v>
      </c>
      <c r="E19" s="2090"/>
      <c r="F19" s="2091" t="str">
        <f>IF(AND(C19="是",E19="否"),"是否提供他项权证或相关说明","")</f>
        <v/>
      </c>
      <c r="G19" s="2092"/>
      <c r="H19" s="2041"/>
      <c r="I19" s="2041"/>
      <c r="J19" s="2041"/>
      <c r="K19" s="2052"/>
      <c r="L19" s="2027"/>
      <c r="M19" s="2027"/>
      <c r="N19" s="2081"/>
      <c r="O19" s="2080"/>
      <c r="P19" s="2081"/>
      <c r="Q19" s="2028"/>
      <c r="R19" s="2028"/>
      <c r="S19" s="2028"/>
      <c r="T19" s="2028"/>
      <c r="U19" s="2028"/>
      <c r="V19" s="2028"/>
    </row>
    <row r="20" spans="1:22" ht="18" customHeight="1">
      <c r="A20" s="2093" t="s">
        <v>1808</v>
      </c>
      <c r="B20" s="3097" t="s">
        <v>1809</v>
      </c>
      <c r="C20" s="3098"/>
      <c r="D20" s="3099" t="s">
        <v>1810</v>
      </c>
      <c r="E20" s="3100"/>
      <c r="F20" s="2094" t="s">
        <v>1811</v>
      </c>
      <c r="G20" s="2041"/>
      <c r="H20" s="2041"/>
      <c r="I20" s="2041"/>
      <c r="J20" s="2041"/>
      <c r="K20" s="3096" t="s">
        <v>1812</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1"/>
      <c r="O20" s="2080"/>
      <c r="P20" s="2081"/>
      <c r="Q20" s="2028"/>
      <c r="R20" s="2028"/>
      <c r="S20" s="2028"/>
      <c r="T20" s="2028"/>
      <c r="U20" s="2028"/>
      <c r="V20" s="2028"/>
    </row>
    <row r="21" spans="1:22" ht="24.75" customHeight="1">
      <c r="A21" s="2093"/>
      <c r="B21" s="2095" t="s">
        <v>3173</v>
      </c>
      <c r="C21" s="2096" t="s">
        <v>1813</v>
      </c>
      <c r="D21" s="2097" t="s">
        <v>1814</v>
      </c>
      <c r="E21" s="2098" t="s">
        <v>1813</v>
      </c>
      <c r="F21" s="2099"/>
      <c r="G21" s="2041"/>
      <c r="H21" s="2041"/>
      <c r="I21" s="2041"/>
      <c r="J21" s="2041"/>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70</v>
      </c>
      <c r="C22" s="2096" t="s">
        <v>70</v>
      </c>
      <c r="D22" s="2025"/>
      <c r="E22" s="2025"/>
      <c r="F22" s="2101"/>
      <c r="G22" s="2041"/>
      <c r="H22" s="2041"/>
      <c r="I22" s="2041"/>
      <c r="J22" s="2041"/>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1815</v>
      </c>
      <c r="B23" s="183" t="s">
        <v>1816</v>
      </c>
      <c r="C23" s="2103"/>
      <c r="D23" s="2104" t="s">
        <v>1816</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1817</v>
      </c>
      <c r="C24" s="2108"/>
      <c r="D24" s="2102" t="s">
        <v>1817</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1818</v>
      </c>
      <c r="C25" s="2108"/>
      <c r="D25" s="2102" t="s">
        <v>1818</v>
      </c>
      <c r="E25" s="2109"/>
      <c r="F25" s="2101"/>
      <c r="G25" s="2041"/>
      <c r="H25" s="2041"/>
      <c r="I25" s="2041"/>
      <c r="J25" s="2041"/>
      <c r="K25" s="2052"/>
      <c r="L25" s="2027"/>
      <c r="M25" s="2027"/>
      <c r="N25" s="2081"/>
      <c r="O25" s="2080"/>
      <c r="P25" s="2081"/>
      <c r="Q25" s="2028"/>
      <c r="R25" s="2028"/>
      <c r="S25" s="2028"/>
      <c r="T25" s="2028"/>
      <c r="U25" s="2028"/>
      <c r="V25" s="2028"/>
    </row>
    <row r="26" spans="1:22" ht="18" customHeight="1" thickBot="1">
      <c r="A26" s="2110"/>
      <c r="B26" s="2111" t="s">
        <v>1819</v>
      </c>
      <c r="C26" s="2112"/>
      <c r="D26" s="2113" t="s">
        <v>1820</v>
      </c>
      <c r="E26" s="2114"/>
      <c r="F26" s="2115"/>
      <c r="G26" s="2060"/>
      <c r="H26" s="2060"/>
      <c r="I26" s="2060"/>
      <c r="J26" s="2041"/>
      <c r="K26" s="2052"/>
      <c r="L26" s="2027"/>
      <c r="M26" s="2027"/>
      <c r="N26" s="2081"/>
      <c r="O26" s="2080"/>
      <c r="P26" s="2081"/>
      <c r="Q26" s="2028"/>
      <c r="R26" s="2028"/>
      <c r="S26" s="2028"/>
      <c r="T26" s="2028"/>
      <c r="U26" s="2028"/>
      <c r="V26" s="2028"/>
    </row>
    <row r="27" spans="1:22" ht="18" customHeight="1" thickTop="1">
      <c r="A27" s="3114" t="s">
        <v>1821</v>
      </c>
      <c r="B27" s="2061" t="s">
        <v>1822</v>
      </c>
      <c r="C27" s="2116" t="s">
        <v>3174</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114"/>
      <c r="B28" s="2034" t="s">
        <v>1823</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114"/>
      <c r="B29" s="2034" t="s">
        <v>1824</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115"/>
      <c r="B30" s="2034" t="s">
        <v>1825</v>
      </c>
      <c r="C30" s="3116"/>
      <c r="D30" s="311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118" t="s">
        <v>1826</v>
      </c>
      <c r="B31" s="2123" t="s">
        <v>3175</v>
      </c>
      <c r="C31" s="2124" t="str">
        <f>IF(B31="现房","成新及维护状况正常否",IF(B31="在建","工程状态是否正常",IF(B31="土地","是否闲置","-")))</f>
        <v>工程状态是否正常</v>
      </c>
      <c r="D31" s="2125"/>
      <c r="E31" s="2961" t="s">
        <v>3176</v>
      </c>
      <c r="F31" s="2041"/>
      <c r="G31" s="2041"/>
      <c r="H31" s="2041"/>
      <c r="I31" s="2041"/>
      <c r="J31" s="2041"/>
      <c r="K31" s="2050"/>
      <c r="L31" s="2027"/>
      <c r="M31" s="2027"/>
      <c r="N31" s="2028"/>
      <c r="O31" s="2029"/>
      <c r="P31" s="2028"/>
      <c r="Q31" s="2028"/>
      <c r="R31" s="2028"/>
      <c r="S31" s="2028"/>
      <c r="T31" s="2028"/>
      <c r="U31" s="2028"/>
      <c r="V31" s="2028"/>
    </row>
    <row r="32" spans="1:22" ht="18" customHeight="1">
      <c r="A32" s="3119"/>
      <c r="B32" s="2123"/>
      <c r="C32" s="2124" t="str">
        <f>IF(B32="现房","成新及维护状况是否正常",IF(B32="在建","工程状态是否正常",IF(B32="土地","是否闲置","-")))</f>
        <v>-</v>
      </c>
      <c r="D32" s="2125"/>
      <c r="E32" s="2126"/>
      <c r="F32" s="2041"/>
      <c r="G32" s="2041"/>
      <c r="H32" s="2041"/>
      <c r="I32" s="2041"/>
      <c r="J32" s="2041"/>
      <c r="K32" s="2052"/>
      <c r="L32" s="2027"/>
      <c r="M32" s="2027"/>
      <c r="N32" s="2028"/>
      <c r="O32" s="2029"/>
      <c r="P32" s="2028"/>
      <c r="Q32" s="2028"/>
      <c r="R32" s="2028"/>
      <c r="S32" s="2028"/>
      <c r="T32" s="2028"/>
      <c r="U32" s="2028"/>
      <c r="V32" s="2028"/>
    </row>
    <row r="33" spans="1:22" ht="18" customHeight="1">
      <c r="A33" s="3119"/>
      <c r="B33" s="2127"/>
      <c r="C33" s="2066" t="str">
        <f>IF(B33="现房","成新及维护状况是否正常",IF(B33="在建","工程状态是否正常",IF(B33="土地","是否闲置","-")))</f>
        <v>-</v>
      </c>
      <c r="D33" s="2128"/>
      <c r="E33" s="2129"/>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0" t="s">
        <v>3177</v>
      </c>
      <c r="C34" s="2130" t="s">
        <v>3178</v>
      </c>
      <c r="D34" s="2130" t="s">
        <v>3179</v>
      </c>
      <c r="E34" s="2130" t="s">
        <v>3180</v>
      </c>
      <c r="F34" s="2130" t="s">
        <v>3181</v>
      </c>
      <c r="G34" s="2130" t="s">
        <v>3182</v>
      </c>
      <c r="H34" s="2130" t="s">
        <v>3183</v>
      </c>
      <c r="I34" s="2041"/>
      <c r="J34" s="2041"/>
      <c r="K34" s="1794">
        <f>COUNTIF(B34:H34,"——")</f>
        <v>0</v>
      </c>
      <c r="L34" s="2071" t="s">
        <v>1828</v>
      </c>
      <c r="M34" s="2071" t="s">
        <v>1829</v>
      </c>
      <c r="N34" s="2071" t="s">
        <v>1830</v>
      </c>
      <c r="O34" s="2071" t="s">
        <v>1831</v>
      </c>
      <c r="P34" s="2071" t="s">
        <v>1832</v>
      </c>
      <c r="Q34" s="2071" t="s">
        <v>1833</v>
      </c>
      <c r="R34" s="2071" t="s">
        <v>1834</v>
      </c>
      <c r="S34" s="3113" t="s">
        <v>1835</v>
      </c>
      <c r="T34" s="2131" t="str">
        <f>NUMBERSTRING(7-K34,1)&amp;"通"</f>
        <v>七通</v>
      </c>
      <c r="U34" s="2028"/>
      <c r="V34" s="2028"/>
    </row>
    <row r="35" spans="1:22" ht="18" customHeight="1">
      <c r="A35" s="2132"/>
      <c r="B35" s="3120" t="s">
        <v>1836</v>
      </c>
      <c r="C35" s="3120"/>
      <c r="D35" s="3120"/>
      <c r="E35" s="3120"/>
      <c r="F35" s="2133" t="str">
        <f>C10</f>
        <v>湖北省武汉市</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13"/>
      <c r="T35" s="48" t="str">
        <f>IF(T34="一通",L35,IF(T34="二通",M35,IF(T34="三通",N35,IF(T34="四通",O35,IF(T34="五通",P35,IF(T34="六通",Q35,R35))))))</f>
        <v>通路、通电、通讯、通上水、通下水、燃气、平整</v>
      </c>
      <c r="U35" s="2028"/>
      <c r="V35" s="2028"/>
    </row>
    <row r="36" spans="1:22" ht="18" customHeight="1">
      <c r="A36" s="2134"/>
      <c r="B36" s="2133" t="s">
        <v>1837</v>
      </c>
      <c r="C36" s="2133" t="s">
        <v>1838</v>
      </c>
      <c r="D36" s="2133" t="s">
        <v>1839</v>
      </c>
      <c r="E36" s="2133" t="s">
        <v>1840</v>
      </c>
      <c r="F36" s="2135"/>
      <c r="G36" s="2041"/>
      <c r="H36" s="2041"/>
      <c r="I36" s="2041"/>
      <c r="J36" s="2041"/>
      <c r="K36" s="2052"/>
      <c r="L36" s="2027"/>
      <c r="M36" s="2027"/>
      <c r="N36" s="2028"/>
      <c r="O36" s="2029"/>
      <c r="P36" s="2028"/>
      <c r="Q36" s="2028"/>
      <c r="R36" s="2028"/>
      <c r="S36" s="2028"/>
      <c r="T36" s="2028"/>
      <c r="U36" s="2028"/>
      <c r="V36" s="2028"/>
    </row>
    <row r="37" spans="1:22" ht="18" customHeight="1">
      <c r="A37" s="2136" t="s">
        <v>1841</v>
      </c>
      <c r="B37" s="2137"/>
      <c r="C37" s="2137"/>
      <c r="D37" s="2137"/>
      <c r="E37" s="2137"/>
      <c r="F37" s="2135"/>
      <c r="G37" s="2041"/>
      <c r="H37" s="2041"/>
      <c r="I37" s="2041"/>
      <c r="J37" s="2041"/>
      <c r="K37" s="2052"/>
      <c r="L37" s="2027"/>
      <c r="M37" s="2027"/>
      <c r="N37" s="2028"/>
      <c r="O37" s="2029"/>
      <c r="P37" s="2028"/>
      <c r="Q37" s="2028"/>
      <c r="R37" s="2028"/>
      <c r="S37" s="2028"/>
      <c r="T37" s="2028"/>
      <c r="U37" s="2028"/>
      <c r="V37" s="2028"/>
    </row>
    <row r="38" spans="1:22" ht="18" customHeight="1" thickBot="1">
      <c r="A38" s="2138" t="s">
        <v>1842</v>
      </c>
      <c r="B38" s="2139"/>
      <c r="C38" s="2139"/>
      <c r="D38" s="2139"/>
      <c r="E38" s="2139"/>
      <c r="F38" s="2140"/>
      <c r="G38" s="2060"/>
      <c r="H38" s="2060"/>
      <c r="I38" s="2060"/>
      <c r="J38" s="2041"/>
      <c r="K38" s="2052"/>
      <c r="L38" s="2027"/>
      <c r="M38" s="2027"/>
      <c r="N38" s="2028"/>
      <c r="O38" s="2029"/>
      <c r="P38" s="2028"/>
      <c r="Q38" s="2028"/>
      <c r="R38" s="2028"/>
      <c r="S38" s="2028"/>
      <c r="T38" s="2028"/>
      <c r="U38" s="2028"/>
      <c r="V38" s="2028"/>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1844</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1845</v>
      </c>
      <c r="B42" s="1794" t="s">
        <v>1846</v>
      </c>
      <c r="C42" s="1794" t="s">
        <v>1847</v>
      </c>
      <c r="D42" s="1794" t="s">
        <v>1848</v>
      </c>
      <c r="E42" s="1794" t="s">
        <v>1849</v>
      </c>
      <c r="F42" s="1794" t="s">
        <v>1850</v>
      </c>
      <c r="G42" s="1794" t="s">
        <v>1851</v>
      </c>
      <c r="H42" s="1794" t="s">
        <v>1852</v>
      </c>
      <c r="I42" s="1794" t="s">
        <v>1853</v>
      </c>
      <c r="J42" s="2149" t="s">
        <v>1854</v>
      </c>
      <c r="K42" s="2072" t="s">
        <v>1855</v>
      </c>
      <c r="L42" s="2072" t="s">
        <v>1856</v>
      </c>
      <c r="M42" s="2072" t="s">
        <v>1857</v>
      </c>
      <c r="N42" s="1794" t="s">
        <v>1858</v>
      </c>
      <c r="O42" s="1794" t="s">
        <v>1859</v>
      </c>
      <c r="P42" s="1794" t="s">
        <v>1860</v>
      </c>
      <c r="Q42" s="2071" t="s">
        <v>1861</v>
      </c>
      <c r="R42" s="2071" t="s">
        <v>1862</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Q22" sqref="Q2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1868</v>
      </c>
      <c r="AZ2" s="1270"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35526.120000000024</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2"/>
      <c r="C5" s="1802"/>
      <c r="D5" s="1805"/>
      <c r="E5" s="16" t="s">
        <v>1</v>
      </c>
      <c r="F5" s="16">
        <f>SUM(F13:F587)</f>
        <v>0</v>
      </c>
      <c r="G5" s="16">
        <f>SUM(G13:G587)</f>
        <v>35526.120000000024</v>
      </c>
      <c r="H5" s="16">
        <f t="shared" ref="H5:AT5" si="0">SUM(H13:H656)</f>
        <v>35526.120000000024</v>
      </c>
      <c r="I5" s="16">
        <f t="shared" si="0"/>
        <v>0</v>
      </c>
      <c r="J5" s="16">
        <f t="shared" si="0"/>
        <v>0</v>
      </c>
      <c r="K5" s="16">
        <f t="shared" si="0"/>
        <v>35526.120000000024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35526.120000000024</v>
      </c>
      <c r="BA5" s="18">
        <f t="shared" si="1"/>
        <v>35526.120000000024</v>
      </c>
      <c r="BB5" s="18">
        <f t="shared" si="1"/>
        <v>0</v>
      </c>
      <c r="BC5" s="18">
        <f t="shared" si="1"/>
        <v>35526.120000000024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1873</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1881</v>
      </c>
      <c r="AV7" s="23" t="s">
        <v>1882</v>
      </c>
      <c r="AW7" s="2163" t="s">
        <v>1883</v>
      </c>
      <c r="AX7" s="23" t="s">
        <v>1876</v>
      </c>
      <c r="AY7" s="1802"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17"/>
      <c r="K8" s="1817"/>
      <c r="L8" s="1817"/>
      <c r="M8" s="1817"/>
      <c r="N8" s="1817"/>
      <c r="O8" s="1817"/>
      <c r="P8" s="1817"/>
      <c r="Q8" s="1817"/>
      <c r="R8" s="1817"/>
      <c r="S8" s="1817"/>
      <c r="T8" s="1817"/>
      <c r="U8" s="1817"/>
      <c r="V8" s="2183"/>
      <c r="W8" s="1817"/>
      <c r="X8" s="1817"/>
      <c r="Y8" s="1817"/>
      <c r="Z8" s="1817"/>
      <c r="AA8" s="2183"/>
      <c r="AB8" s="2184"/>
      <c r="AC8" s="981" t="s">
        <v>1887</v>
      </c>
      <c r="AD8" s="2185"/>
      <c r="AE8" s="2177"/>
      <c r="AF8" s="1817"/>
      <c r="AG8" s="1817"/>
      <c r="AH8" s="1817"/>
      <c r="AI8" s="1817"/>
      <c r="AJ8" s="1817"/>
      <c r="AK8" s="1817"/>
      <c r="AL8" s="1817"/>
      <c r="AM8" s="1817"/>
      <c r="AN8" s="1817"/>
      <c r="AO8" s="1817"/>
      <c r="AP8" s="1817"/>
      <c r="AQ8" s="1817"/>
      <c r="AR8" s="1817"/>
      <c r="AS8" s="1817"/>
      <c r="AT8" s="1292" t="s">
        <v>1888</v>
      </c>
      <c r="AU8" s="2179" t="s">
        <v>1889</v>
      </c>
      <c r="AV8" s="1292"/>
      <c r="AW8" s="2162"/>
      <c r="AX8" s="1292"/>
      <c r="AY8" s="2163"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1892</v>
      </c>
      <c r="I9" s="2188" t="s">
        <v>5388</v>
      </c>
      <c r="J9" s="981"/>
      <c r="K9" s="2188" t="s">
        <v>5388</v>
      </c>
      <c r="L9" s="981"/>
      <c r="M9" s="2188" t="s">
        <v>5388</v>
      </c>
      <c r="N9" s="981"/>
      <c r="O9" s="2188"/>
      <c r="P9" s="981"/>
      <c r="Q9" s="2188"/>
      <c r="R9" s="981"/>
      <c r="S9" s="2188"/>
      <c r="T9" s="981"/>
      <c r="U9" s="2188"/>
      <c r="V9" s="981"/>
      <c r="W9" s="2188"/>
      <c r="X9" s="2189"/>
      <c r="Y9" s="2188"/>
      <c r="Z9" s="981"/>
      <c r="AA9" s="2188"/>
      <c r="AB9" s="981"/>
      <c r="AC9" s="2180"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0"/>
      <c r="AT9" s="2179"/>
      <c r="AU9" s="2179" t="s">
        <v>1895</v>
      </c>
      <c r="AV9" s="1292"/>
      <c r="AW9" s="2162"/>
      <c r="AX9" s="1292"/>
      <c r="AY9" s="28"/>
      <c r="AZ9" s="28" t="s">
        <v>1885</v>
      </c>
      <c r="BA9" s="2191" t="s">
        <v>1896</v>
      </c>
      <c r="BB9" s="2192"/>
      <c r="BC9" s="1338"/>
      <c r="BD9" s="1338"/>
      <c r="BE9" s="1338"/>
      <c r="BF9" s="1338"/>
      <c r="BG9" s="1338"/>
      <c r="BH9" s="1338"/>
      <c r="BI9" s="1338"/>
      <c r="BJ9" s="1338"/>
      <c r="BK9" s="2193"/>
      <c r="BL9" s="15" t="s">
        <v>1897</v>
      </c>
      <c r="BM9" s="1817"/>
      <c r="BN9" s="2182"/>
      <c r="BO9" s="1817"/>
      <c r="BP9" s="1817"/>
      <c r="BQ9" s="1817"/>
      <c r="BR9" s="1817"/>
      <c r="BS9" s="1817"/>
      <c r="BT9" s="26"/>
    </row>
    <row r="10" spans="1:72" s="2186" customFormat="1" ht="12.75">
      <c r="A10" s="2179"/>
      <c r="B10" s="2179"/>
      <c r="C10" s="2179"/>
      <c r="D10" s="2179"/>
      <c r="E10" s="2179"/>
      <c r="F10" s="2179"/>
      <c r="G10" s="1292"/>
      <c r="H10" s="28"/>
      <c r="I10" s="2188" t="s">
        <v>3242</v>
      </c>
      <c r="J10" s="981"/>
      <c r="K10" s="2194" t="s">
        <v>3242</v>
      </c>
      <c r="L10" s="981"/>
      <c r="M10" s="2194" t="s">
        <v>1373</v>
      </c>
      <c r="N10" s="981"/>
      <c r="O10" s="2194"/>
      <c r="P10" s="981"/>
      <c r="Q10" s="2194"/>
      <c r="R10" s="981"/>
      <c r="S10" s="2194"/>
      <c r="T10" s="981"/>
      <c r="U10" s="2194"/>
      <c r="V10" s="981"/>
      <c r="W10" s="2194"/>
      <c r="X10" s="981"/>
      <c r="Y10" s="2194"/>
      <c r="Z10" s="981"/>
      <c r="AA10" s="2194"/>
      <c r="AB10" s="981"/>
      <c r="AC10" s="1292"/>
      <c r="AD10" s="15" t="s">
        <v>1898</v>
      </c>
      <c r="AE10" s="2195"/>
      <c r="AF10" s="15" t="s">
        <v>1898</v>
      </c>
      <c r="AG10" s="2195"/>
      <c r="AH10" s="15" t="s">
        <v>1899</v>
      </c>
      <c r="AI10" s="2195"/>
      <c r="AJ10" s="15" t="s">
        <v>1899</v>
      </c>
      <c r="AK10" s="2195"/>
      <c r="AL10" s="15" t="s">
        <v>1900</v>
      </c>
      <c r="AM10" s="1298"/>
      <c r="AN10" s="15" t="s">
        <v>1900</v>
      </c>
      <c r="AO10" s="1298"/>
      <c r="AP10" s="15" t="s">
        <v>1901</v>
      </c>
      <c r="AQ10" s="1298"/>
      <c r="AR10" s="15" t="s">
        <v>1901</v>
      </c>
      <c r="AS10" s="1298"/>
      <c r="AT10" s="2179"/>
      <c r="AU10" s="2179"/>
      <c r="AV10" s="1292"/>
      <c r="AW10" s="2162"/>
      <c r="AX10" s="1292"/>
      <c r="AY10" s="28"/>
      <c r="AZ10" s="28"/>
      <c r="BA10" s="2196" t="s">
        <v>1892</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1902</v>
      </c>
      <c r="AE11" s="1818"/>
      <c r="AF11" s="2201" t="s">
        <v>1902</v>
      </c>
      <c r="AG11" s="1818"/>
      <c r="AH11" s="2201" t="s">
        <v>1903</v>
      </c>
      <c r="AI11" s="2202"/>
      <c r="AJ11" s="2201" t="s">
        <v>1903</v>
      </c>
      <c r="AK11" s="1818"/>
      <c r="AL11" s="1816"/>
      <c r="AM11" s="1818"/>
      <c r="AN11" s="1816"/>
      <c r="AO11" s="1818"/>
      <c r="AP11" s="1816"/>
      <c r="AQ11" s="1818"/>
      <c r="AR11" s="1816"/>
      <c r="AS11" s="1818"/>
      <c r="AT11" s="2162"/>
      <c r="AU11" s="2179"/>
      <c r="AV11" s="1292"/>
      <c r="AW11" s="2162"/>
      <c r="AX11" s="1292"/>
      <c r="AY11" s="28"/>
      <c r="AZ11" s="28"/>
      <c r="BA11" s="28"/>
      <c r="BB11" s="2184" t="str">
        <f>I10</f>
        <v>住宅</v>
      </c>
      <c r="BC11" s="2184" t="str">
        <f>K10</f>
        <v>住宅</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6"/>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3470</v>
      </c>
      <c r="E13" s="16">
        <f>IF($C$3="是",ROUND($A$3*G13/$B$3,2),ROUND($A$3*(G13-AT13)/$B$3,2))</f>
        <v>0</v>
      </c>
      <c r="F13" s="32"/>
      <c r="G13" s="33">
        <f>H13+AC13+AT13</f>
        <v>35526.120000000024</v>
      </c>
      <c r="H13" s="20">
        <f>SUMIF(I$12:AB$12,"总值",I13:AB13)</f>
        <v>35526.120000000024</v>
      </c>
      <c r="I13" s="2211">
        <f>项目情况汇总!S18</f>
        <v>0</v>
      </c>
      <c r="J13" s="2211"/>
      <c r="K13" s="2211">
        <f>项目情况汇总!T18</f>
        <v>35526.120000000024</v>
      </c>
      <c r="L13" s="2211"/>
      <c r="M13" s="2211">
        <f>项目情况汇总!U18</f>
        <v>0</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0</v>
      </c>
      <c r="AZ13" s="16">
        <f>BA13+BL13</f>
        <v>35526.120000000024</v>
      </c>
      <c r="BA13" s="16">
        <f>SUM(BB13:BK13)</f>
        <v>35526.120000000024</v>
      </c>
      <c r="BB13" s="16">
        <f>IF($D13="是",I13-J13,0)</f>
        <v>0</v>
      </c>
      <c r="BC13" s="16">
        <f>IF($D13="是",K13-L13,0)</f>
        <v>35526.120000000024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L6"/>
  <sheetViews>
    <sheetView workbookViewId="0">
      <selection activeCell="C4" sqref="C4"/>
    </sheetView>
  </sheetViews>
  <sheetFormatPr defaultRowHeight="13.5"/>
  <cols>
    <col min="1" max="1" width="2.5" style="2950" customWidth="1"/>
    <col min="2" max="2" width="5.5" style="2950" customWidth="1"/>
    <col min="3" max="3" width="16.75" style="2950" customWidth="1"/>
    <col min="4" max="4" width="13.5" style="2950" customWidth="1"/>
    <col min="5" max="5" width="9" style="2950"/>
    <col min="6" max="6" width="15.5" style="2950" customWidth="1"/>
    <col min="7" max="8" width="13.875" style="2950" customWidth="1"/>
    <col min="9" max="9" width="9" style="2950"/>
    <col min="10" max="10" width="10.375" style="2950" customWidth="1"/>
    <col min="11" max="11" width="9" style="2950"/>
    <col min="12" max="12" width="11.875" style="2950" customWidth="1"/>
    <col min="13" max="16384" width="9" style="2950"/>
  </cols>
  <sheetData>
    <row r="2" spans="2:12">
      <c r="B2" s="2954" t="s">
        <v>3049</v>
      </c>
      <c r="C2" s="2955" t="s">
        <v>3050</v>
      </c>
      <c r="D2" s="2955" t="s">
        <v>3051</v>
      </c>
      <c r="E2" s="2955" t="s">
        <v>3052</v>
      </c>
      <c r="F2" s="2955" t="s">
        <v>3053</v>
      </c>
      <c r="G2" s="2955" t="s">
        <v>3054</v>
      </c>
      <c r="H2" s="2955" t="s">
        <v>3055</v>
      </c>
      <c r="I2" s="2955" t="s">
        <v>3056</v>
      </c>
      <c r="J2" s="2955" t="s">
        <v>1371</v>
      </c>
      <c r="K2" s="2955" t="s">
        <v>3057</v>
      </c>
      <c r="L2" s="2955" t="s">
        <v>3058</v>
      </c>
    </row>
    <row r="3" spans="2:12" ht="27">
      <c r="B3" s="2954" t="s">
        <v>1037</v>
      </c>
      <c r="C3" s="2955" t="s">
        <v>3059</v>
      </c>
      <c r="D3" s="2955" t="s">
        <v>3060</v>
      </c>
      <c r="E3" s="2955" t="s">
        <v>3061</v>
      </c>
      <c r="F3" s="2955" t="s">
        <v>3062</v>
      </c>
      <c r="G3" s="2955" t="s">
        <v>3063</v>
      </c>
      <c r="H3" s="2955" t="s">
        <v>3064</v>
      </c>
      <c r="I3" s="2955" t="s">
        <v>3065</v>
      </c>
      <c r="J3" s="2955" t="s">
        <v>3066</v>
      </c>
      <c r="K3" s="2955">
        <v>19783.16</v>
      </c>
      <c r="L3" s="2955" t="s">
        <v>3067</v>
      </c>
    </row>
    <row r="4" spans="2:12" ht="27">
      <c r="B4" s="2954" t="s">
        <v>1038</v>
      </c>
      <c r="C4" s="2955" t="s">
        <v>3068</v>
      </c>
      <c r="D4" s="2955" t="s">
        <v>3060</v>
      </c>
      <c r="E4" s="2955" t="s">
        <v>3061</v>
      </c>
      <c r="F4" s="2955" t="s">
        <v>3062</v>
      </c>
      <c r="G4" s="2955" t="s">
        <v>3069</v>
      </c>
      <c r="H4" s="2955" t="s">
        <v>3064</v>
      </c>
      <c r="I4" s="2955" t="s">
        <v>3065</v>
      </c>
      <c r="J4" s="2955" t="s">
        <v>3066</v>
      </c>
      <c r="K4" s="2955">
        <v>75503.259999999995</v>
      </c>
      <c r="L4" s="2955" t="s">
        <v>3067</v>
      </c>
    </row>
    <row r="5" spans="2:12" ht="27">
      <c r="B5" s="2954" t="s">
        <v>1043</v>
      </c>
      <c r="C5" s="2955" t="s">
        <v>3070</v>
      </c>
      <c r="D5" s="2955" t="s">
        <v>3060</v>
      </c>
      <c r="E5" s="2955" t="s">
        <v>3061</v>
      </c>
      <c r="F5" s="2955" t="s">
        <v>3062</v>
      </c>
      <c r="G5" s="2955" t="s">
        <v>3071</v>
      </c>
      <c r="H5" s="2955" t="s">
        <v>3064</v>
      </c>
      <c r="I5" s="2955" t="s">
        <v>3065</v>
      </c>
      <c r="J5" s="2955" t="s">
        <v>3066</v>
      </c>
      <c r="K5" s="2955">
        <v>33252.89</v>
      </c>
      <c r="L5" s="2955" t="s">
        <v>3169</v>
      </c>
    </row>
    <row r="6" spans="2:12" s="2951" customFormat="1">
      <c r="B6" s="2956"/>
      <c r="C6" s="2957"/>
      <c r="D6" s="2957"/>
      <c r="E6" s="2957"/>
      <c r="F6" s="2957"/>
      <c r="G6" s="2957"/>
      <c r="H6" s="2957"/>
      <c r="I6" s="2957"/>
      <c r="J6" s="2957"/>
      <c r="K6" s="2957">
        <f>SUM(K3:K5)</f>
        <v>128539.31</v>
      </c>
      <c r="L6" s="2957"/>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D118"/>
  <sheetViews>
    <sheetView topLeftCell="C5" zoomScaleNormal="100" workbookViewId="0">
      <selection activeCell="V10" sqref="V10"/>
    </sheetView>
  </sheetViews>
  <sheetFormatPr defaultRowHeight="13.5"/>
  <cols>
    <col min="1" max="1" width="1.75" style="2994" customWidth="1"/>
    <col min="2" max="2" width="7.875" style="2994" customWidth="1"/>
    <col min="3" max="3" width="6.25" style="2994" customWidth="1"/>
    <col min="4" max="6" width="9.625" style="2994" customWidth="1"/>
    <col min="7" max="11" width="9" style="2994" hidden="1" customWidth="1"/>
    <col min="12" max="12" width="9" style="2994" customWidth="1"/>
    <col min="13" max="17" width="9" style="2994" hidden="1" customWidth="1"/>
    <col min="18" max="21" width="9" style="2994" customWidth="1"/>
    <col min="22" max="22" width="29.25" style="2995" customWidth="1"/>
    <col min="23" max="25" width="5.875" style="2995" customWidth="1"/>
    <col min="26" max="26" width="8" style="3011" customWidth="1"/>
    <col min="27" max="42" width="9" style="2997"/>
    <col min="43" max="56" width="9" style="2949"/>
    <col min="57" max="16384" width="9" style="2950"/>
  </cols>
  <sheetData>
    <row r="1" spans="1:56" ht="33" customHeight="1" thickBot="1">
      <c r="Z1" s="2994"/>
    </row>
    <row r="2" spans="1:56" ht="33" customHeight="1">
      <c r="B2" s="2998" t="s">
        <v>3072</v>
      </c>
      <c r="C2" s="2999"/>
      <c r="D2" s="3000"/>
      <c r="E2" s="3001"/>
      <c r="F2" s="3001"/>
      <c r="Z2" s="2994"/>
      <c r="AB2" s="2996"/>
    </row>
    <row r="3" spans="1:56" ht="33" customHeight="1">
      <c r="B3" s="3002" t="s">
        <v>3073</v>
      </c>
      <c r="C3" s="3003"/>
      <c r="D3" s="3004">
        <v>255960.36</v>
      </c>
      <c r="E3" s="3001"/>
      <c r="F3" s="3001"/>
      <c r="Z3" s="2994"/>
      <c r="AA3" s="2994"/>
      <c r="AB3" s="3005"/>
      <c r="AC3" s="3006"/>
    </row>
    <row r="4" spans="1:56" ht="33" customHeight="1" thickBot="1">
      <c r="B4" s="3007" t="s">
        <v>3074</v>
      </c>
      <c r="C4" s="3008"/>
      <c r="D4" s="3009"/>
      <c r="E4" s="3001"/>
      <c r="F4" s="3001"/>
      <c r="Z4" s="2994"/>
      <c r="AA4" s="2994"/>
      <c r="AB4" s="3005"/>
      <c r="AC4" s="3006"/>
    </row>
    <row r="5" spans="1:56" ht="33" customHeight="1">
      <c r="B5" s="3010"/>
      <c r="C5" s="3010"/>
      <c r="D5" s="3010"/>
      <c r="E5" s="3001"/>
      <c r="F5" s="3001"/>
      <c r="Z5" s="2994"/>
    </row>
    <row r="6" spans="1:56" ht="33" customHeight="1">
      <c r="B6" s="3010"/>
      <c r="C6" s="3010"/>
      <c r="D6" s="3010"/>
      <c r="E6" s="3001"/>
      <c r="F6" s="3001"/>
      <c r="Z6" s="2994"/>
    </row>
    <row r="7" spans="1:56" ht="33" customHeight="1">
      <c r="Z7" s="2994"/>
    </row>
    <row r="8" spans="1:56" s="2990" customFormat="1" ht="30" customHeight="1">
      <c r="A8" s="3011"/>
      <c r="B8" s="3123" t="s">
        <v>3075</v>
      </c>
      <c r="C8" s="3012" t="s">
        <v>3076</v>
      </c>
      <c r="D8" s="3123" t="s">
        <v>3077</v>
      </c>
      <c r="E8" s="3123"/>
      <c r="F8" s="3123"/>
      <c r="G8" s="3123" t="s">
        <v>3078</v>
      </c>
      <c r="H8" s="3123"/>
      <c r="I8" s="3123"/>
      <c r="J8" s="3123"/>
      <c r="K8" s="3123"/>
      <c r="L8" s="3123" t="s">
        <v>3079</v>
      </c>
      <c r="M8" s="3123"/>
      <c r="N8" s="3123"/>
      <c r="O8" s="3123"/>
      <c r="P8" s="3123"/>
      <c r="Q8" s="3123"/>
      <c r="R8" s="3127" t="s">
        <v>5390</v>
      </c>
      <c r="S8" s="3128"/>
      <c r="T8" s="3128"/>
      <c r="U8" s="3129"/>
      <c r="V8" s="3125" t="s">
        <v>3080</v>
      </c>
      <c r="W8" s="3126"/>
      <c r="X8" s="3046" t="s">
        <v>5519</v>
      </c>
      <c r="Y8" s="3046"/>
      <c r="Z8" s="3123" t="s">
        <v>3081</v>
      </c>
      <c r="AA8" s="3013"/>
      <c r="AB8" s="3013"/>
      <c r="AC8" s="3013"/>
      <c r="AD8" s="3013"/>
      <c r="AE8" s="3013"/>
      <c r="AF8" s="3013"/>
      <c r="AG8" s="3013"/>
      <c r="AH8" s="3013"/>
      <c r="AI8" s="3013"/>
      <c r="AJ8" s="3013"/>
      <c r="AK8" s="3013"/>
      <c r="AL8" s="3013"/>
      <c r="AM8" s="3013"/>
      <c r="AN8" s="3013"/>
      <c r="AO8" s="3013"/>
      <c r="AP8" s="3013"/>
      <c r="AQ8" s="2989"/>
      <c r="AR8" s="2989"/>
      <c r="AS8" s="2989"/>
      <c r="AT8" s="2989"/>
      <c r="AU8" s="2989"/>
      <c r="AV8" s="2989"/>
      <c r="AW8" s="2989"/>
      <c r="AX8" s="2989"/>
      <c r="AY8" s="2989"/>
      <c r="AZ8" s="2989"/>
      <c r="BA8" s="2989"/>
      <c r="BB8" s="2989"/>
      <c r="BC8" s="2989"/>
      <c r="BD8" s="2989"/>
    </row>
    <row r="9" spans="1:56" s="2990" customFormat="1" ht="30" customHeight="1">
      <c r="A9" s="3011"/>
      <c r="B9" s="3123"/>
      <c r="C9" s="3012" t="s">
        <v>5391</v>
      </c>
      <c r="D9" s="3012" t="s">
        <v>3082</v>
      </c>
      <c r="E9" s="3012" t="s">
        <v>3083</v>
      </c>
      <c r="F9" s="3012" t="s">
        <v>3084</v>
      </c>
      <c r="G9" s="3012" t="s">
        <v>3085</v>
      </c>
      <c r="H9" s="3012" t="s">
        <v>3086</v>
      </c>
      <c r="I9" s="3012" t="s">
        <v>3087</v>
      </c>
      <c r="J9" s="3012" t="s">
        <v>3088</v>
      </c>
      <c r="K9" s="3012" t="s">
        <v>3089</v>
      </c>
      <c r="L9" s="3012" t="s">
        <v>3085</v>
      </c>
      <c r="M9" s="3012" t="s">
        <v>3086</v>
      </c>
      <c r="N9" s="3012" t="s">
        <v>3087</v>
      </c>
      <c r="O9" s="3012" t="s">
        <v>3090</v>
      </c>
      <c r="P9" s="3012" t="s">
        <v>3091</v>
      </c>
      <c r="Q9" s="3012" t="s">
        <v>3092</v>
      </c>
      <c r="R9" s="3022" t="s">
        <v>5392</v>
      </c>
      <c r="S9" s="3022" t="s">
        <v>5383</v>
      </c>
      <c r="T9" s="3022" t="s">
        <v>5384</v>
      </c>
      <c r="U9" s="3022" t="s">
        <v>5385</v>
      </c>
      <c r="V9" s="3012" t="s">
        <v>5387</v>
      </c>
      <c r="W9" s="3012" t="s">
        <v>5389</v>
      </c>
      <c r="X9" s="3044"/>
      <c r="Y9" s="3044"/>
      <c r="Z9" s="3123"/>
      <c r="AA9" s="3013"/>
      <c r="AB9" s="3013"/>
      <c r="AC9" s="3013"/>
      <c r="AD9" s="3013"/>
      <c r="AE9" s="3013"/>
      <c r="AF9" s="3013"/>
      <c r="AG9" s="3013"/>
      <c r="AH9" s="3013"/>
      <c r="AI9" s="3013"/>
      <c r="AJ9" s="3013"/>
      <c r="AK9" s="3013"/>
      <c r="AL9" s="3013"/>
      <c r="AM9" s="3013"/>
      <c r="AN9" s="3013"/>
      <c r="AO9" s="3013"/>
      <c r="AP9" s="3013"/>
      <c r="AQ9" s="2989"/>
      <c r="AR9" s="2989"/>
      <c r="AS9" s="2989"/>
      <c r="AT9" s="2989"/>
      <c r="AU9" s="2989"/>
      <c r="AV9" s="2989"/>
      <c r="AW9" s="2989"/>
      <c r="AX9" s="2989"/>
      <c r="AY9" s="2989"/>
      <c r="AZ9" s="2989"/>
      <c r="BA9" s="2989"/>
      <c r="BB9" s="2989"/>
      <c r="BC9" s="2989"/>
      <c r="BD9" s="2989"/>
    </row>
    <row r="10" spans="1:56" ht="41.25" customHeight="1">
      <c r="B10" s="3003" t="s">
        <v>3093</v>
      </c>
      <c r="C10" s="3003">
        <v>19</v>
      </c>
      <c r="D10" s="3124" t="str">
        <f>不动产权证书!C3</f>
        <v>鄂（2018）武汉市东西湖不动产权第0000711号</v>
      </c>
      <c r="E10" s="3124" t="str">
        <f>不动产权证书!G3</f>
        <v>420112409001GB00004W00000000</v>
      </c>
      <c r="F10" s="3124">
        <f>不动产权证书!K3</f>
        <v>19783.16</v>
      </c>
      <c r="G10" s="3003">
        <f>SUM(H10:K10)</f>
        <v>8187.41</v>
      </c>
      <c r="H10" s="3003">
        <v>8187.41</v>
      </c>
      <c r="I10" s="3003"/>
      <c r="J10" s="3003"/>
      <c r="K10" s="3003"/>
      <c r="L10" s="3003">
        <f t="shared" ref="L10:L17" si="0">SUM(M10:Q10)</f>
        <v>8205.7199999999993</v>
      </c>
      <c r="M10" s="3003">
        <v>8205.7199999999993</v>
      </c>
      <c r="N10" s="3003"/>
      <c r="O10" s="3003"/>
      <c r="P10" s="3003"/>
      <c r="Q10" s="3003"/>
      <c r="R10" s="3023">
        <f>SUM(S10:U10)</f>
        <v>128.34</v>
      </c>
      <c r="S10" s="3024"/>
      <c r="T10" s="3024">
        <f>楼盘表!K1860</f>
        <v>128.34</v>
      </c>
      <c r="U10" s="3023"/>
      <c r="V10" s="3003" t="s">
        <v>3094</v>
      </c>
      <c r="W10" s="3003">
        <v>12</v>
      </c>
      <c r="X10" s="3045">
        <f>(W10+2)/(2+C10)</f>
        <v>0.66666666666666663</v>
      </c>
      <c r="Y10" s="3045">
        <f>L10*X10</f>
        <v>5470.48</v>
      </c>
      <c r="Z10" s="3012">
        <v>10000</v>
      </c>
    </row>
    <row r="11" spans="1:56" ht="41.25" customHeight="1">
      <c r="B11" s="3003" t="s">
        <v>3095</v>
      </c>
      <c r="C11" s="3003">
        <v>19</v>
      </c>
      <c r="D11" s="3124"/>
      <c r="E11" s="3124"/>
      <c r="F11" s="3124"/>
      <c r="G11" s="3003">
        <f t="shared" ref="G11:G17" si="1">SUM(H11:K11)</f>
        <v>8187.41</v>
      </c>
      <c r="H11" s="3003">
        <v>8187.41</v>
      </c>
      <c r="I11" s="3003"/>
      <c r="J11" s="3003"/>
      <c r="K11" s="3003"/>
      <c r="L11" s="3003">
        <f t="shared" si="0"/>
        <v>8205.7199999999993</v>
      </c>
      <c r="M11" s="3003">
        <v>8205.7199999999993</v>
      </c>
      <c r="N11" s="3003"/>
      <c r="O11" s="3003"/>
      <c r="P11" s="3003"/>
      <c r="Q11" s="3003"/>
      <c r="R11" s="3023">
        <f t="shared" ref="R11:R17" si="2">SUM(S11:U11)</f>
        <v>8205.7199999999921</v>
      </c>
      <c r="S11" s="3023"/>
      <c r="T11" s="3024">
        <f>楼盘表!K1525</f>
        <v>8205.7199999999921</v>
      </c>
      <c r="U11" s="3023"/>
      <c r="V11" s="3003" t="s">
        <v>3096</v>
      </c>
      <c r="W11" s="3003">
        <v>0</v>
      </c>
      <c r="X11" s="3045">
        <f>(W11+2)/(2+C11)</f>
        <v>9.5238095238095233E-2</v>
      </c>
      <c r="Y11" s="3045">
        <f>L11*X11</f>
        <v>781.49714285714276</v>
      </c>
      <c r="Z11" s="3012"/>
    </row>
    <row r="12" spans="1:56" ht="41.25" customHeight="1">
      <c r="B12" s="3003" t="s">
        <v>3097</v>
      </c>
      <c r="C12" s="3003">
        <v>21</v>
      </c>
      <c r="D12" s="3124"/>
      <c r="E12" s="3124"/>
      <c r="F12" s="3124"/>
      <c r="G12" s="3003">
        <f t="shared" si="1"/>
        <v>9041.06</v>
      </c>
      <c r="H12" s="3003">
        <v>9041.06</v>
      </c>
      <c r="I12" s="3003"/>
      <c r="J12" s="3003"/>
      <c r="K12" s="3003"/>
      <c r="L12" s="3003">
        <f t="shared" si="0"/>
        <v>9064.02</v>
      </c>
      <c r="M12" s="3003">
        <v>9064.02</v>
      </c>
      <c r="N12" s="3003"/>
      <c r="O12" s="3003"/>
      <c r="P12" s="3003"/>
      <c r="Q12" s="3003"/>
      <c r="R12" s="3023">
        <f t="shared" si="2"/>
        <v>9064.0200000000095</v>
      </c>
      <c r="S12" s="3023"/>
      <c r="T12" s="3024">
        <f>楼盘表!K1610</f>
        <v>9064.0200000000095</v>
      </c>
      <c r="U12" s="3023"/>
      <c r="V12" s="3003" t="s">
        <v>3098</v>
      </c>
      <c r="W12" s="3003">
        <v>8</v>
      </c>
      <c r="X12" s="3045">
        <f>(W12+2)/(2+C12)</f>
        <v>0.43478260869565216</v>
      </c>
      <c r="Y12" s="3045">
        <f>L12*X12</f>
        <v>3940.8782608695651</v>
      </c>
      <c r="Z12" s="3012">
        <v>10386</v>
      </c>
    </row>
    <row r="13" spans="1:56" ht="41.25" customHeight="1">
      <c r="B13" s="3003" t="s">
        <v>3099</v>
      </c>
      <c r="C13" s="3003">
        <v>21</v>
      </c>
      <c r="D13" s="3124"/>
      <c r="E13" s="3124"/>
      <c r="F13" s="3124"/>
      <c r="G13" s="3003">
        <f>SUM(H13:K13)</f>
        <v>9042.5</v>
      </c>
      <c r="H13" s="3003">
        <v>9042.5</v>
      </c>
      <c r="I13" s="3003"/>
      <c r="J13" s="3003"/>
      <c r="K13" s="3003"/>
      <c r="L13" s="3003">
        <f t="shared" si="0"/>
        <v>9064.02</v>
      </c>
      <c r="M13" s="3003">
        <v>9064.02</v>
      </c>
      <c r="N13" s="3003"/>
      <c r="O13" s="3003"/>
      <c r="P13" s="3003"/>
      <c r="Q13" s="3003"/>
      <c r="R13" s="3023">
        <f t="shared" si="2"/>
        <v>9064.0200000000095</v>
      </c>
      <c r="S13" s="3023"/>
      <c r="T13" s="3024">
        <f>楼盘表!K1695</f>
        <v>9064.0200000000095</v>
      </c>
      <c r="U13" s="3023"/>
      <c r="V13" s="3003" t="s">
        <v>3100</v>
      </c>
      <c r="W13" s="3003">
        <v>2</v>
      </c>
      <c r="X13" s="3045">
        <f>(W13+2)/(2+C13)</f>
        <v>0.17391304347826086</v>
      </c>
      <c r="Y13" s="3045">
        <f>L13*X13</f>
        <v>1576.351304347826</v>
      </c>
      <c r="Z13" s="3012"/>
    </row>
    <row r="14" spans="1:56" ht="41.25" customHeight="1">
      <c r="B14" s="3003" t="s">
        <v>3101</v>
      </c>
      <c r="C14" s="3003">
        <v>21</v>
      </c>
      <c r="D14" s="3124"/>
      <c r="E14" s="3124"/>
      <c r="F14" s="3124"/>
      <c r="G14" s="3003">
        <f>SUM(H14:K14)</f>
        <v>9042.01</v>
      </c>
      <c r="H14" s="3003">
        <v>9042.01</v>
      </c>
      <c r="I14" s="3003"/>
      <c r="J14" s="3003"/>
      <c r="K14" s="3003"/>
      <c r="L14" s="3003">
        <f t="shared" si="0"/>
        <v>9064.02</v>
      </c>
      <c r="M14" s="3003">
        <v>9064.02</v>
      </c>
      <c r="N14" s="3003"/>
      <c r="O14" s="3003"/>
      <c r="P14" s="3003"/>
      <c r="Q14" s="3003"/>
      <c r="R14" s="3023">
        <f t="shared" si="2"/>
        <v>9064.0200000000095</v>
      </c>
      <c r="S14" s="3023"/>
      <c r="T14" s="3024">
        <f>楼盘表!K1780</f>
        <v>9064.0200000000095</v>
      </c>
      <c r="U14" s="3023" t="s">
        <v>5512</v>
      </c>
      <c r="V14" s="3003" t="s">
        <v>3102</v>
      </c>
      <c r="W14" s="3003">
        <v>0</v>
      </c>
      <c r="X14" s="3045">
        <f>(W14+2)/(2+C14)</f>
        <v>8.6956521739130432E-2</v>
      </c>
      <c r="Y14" s="3045">
        <f>L14*X14</f>
        <v>788.17565217391302</v>
      </c>
      <c r="Z14" s="3012"/>
    </row>
    <row r="15" spans="1:56" ht="41.25" customHeight="1">
      <c r="B15" s="3003" t="s">
        <v>3103</v>
      </c>
      <c r="C15" s="3003">
        <v>1</v>
      </c>
      <c r="D15" s="3124"/>
      <c r="E15" s="3124"/>
      <c r="F15" s="3124"/>
      <c r="G15" s="3003">
        <f>SUM(H15:K15)</f>
        <v>100.04</v>
      </c>
      <c r="H15" s="3003"/>
      <c r="I15" s="3003"/>
      <c r="J15" s="3003">
        <v>100.04</v>
      </c>
      <c r="K15" s="3003"/>
      <c r="L15" s="3003">
        <f t="shared" si="0"/>
        <v>0</v>
      </c>
      <c r="M15" s="3003"/>
      <c r="N15" s="3003"/>
      <c r="O15" s="3003"/>
      <c r="P15" s="3003"/>
      <c r="Q15" s="3003"/>
      <c r="R15" s="3023">
        <f t="shared" si="2"/>
        <v>0</v>
      </c>
      <c r="S15" s="3023"/>
      <c r="T15" s="3023"/>
      <c r="U15" s="3023"/>
      <c r="V15" s="3003"/>
      <c r="W15" s="3003"/>
      <c r="X15" s="3045"/>
      <c r="Y15" s="3045"/>
      <c r="Z15" s="3012"/>
    </row>
    <row r="16" spans="1:56" ht="41.25" customHeight="1">
      <c r="B16" s="3003" t="s">
        <v>3104</v>
      </c>
      <c r="C16" s="3003">
        <v>1</v>
      </c>
      <c r="D16" s="3124"/>
      <c r="E16" s="3124"/>
      <c r="F16" s="3124"/>
      <c r="G16" s="3003">
        <f t="shared" si="1"/>
        <v>100.04</v>
      </c>
      <c r="H16" s="3003"/>
      <c r="I16" s="3003"/>
      <c r="J16" s="3003">
        <v>100.04</v>
      </c>
      <c r="K16" s="3003"/>
      <c r="L16" s="3003">
        <f t="shared" si="0"/>
        <v>0</v>
      </c>
      <c r="M16" s="3003"/>
      <c r="N16" s="3003"/>
      <c r="O16" s="3003"/>
      <c r="P16" s="3003"/>
      <c r="Q16" s="3003"/>
      <c r="R16" s="3023">
        <f t="shared" si="2"/>
        <v>0</v>
      </c>
      <c r="S16" s="3023"/>
      <c r="T16" s="3023"/>
      <c r="U16" s="3023"/>
      <c r="V16" s="3003"/>
      <c r="W16" s="3003"/>
      <c r="X16" s="3045"/>
      <c r="Y16" s="3045"/>
      <c r="Z16" s="3012"/>
    </row>
    <row r="17" spans="1:56" ht="41.25" customHeight="1">
      <c r="B17" s="3003" t="s">
        <v>3105</v>
      </c>
      <c r="C17" s="3003">
        <v>1</v>
      </c>
      <c r="D17" s="3124"/>
      <c r="E17" s="3124"/>
      <c r="F17" s="3124"/>
      <c r="G17" s="3003">
        <f t="shared" si="1"/>
        <v>15.54</v>
      </c>
      <c r="H17" s="3003"/>
      <c r="I17" s="3003"/>
      <c r="J17" s="3003">
        <v>15.54</v>
      </c>
      <c r="K17" s="3003"/>
      <c r="L17" s="3003">
        <f t="shared" si="0"/>
        <v>0</v>
      </c>
      <c r="M17" s="3003"/>
      <c r="N17" s="3003"/>
      <c r="O17" s="3003"/>
      <c r="P17" s="3003"/>
      <c r="Q17" s="3003"/>
      <c r="R17" s="3023">
        <f t="shared" si="2"/>
        <v>0</v>
      </c>
      <c r="S17" s="3023"/>
      <c r="T17" s="3023"/>
      <c r="U17" s="3023"/>
      <c r="V17" s="3003"/>
      <c r="W17" s="3003"/>
      <c r="X17" s="3045"/>
      <c r="Y17" s="3045"/>
      <c r="Z17" s="3012"/>
    </row>
    <row r="18" spans="1:56" s="3030" customFormat="1" ht="41.25" customHeight="1">
      <c r="A18" s="3025"/>
      <c r="B18" s="3026" t="s">
        <v>3106</v>
      </c>
      <c r="C18" s="3026"/>
      <c r="D18" s="3026"/>
      <c r="E18" s="3026"/>
      <c r="F18" s="3026">
        <f>ROUND(SUM(H18:J18)/F10,2)</f>
        <v>2.21</v>
      </c>
      <c r="G18" s="3026">
        <f>SUM(G10:G17)</f>
        <v>43716.01</v>
      </c>
      <c r="H18" s="3026">
        <f t="shared" ref="H18:U18" si="3">SUM(H10:H17)</f>
        <v>43500.39</v>
      </c>
      <c r="I18" s="3026">
        <f t="shared" si="3"/>
        <v>0</v>
      </c>
      <c r="J18" s="3026">
        <f t="shared" si="3"/>
        <v>215.62</v>
      </c>
      <c r="K18" s="3026">
        <f t="shared" si="3"/>
        <v>0</v>
      </c>
      <c r="L18" s="3026">
        <f t="shared" si="3"/>
        <v>43603.5</v>
      </c>
      <c r="M18" s="3026">
        <f t="shared" si="3"/>
        <v>43603.5</v>
      </c>
      <c r="N18" s="3026">
        <f t="shared" si="3"/>
        <v>0</v>
      </c>
      <c r="O18" s="3026">
        <f t="shared" si="3"/>
        <v>0</v>
      </c>
      <c r="P18" s="3026">
        <f t="shared" si="3"/>
        <v>0</v>
      </c>
      <c r="Q18" s="3026">
        <f t="shared" si="3"/>
        <v>0</v>
      </c>
      <c r="R18" s="3026">
        <f t="shared" si="3"/>
        <v>35526.120000000024</v>
      </c>
      <c r="S18" s="3026">
        <f t="shared" si="3"/>
        <v>0</v>
      </c>
      <c r="T18" s="3026">
        <f t="shared" si="3"/>
        <v>35526.120000000024</v>
      </c>
      <c r="U18" s="3026">
        <f t="shared" si="3"/>
        <v>0</v>
      </c>
      <c r="V18" s="3026"/>
      <c r="W18" s="3026"/>
      <c r="X18" s="3026">
        <f>Y18/L18*('数据-取费表'!L23/'数据-取费表'!N23)*0.6</f>
        <v>0.11519609536159663</v>
      </c>
      <c r="Y18" s="3026">
        <f>SUM(Y10:Y17)</f>
        <v>12557.382360248446</v>
      </c>
      <c r="Z18" s="3027"/>
      <c r="AA18" s="3028"/>
      <c r="AB18" s="3028"/>
      <c r="AC18" s="3028"/>
      <c r="AD18" s="3028"/>
      <c r="AE18" s="3028"/>
      <c r="AF18" s="3028"/>
      <c r="AG18" s="3028"/>
      <c r="AH18" s="3028"/>
      <c r="AI18" s="3028"/>
      <c r="AJ18" s="3028"/>
      <c r="AK18" s="3028"/>
      <c r="AL18" s="3028"/>
      <c r="AM18" s="3028"/>
      <c r="AN18" s="3028"/>
      <c r="AO18" s="3028"/>
      <c r="AP18" s="3028"/>
      <c r="AQ18" s="3029"/>
      <c r="AR18" s="3029"/>
      <c r="AS18" s="3029"/>
      <c r="AT18" s="3029"/>
      <c r="AU18" s="3029"/>
      <c r="AV18" s="3029"/>
      <c r="AW18" s="3029"/>
      <c r="AX18" s="3029"/>
      <c r="AY18" s="3029"/>
      <c r="AZ18" s="3029"/>
      <c r="BA18" s="3029"/>
      <c r="BB18" s="3029"/>
      <c r="BC18" s="3029"/>
      <c r="BD18" s="3029"/>
    </row>
    <row r="19" spans="1:56" s="2949" customFormat="1" ht="41.25" customHeight="1">
      <c r="A19" s="2994"/>
      <c r="B19" s="3003" t="s">
        <v>3107</v>
      </c>
      <c r="C19" s="3003">
        <v>7</v>
      </c>
      <c r="D19" s="3124" t="str">
        <f>不动产权证书!C4</f>
        <v>鄂（2018）武汉市东西湖不动产权第0000710号</v>
      </c>
      <c r="E19" s="3124" t="str">
        <f>不动产权证书!G4</f>
        <v>420112409001GB00005W00000000</v>
      </c>
      <c r="F19" s="3124">
        <f>不动产权证书!K4</f>
        <v>75503.259999999995</v>
      </c>
      <c r="G19" s="3003">
        <f>SUM(H19:K19)</f>
        <v>3185.43</v>
      </c>
      <c r="H19" s="3003">
        <v>3185.43</v>
      </c>
      <c r="I19" s="3003"/>
      <c r="J19" s="3003"/>
      <c r="K19" s="3003"/>
      <c r="L19" s="3003">
        <f t="shared" ref="L19:L41" si="4">SUM(M19:Q19)</f>
        <v>3156.68</v>
      </c>
      <c r="M19" s="3003">
        <v>3138.64</v>
      </c>
      <c r="N19" s="3003"/>
      <c r="O19" s="3003"/>
      <c r="P19" s="3003"/>
      <c r="Q19" s="3003">
        <v>18.04</v>
      </c>
      <c r="R19" s="3024">
        <f>SUM(S19:U19)</f>
        <v>3138.639999999999</v>
      </c>
      <c r="S19" s="3024">
        <f>楼盘表!K27</f>
        <v>3138.639999999999</v>
      </c>
      <c r="T19" s="3023"/>
      <c r="U19" s="3023"/>
      <c r="V19" s="3003"/>
      <c r="W19" s="3003"/>
      <c r="X19" s="3045"/>
      <c r="Y19" s="3045"/>
      <c r="Z19" s="3012"/>
      <c r="AA19" s="2997"/>
      <c r="AB19" s="2997"/>
      <c r="AC19" s="2997"/>
      <c r="AD19" s="2997"/>
      <c r="AE19" s="2997"/>
      <c r="AF19" s="2997"/>
      <c r="AG19" s="2997"/>
      <c r="AH19" s="2997"/>
      <c r="AI19" s="2997"/>
      <c r="AJ19" s="2997"/>
      <c r="AK19" s="2997"/>
      <c r="AL19" s="2997"/>
      <c r="AM19" s="2997"/>
      <c r="AN19" s="2997"/>
      <c r="AO19" s="2997"/>
      <c r="AP19" s="2997"/>
    </row>
    <row r="20" spans="1:56" s="2949" customFormat="1" ht="41.25" customHeight="1">
      <c r="A20" s="2994"/>
      <c r="B20" s="3003" t="s">
        <v>3108</v>
      </c>
      <c r="C20" s="3003">
        <v>7</v>
      </c>
      <c r="D20" s="3124"/>
      <c r="E20" s="3124"/>
      <c r="F20" s="3124"/>
      <c r="G20" s="3003">
        <f t="shared" ref="G20:G41" si="5">SUM(H20:K20)</f>
        <v>3187.47</v>
      </c>
      <c r="H20" s="3003">
        <v>3187.47</v>
      </c>
      <c r="I20" s="3003"/>
      <c r="J20" s="3003"/>
      <c r="K20" s="3003"/>
      <c r="L20" s="3003">
        <f t="shared" si="4"/>
        <v>3156.68</v>
      </c>
      <c r="M20" s="3003">
        <v>3138.64</v>
      </c>
      <c r="N20" s="3003"/>
      <c r="O20" s="3003"/>
      <c r="P20" s="3003"/>
      <c r="Q20" s="3003">
        <v>18.04</v>
      </c>
      <c r="R20" s="3024">
        <f t="shared" ref="R20:R41" si="6">SUM(S20:U20)</f>
        <v>3138.639999999999</v>
      </c>
      <c r="S20" s="3024">
        <f>楼盘表!K52</f>
        <v>3138.639999999999</v>
      </c>
      <c r="T20" s="3023"/>
      <c r="U20" s="3023"/>
      <c r="V20" s="3003" t="s">
        <v>3109</v>
      </c>
      <c r="W20" s="3003">
        <v>0</v>
      </c>
      <c r="X20" s="3045">
        <f>(W20+2)/(2+C20)</f>
        <v>0.22222222222222221</v>
      </c>
      <c r="Y20" s="3045">
        <f>X20*L20</f>
        <v>701.48444444444442</v>
      </c>
      <c r="Z20" s="3012"/>
      <c r="AA20" s="2997"/>
      <c r="AB20" s="2997"/>
      <c r="AC20" s="2997"/>
      <c r="AD20" s="2997"/>
      <c r="AE20" s="2997"/>
      <c r="AF20" s="2997"/>
      <c r="AG20" s="2997"/>
      <c r="AH20" s="2997"/>
      <c r="AI20" s="2997"/>
      <c r="AJ20" s="2997"/>
      <c r="AK20" s="2997"/>
      <c r="AL20" s="2997"/>
      <c r="AM20" s="2997"/>
      <c r="AN20" s="2997"/>
      <c r="AO20" s="2997"/>
      <c r="AP20" s="2997"/>
    </row>
    <row r="21" spans="1:56" s="2949" customFormat="1" ht="41.25" customHeight="1">
      <c r="A21" s="2994"/>
      <c r="B21" s="3003" t="s">
        <v>3110</v>
      </c>
      <c r="C21" s="3003">
        <v>7</v>
      </c>
      <c r="D21" s="3124"/>
      <c r="E21" s="3124"/>
      <c r="F21" s="3124"/>
      <c r="G21" s="3003">
        <f t="shared" si="5"/>
        <v>3197.43</v>
      </c>
      <c r="H21" s="3003">
        <v>3197.43</v>
      </c>
      <c r="I21" s="3003"/>
      <c r="J21" s="3003"/>
      <c r="K21" s="3003"/>
      <c r="L21" s="3003">
        <f t="shared" si="4"/>
        <v>3156.68</v>
      </c>
      <c r="M21" s="3003">
        <v>3138.64</v>
      </c>
      <c r="N21" s="3003"/>
      <c r="O21" s="3003"/>
      <c r="P21" s="3003"/>
      <c r="Q21" s="3003">
        <v>18.04</v>
      </c>
      <c r="R21" s="3024">
        <f t="shared" si="6"/>
        <v>3138.639999999999</v>
      </c>
      <c r="S21" s="3024">
        <f>楼盘表!K77</f>
        <v>3138.639999999999</v>
      </c>
      <c r="T21" s="3023"/>
      <c r="U21" s="3023"/>
      <c r="V21" s="3003"/>
      <c r="W21" s="3003"/>
      <c r="X21" s="3045"/>
      <c r="Y21" s="3045"/>
      <c r="Z21" s="3012"/>
      <c r="AA21" s="2997"/>
      <c r="AB21" s="2997"/>
      <c r="AC21" s="2997"/>
      <c r="AD21" s="2997"/>
      <c r="AE21" s="2997"/>
      <c r="AF21" s="2997"/>
      <c r="AG21" s="2997"/>
      <c r="AH21" s="2997"/>
      <c r="AI21" s="2997"/>
      <c r="AJ21" s="2997"/>
      <c r="AK21" s="2997"/>
      <c r="AL21" s="2997"/>
      <c r="AM21" s="2997"/>
      <c r="AN21" s="2997"/>
      <c r="AO21" s="2997"/>
      <c r="AP21" s="2997"/>
    </row>
    <row r="22" spans="1:56" s="2949" customFormat="1" ht="41.25" customHeight="1">
      <c r="A22" s="2994"/>
      <c r="B22" s="3003" t="s">
        <v>3111</v>
      </c>
      <c r="C22" s="3003">
        <v>7</v>
      </c>
      <c r="D22" s="3124"/>
      <c r="E22" s="3124"/>
      <c r="F22" s="3124"/>
      <c r="G22" s="3003">
        <f t="shared" si="5"/>
        <v>3188.43</v>
      </c>
      <c r="H22" s="3003">
        <v>3188.43</v>
      </c>
      <c r="I22" s="3003"/>
      <c r="J22" s="3003"/>
      <c r="K22" s="3003"/>
      <c r="L22" s="3003">
        <f t="shared" si="4"/>
        <v>3156.68</v>
      </c>
      <c r="M22" s="3003">
        <v>3138.64</v>
      </c>
      <c r="N22" s="3003"/>
      <c r="O22" s="3003"/>
      <c r="P22" s="3003"/>
      <c r="Q22" s="3003">
        <v>18.04</v>
      </c>
      <c r="R22" s="3024">
        <f t="shared" si="6"/>
        <v>3138.639999999999</v>
      </c>
      <c r="S22" s="3024">
        <f>楼盘表!K102</f>
        <v>3138.639999999999</v>
      </c>
      <c r="T22" s="3023"/>
      <c r="U22" s="3023"/>
      <c r="V22" s="3003" t="s">
        <v>3112</v>
      </c>
      <c r="W22" s="3003">
        <v>6</v>
      </c>
      <c r="X22" s="3045">
        <f>(W22+2)/(2+C22)</f>
        <v>0.88888888888888884</v>
      </c>
      <c r="Y22" s="3045">
        <f>X22*L22</f>
        <v>2805.9377777777777</v>
      </c>
      <c r="Z22" s="3012"/>
      <c r="AA22" s="2997"/>
      <c r="AB22" s="2997"/>
      <c r="AC22" s="2997"/>
      <c r="AD22" s="2997"/>
      <c r="AE22" s="2997"/>
      <c r="AF22" s="2997"/>
      <c r="AG22" s="2997"/>
      <c r="AH22" s="2997"/>
      <c r="AI22" s="2997"/>
      <c r="AJ22" s="2997"/>
      <c r="AK22" s="2997"/>
      <c r="AL22" s="2997"/>
      <c r="AM22" s="2997"/>
      <c r="AN22" s="2997"/>
      <c r="AO22" s="2997"/>
      <c r="AP22" s="2997"/>
    </row>
    <row r="23" spans="1:56" s="2949" customFormat="1" ht="41.25" customHeight="1">
      <c r="A23" s="2994"/>
      <c r="B23" s="3003" t="s">
        <v>3113</v>
      </c>
      <c r="C23" s="3003">
        <v>8</v>
      </c>
      <c r="D23" s="3124"/>
      <c r="E23" s="3124"/>
      <c r="F23" s="3124"/>
      <c r="G23" s="3003">
        <f t="shared" si="5"/>
        <v>3688.37</v>
      </c>
      <c r="H23" s="3003">
        <v>3688.37</v>
      </c>
      <c r="I23" s="3003"/>
      <c r="J23" s="3003"/>
      <c r="K23" s="3003"/>
      <c r="L23" s="3003">
        <f t="shared" si="4"/>
        <v>3660.56</v>
      </c>
      <c r="M23" s="3003">
        <v>3642.52</v>
      </c>
      <c r="N23" s="3003"/>
      <c r="O23" s="3003"/>
      <c r="P23" s="3003"/>
      <c r="Q23" s="3003">
        <v>18.04</v>
      </c>
      <c r="R23" s="3024">
        <f t="shared" si="6"/>
        <v>3642.5199999999991</v>
      </c>
      <c r="S23" s="3024">
        <f>楼盘表!K131</f>
        <v>3642.5199999999991</v>
      </c>
      <c r="T23" s="3023"/>
      <c r="U23" s="3023"/>
      <c r="V23" s="3003" t="s">
        <v>3114</v>
      </c>
      <c r="W23" s="3003">
        <v>0</v>
      </c>
      <c r="X23" s="3045">
        <f>(W23+2)/(2+C23)</f>
        <v>0.2</v>
      </c>
      <c r="Y23" s="3045">
        <f>X23*L23</f>
        <v>732.11200000000008</v>
      </c>
      <c r="Z23" s="3012"/>
      <c r="AA23" s="2997"/>
      <c r="AB23" s="2997"/>
      <c r="AC23" s="2997"/>
      <c r="AD23" s="2997"/>
      <c r="AE23" s="2997"/>
      <c r="AF23" s="2997"/>
      <c r="AG23" s="2997"/>
      <c r="AH23" s="2997"/>
      <c r="AI23" s="2997"/>
      <c r="AJ23" s="2997"/>
      <c r="AK23" s="2997"/>
      <c r="AL23" s="2997"/>
      <c r="AM23" s="2997"/>
      <c r="AN23" s="2997"/>
      <c r="AO23" s="2997"/>
      <c r="AP23" s="2997"/>
    </row>
    <row r="24" spans="1:56" s="2949" customFormat="1" ht="41.25" customHeight="1">
      <c r="A24" s="2994"/>
      <c r="B24" s="3003" t="s">
        <v>3115</v>
      </c>
      <c r="C24" s="3003">
        <v>11</v>
      </c>
      <c r="D24" s="3124"/>
      <c r="E24" s="3124"/>
      <c r="F24" s="3124"/>
      <c r="G24" s="3003">
        <f t="shared" si="5"/>
        <v>9533.8799999999992</v>
      </c>
      <c r="H24" s="3003">
        <v>9533.8799999999992</v>
      </c>
      <c r="I24" s="3003"/>
      <c r="J24" s="3003"/>
      <c r="K24" s="3003"/>
      <c r="L24" s="3003">
        <f t="shared" si="4"/>
        <v>9542.94</v>
      </c>
      <c r="M24" s="3003">
        <v>9542.94</v>
      </c>
      <c r="N24" s="3003"/>
      <c r="O24" s="3003"/>
      <c r="P24" s="3003"/>
      <c r="Q24" s="3003"/>
      <c r="R24" s="3024">
        <f t="shared" si="6"/>
        <v>9542.939999999986</v>
      </c>
      <c r="S24" s="3023"/>
      <c r="T24" s="3024">
        <f>楼盘表!K220</f>
        <v>9542.939999999986</v>
      </c>
      <c r="U24" s="3023"/>
      <c r="V24" s="3003"/>
      <c r="W24" s="3003"/>
      <c r="X24" s="3045"/>
      <c r="Y24" s="3045"/>
      <c r="Z24" s="3012"/>
      <c r="AA24" s="2997"/>
      <c r="AB24" s="2997"/>
      <c r="AC24" s="2997"/>
      <c r="AD24" s="2997"/>
      <c r="AE24" s="2997"/>
      <c r="AF24" s="2997"/>
      <c r="AG24" s="2997"/>
      <c r="AH24" s="2997"/>
      <c r="AI24" s="2997"/>
      <c r="AJ24" s="2997"/>
      <c r="AK24" s="2997"/>
      <c r="AL24" s="2997"/>
      <c r="AM24" s="2997"/>
      <c r="AN24" s="2997"/>
      <c r="AO24" s="2997"/>
      <c r="AP24" s="2997"/>
    </row>
    <row r="25" spans="1:56" s="2949" customFormat="1" ht="41.25" customHeight="1">
      <c r="A25" s="2994"/>
      <c r="B25" s="3003" t="s">
        <v>3116</v>
      </c>
      <c r="C25" s="3003">
        <v>21</v>
      </c>
      <c r="D25" s="3124"/>
      <c r="E25" s="3124"/>
      <c r="F25" s="3124"/>
      <c r="G25" s="3003">
        <f t="shared" si="5"/>
        <v>18083.71</v>
      </c>
      <c r="H25" s="3003">
        <v>18083.71</v>
      </c>
      <c r="I25" s="3003"/>
      <c r="J25" s="3003"/>
      <c r="K25" s="3003"/>
      <c r="L25" s="3003">
        <f t="shared" si="4"/>
        <v>18127.62</v>
      </c>
      <c r="M25" s="3003">
        <v>18127.62</v>
      </c>
      <c r="N25" s="3003"/>
      <c r="O25" s="3003"/>
      <c r="P25" s="3003"/>
      <c r="Q25" s="3003"/>
      <c r="R25" s="3024">
        <f t="shared" si="6"/>
        <v>18127.619999999992</v>
      </c>
      <c r="S25" s="3023"/>
      <c r="T25" s="3024">
        <f>楼盘表!K389</f>
        <v>18127.619999999992</v>
      </c>
      <c r="U25" s="3023"/>
      <c r="V25" s="3003"/>
      <c r="W25" s="3003"/>
      <c r="X25" s="3045"/>
      <c r="Y25" s="3045"/>
      <c r="Z25" s="3012"/>
      <c r="AA25" s="2997"/>
      <c r="AB25" s="2997"/>
      <c r="AC25" s="2997"/>
      <c r="AD25" s="2997"/>
      <c r="AE25" s="2997"/>
      <c r="AF25" s="2997"/>
      <c r="AG25" s="2997"/>
      <c r="AH25" s="2997"/>
      <c r="AI25" s="2997"/>
      <c r="AJ25" s="2997"/>
      <c r="AK25" s="2997"/>
      <c r="AL25" s="2997"/>
      <c r="AM25" s="2997"/>
      <c r="AN25" s="2997"/>
      <c r="AO25" s="2997"/>
      <c r="AP25" s="2997"/>
    </row>
    <row r="26" spans="1:56" s="2949" customFormat="1" ht="41.25" customHeight="1">
      <c r="A26" s="2994"/>
      <c r="B26" s="3003" t="s">
        <v>3117</v>
      </c>
      <c r="C26" s="3003">
        <v>16</v>
      </c>
      <c r="D26" s="3124"/>
      <c r="E26" s="3124"/>
      <c r="F26" s="3124"/>
      <c r="G26" s="3003">
        <f t="shared" si="5"/>
        <v>13808.09</v>
      </c>
      <c r="H26" s="3003">
        <v>13808.09</v>
      </c>
      <c r="I26" s="3003"/>
      <c r="J26" s="3003"/>
      <c r="K26" s="3003"/>
      <c r="L26" s="3003">
        <f t="shared" si="4"/>
        <v>13835.52</v>
      </c>
      <c r="M26" s="3003">
        <v>13835.52</v>
      </c>
      <c r="N26" s="3003"/>
      <c r="O26" s="3003"/>
      <c r="P26" s="3003"/>
      <c r="Q26" s="3003"/>
      <c r="R26" s="3024">
        <f t="shared" si="6"/>
        <v>13835.520000000006</v>
      </c>
      <c r="S26" s="3023"/>
      <c r="T26" s="3024">
        <f>楼盘表!K518</f>
        <v>13835.520000000006</v>
      </c>
      <c r="U26" s="3023"/>
      <c r="V26" s="3003"/>
      <c r="W26" s="3003"/>
      <c r="X26" s="3045"/>
      <c r="Y26" s="3045"/>
      <c r="Z26" s="3012"/>
      <c r="AA26" s="2997"/>
      <c r="AB26" s="2997"/>
      <c r="AC26" s="2997"/>
      <c r="AD26" s="2997"/>
      <c r="AE26" s="2997"/>
      <c r="AF26" s="2997"/>
      <c r="AG26" s="2997"/>
      <c r="AH26" s="2997"/>
      <c r="AI26" s="2997"/>
      <c r="AJ26" s="2997"/>
      <c r="AK26" s="2997"/>
      <c r="AL26" s="2997"/>
      <c r="AM26" s="2997"/>
      <c r="AN26" s="2997"/>
      <c r="AO26" s="2997"/>
      <c r="AP26" s="2997"/>
    </row>
    <row r="27" spans="1:56" s="2949" customFormat="1" ht="41.25" customHeight="1">
      <c r="A27" s="2994"/>
      <c r="B27" s="3003" t="s">
        <v>3118</v>
      </c>
      <c r="C27" s="3003">
        <v>21</v>
      </c>
      <c r="D27" s="3124"/>
      <c r="E27" s="3124"/>
      <c r="F27" s="3124"/>
      <c r="G27" s="3003">
        <f t="shared" si="5"/>
        <v>9047.16</v>
      </c>
      <c r="H27" s="3003">
        <v>9047.16</v>
      </c>
      <c r="I27" s="3003"/>
      <c r="J27" s="3003"/>
      <c r="K27" s="3003"/>
      <c r="L27" s="3003">
        <f t="shared" si="4"/>
        <v>9064.02</v>
      </c>
      <c r="M27" s="3003">
        <v>9064.02</v>
      </c>
      <c r="N27" s="3003"/>
      <c r="O27" s="3003"/>
      <c r="P27" s="3003"/>
      <c r="Q27" s="3003"/>
      <c r="R27" s="3024">
        <f t="shared" si="6"/>
        <v>9064.0200000000095</v>
      </c>
      <c r="S27" s="3023"/>
      <c r="T27" s="3024">
        <f>楼盘表!K603</f>
        <v>9064.0200000000095</v>
      </c>
      <c r="U27" s="3023"/>
      <c r="V27" s="3003"/>
      <c r="W27" s="3003"/>
      <c r="X27" s="3045"/>
      <c r="Y27" s="3045"/>
      <c r="Z27" s="3012"/>
      <c r="AA27" s="2997"/>
      <c r="AB27" s="2997"/>
      <c r="AC27" s="2997"/>
      <c r="AD27" s="2997"/>
      <c r="AE27" s="2997"/>
      <c r="AF27" s="2997"/>
      <c r="AG27" s="2997"/>
      <c r="AH27" s="2997"/>
      <c r="AI27" s="2997"/>
      <c r="AJ27" s="2997"/>
      <c r="AK27" s="2997"/>
      <c r="AL27" s="2997"/>
      <c r="AM27" s="2997"/>
      <c r="AN27" s="2997"/>
      <c r="AO27" s="2997"/>
      <c r="AP27" s="2997"/>
    </row>
    <row r="28" spans="1:56" s="2949" customFormat="1" ht="41.25" customHeight="1">
      <c r="A28" s="2994"/>
      <c r="B28" s="3003" t="s">
        <v>3119</v>
      </c>
      <c r="C28" s="3003">
        <v>21</v>
      </c>
      <c r="D28" s="3124"/>
      <c r="E28" s="3124"/>
      <c r="F28" s="3124"/>
      <c r="G28" s="3003">
        <f t="shared" si="5"/>
        <v>18083.71</v>
      </c>
      <c r="H28" s="3003">
        <v>18083.71</v>
      </c>
      <c r="I28" s="3003"/>
      <c r="J28" s="3003"/>
      <c r="K28" s="3003"/>
      <c r="L28" s="3003">
        <f t="shared" si="4"/>
        <v>18127.62</v>
      </c>
      <c r="M28" s="3003">
        <v>18127.62</v>
      </c>
      <c r="N28" s="3003"/>
      <c r="O28" s="3003"/>
      <c r="P28" s="3003"/>
      <c r="Q28" s="3003"/>
      <c r="R28" s="3024">
        <f t="shared" si="6"/>
        <v>18127.619999999992</v>
      </c>
      <c r="S28" s="3023"/>
      <c r="T28" s="3024">
        <f>楼盘表!K772</f>
        <v>18127.619999999992</v>
      </c>
      <c r="U28" s="3023"/>
      <c r="V28" s="3003"/>
      <c r="W28" s="3003"/>
      <c r="X28" s="3045"/>
      <c r="Y28" s="3045"/>
      <c r="Z28" s="3012"/>
      <c r="AA28" s="2997"/>
      <c r="AB28" s="2997"/>
      <c r="AC28" s="2997"/>
      <c r="AD28" s="2997"/>
      <c r="AE28" s="2997"/>
      <c r="AF28" s="2997"/>
      <c r="AG28" s="2997"/>
      <c r="AH28" s="2997"/>
      <c r="AI28" s="2997"/>
      <c r="AJ28" s="2997"/>
      <c r="AK28" s="2997"/>
      <c r="AL28" s="2997"/>
      <c r="AM28" s="2997"/>
      <c r="AN28" s="2997"/>
      <c r="AO28" s="2997"/>
      <c r="AP28" s="2997"/>
    </row>
    <row r="29" spans="1:56" s="2949" customFormat="1" ht="41.25" customHeight="1">
      <c r="A29" s="2994"/>
      <c r="B29" s="3003" t="s">
        <v>3120</v>
      </c>
      <c r="C29" s="3003">
        <v>21</v>
      </c>
      <c r="D29" s="3124"/>
      <c r="E29" s="3124"/>
      <c r="F29" s="3124"/>
      <c r="G29" s="3003">
        <f t="shared" si="5"/>
        <v>18083.71</v>
      </c>
      <c r="H29" s="3003">
        <v>18083.71</v>
      </c>
      <c r="I29" s="3003"/>
      <c r="J29" s="3003"/>
      <c r="K29" s="3003"/>
      <c r="L29" s="3003">
        <f t="shared" si="4"/>
        <v>18127.62</v>
      </c>
      <c r="M29" s="3003">
        <v>18127.62</v>
      </c>
      <c r="N29" s="3003"/>
      <c r="O29" s="3003"/>
      <c r="P29" s="3003"/>
      <c r="Q29" s="3003"/>
      <c r="R29" s="3024">
        <f t="shared" si="6"/>
        <v>18127.619999999992</v>
      </c>
      <c r="S29" s="3023"/>
      <c r="T29" s="3024">
        <f>楼盘表!K941</f>
        <v>18127.619999999992</v>
      </c>
      <c r="U29" s="3023"/>
      <c r="V29" s="3003"/>
      <c r="W29" s="3003"/>
      <c r="X29" s="3045"/>
      <c r="Y29" s="3045"/>
      <c r="Z29" s="3012"/>
      <c r="AA29" s="2997"/>
      <c r="AB29" s="2997"/>
      <c r="AC29" s="2997"/>
      <c r="AD29" s="2997"/>
      <c r="AE29" s="2997"/>
      <c r="AF29" s="2997"/>
      <c r="AG29" s="2997"/>
      <c r="AH29" s="2997"/>
      <c r="AI29" s="2997"/>
      <c r="AJ29" s="2997"/>
      <c r="AK29" s="2997"/>
      <c r="AL29" s="2997"/>
      <c r="AM29" s="2997"/>
      <c r="AN29" s="2997"/>
      <c r="AO29" s="2997"/>
      <c r="AP29" s="2997"/>
    </row>
    <row r="30" spans="1:56" s="2949" customFormat="1" ht="41.25" customHeight="1">
      <c r="A30" s="2994"/>
      <c r="B30" s="3003" t="s">
        <v>3121</v>
      </c>
      <c r="C30" s="3003">
        <v>21</v>
      </c>
      <c r="D30" s="3124"/>
      <c r="E30" s="3124"/>
      <c r="F30" s="3124"/>
      <c r="G30" s="3003">
        <f t="shared" si="5"/>
        <v>18083.71</v>
      </c>
      <c r="H30" s="3003">
        <v>18083.71</v>
      </c>
      <c r="I30" s="3003"/>
      <c r="J30" s="3003"/>
      <c r="K30" s="3003"/>
      <c r="L30" s="3003">
        <f t="shared" si="4"/>
        <v>18127.62</v>
      </c>
      <c r="M30" s="3003">
        <v>18127.62</v>
      </c>
      <c r="N30" s="3003"/>
      <c r="O30" s="3003"/>
      <c r="P30" s="3003"/>
      <c r="Q30" s="3003"/>
      <c r="R30" s="3024">
        <f t="shared" si="6"/>
        <v>18127.619999999992</v>
      </c>
      <c r="S30" s="3023"/>
      <c r="T30" s="3024">
        <f>楼盘表!K1110</f>
        <v>18127.619999999992</v>
      </c>
      <c r="U30" s="3023"/>
      <c r="V30" s="3003"/>
      <c r="W30" s="3003"/>
      <c r="X30" s="3045"/>
      <c r="Y30" s="3045"/>
      <c r="Z30" s="3012"/>
      <c r="AA30" s="2997"/>
      <c r="AB30" s="2997"/>
      <c r="AC30" s="2997"/>
      <c r="AD30" s="2997"/>
      <c r="AE30" s="2997"/>
      <c r="AF30" s="2997"/>
      <c r="AG30" s="2997"/>
      <c r="AH30" s="2997"/>
      <c r="AI30" s="2997"/>
      <c r="AJ30" s="2997"/>
      <c r="AK30" s="2997"/>
      <c r="AL30" s="2997"/>
      <c r="AM30" s="2997"/>
      <c r="AN30" s="2997"/>
      <c r="AO30" s="2997"/>
      <c r="AP30" s="2997"/>
    </row>
    <row r="31" spans="1:56" s="2949" customFormat="1" ht="41.25" customHeight="1">
      <c r="A31" s="2994"/>
      <c r="B31" s="3003" t="s">
        <v>3122</v>
      </c>
      <c r="C31" s="3003">
        <v>21</v>
      </c>
      <c r="D31" s="3124"/>
      <c r="E31" s="3124"/>
      <c r="F31" s="3124"/>
      <c r="G31" s="3003">
        <f t="shared" si="5"/>
        <v>18082.349999999999</v>
      </c>
      <c r="H31" s="3003">
        <v>18082.349999999999</v>
      </c>
      <c r="I31" s="3003"/>
      <c r="J31" s="3003"/>
      <c r="K31" s="3003"/>
      <c r="L31" s="3003">
        <f t="shared" si="4"/>
        <v>18127.62</v>
      </c>
      <c r="M31" s="3003">
        <v>18127.62</v>
      </c>
      <c r="N31" s="3003"/>
      <c r="O31" s="3003"/>
      <c r="P31" s="3003"/>
      <c r="Q31" s="3003"/>
      <c r="R31" s="3024">
        <f t="shared" si="6"/>
        <v>18127.619999999992</v>
      </c>
      <c r="S31" s="3023"/>
      <c r="T31" s="3024">
        <f>楼盘表!K1279</f>
        <v>18127.619999999992</v>
      </c>
      <c r="U31" s="3023"/>
      <c r="V31" s="3003"/>
      <c r="W31" s="3003"/>
      <c r="X31" s="3045"/>
      <c r="Y31" s="3045"/>
      <c r="Z31" s="3012"/>
      <c r="AA31" s="2997"/>
      <c r="AB31" s="2997"/>
      <c r="AC31" s="2997"/>
      <c r="AD31" s="2997"/>
      <c r="AE31" s="2997"/>
      <c r="AF31" s="2997"/>
      <c r="AG31" s="2997"/>
      <c r="AH31" s="2997"/>
      <c r="AI31" s="2997"/>
      <c r="AJ31" s="2997"/>
      <c r="AK31" s="2997"/>
      <c r="AL31" s="2997"/>
      <c r="AM31" s="2997"/>
      <c r="AN31" s="2997"/>
      <c r="AO31" s="2997"/>
      <c r="AP31" s="2997"/>
    </row>
    <row r="32" spans="1:56" s="2949" customFormat="1" ht="41.25" customHeight="1">
      <c r="A32" s="2994"/>
      <c r="B32" s="3003" t="s">
        <v>3123</v>
      </c>
      <c r="C32" s="3003">
        <v>21</v>
      </c>
      <c r="D32" s="3124"/>
      <c r="E32" s="3124"/>
      <c r="F32" s="3124"/>
      <c r="G32" s="3003">
        <f t="shared" si="5"/>
        <v>18085.87</v>
      </c>
      <c r="H32" s="3003">
        <v>18085.87</v>
      </c>
      <c r="I32" s="3003"/>
      <c r="J32" s="3003"/>
      <c r="K32" s="3003"/>
      <c r="L32" s="3003">
        <f t="shared" si="4"/>
        <v>18127.62</v>
      </c>
      <c r="M32" s="3003">
        <v>18127.62</v>
      </c>
      <c r="N32" s="3003"/>
      <c r="O32" s="3003"/>
      <c r="P32" s="3003"/>
      <c r="Q32" s="3003"/>
      <c r="R32" s="3024">
        <f t="shared" si="6"/>
        <v>18127.619999999992</v>
      </c>
      <c r="S32" s="3023"/>
      <c r="T32" s="3024">
        <f>楼盘表!K1448</f>
        <v>18127.619999999992</v>
      </c>
      <c r="U32" s="3023"/>
      <c r="V32" s="3003" t="s">
        <v>3124</v>
      </c>
      <c r="W32" s="3003">
        <v>2</v>
      </c>
      <c r="X32" s="3045">
        <f>(W32+2)/(2+C32)</f>
        <v>0.17391304347826086</v>
      </c>
      <c r="Y32" s="3045">
        <f>X32*L32</f>
        <v>3152.6295652173912</v>
      </c>
      <c r="Z32" s="3012"/>
      <c r="AA32" s="2997"/>
      <c r="AB32" s="2997"/>
      <c r="AC32" s="2997"/>
      <c r="AD32" s="2997"/>
      <c r="AE32" s="2997"/>
      <c r="AF32" s="2997"/>
      <c r="AG32" s="2997"/>
      <c r="AH32" s="2997"/>
      <c r="AI32" s="2997"/>
      <c r="AJ32" s="2997"/>
      <c r="AK32" s="2997"/>
      <c r="AL32" s="2997"/>
      <c r="AM32" s="2997"/>
      <c r="AN32" s="2997"/>
      <c r="AO32" s="2997"/>
      <c r="AP32" s="2997"/>
    </row>
    <row r="33" spans="1:56" s="2949" customFormat="1" ht="41.25" customHeight="1">
      <c r="A33" s="2994"/>
      <c r="B33" s="3003" t="s">
        <v>3125</v>
      </c>
      <c r="C33" s="3003">
        <v>2</v>
      </c>
      <c r="D33" s="3124"/>
      <c r="E33" s="3124"/>
      <c r="F33" s="3124"/>
      <c r="G33" s="3003">
        <f t="shared" si="5"/>
        <v>809.44</v>
      </c>
      <c r="H33" s="3003"/>
      <c r="I33" s="3003">
        <v>465.51</v>
      </c>
      <c r="J33" s="3003">
        <v>343.93</v>
      </c>
      <c r="K33" s="3003"/>
      <c r="L33" s="3003">
        <f t="shared" si="4"/>
        <v>810.25</v>
      </c>
      <c r="M33" s="3003"/>
      <c r="N33" s="3003">
        <v>465.21</v>
      </c>
      <c r="O33" s="3003">
        <v>345.04</v>
      </c>
      <c r="P33" s="3003"/>
      <c r="Q33" s="3003"/>
      <c r="R33" s="3024">
        <f t="shared" si="6"/>
        <v>465.21</v>
      </c>
      <c r="S33" s="3023"/>
      <c r="T33" s="3023"/>
      <c r="U33" s="3024">
        <f>楼盘表!K1832</f>
        <v>465.21</v>
      </c>
      <c r="V33" s="3003"/>
      <c r="W33" s="3003"/>
      <c r="X33" s="3045"/>
      <c r="Y33" s="3045"/>
      <c r="Z33" s="3012"/>
      <c r="AA33" s="2997"/>
      <c r="AB33" s="2997"/>
      <c r="AC33" s="2997"/>
      <c r="AD33" s="2997"/>
      <c r="AE33" s="2997"/>
      <c r="AF33" s="2997"/>
      <c r="AG33" s="2997"/>
      <c r="AH33" s="2997"/>
      <c r="AI33" s="2997"/>
      <c r="AJ33" s="2997"/>
      <c r="AK33" s="2997"/>
      <c r="AL33" s="2997"/>
      <c r="AM33" s="2997"/>
      <c r="AN33" s="2997"/>
      <c r="AO33" s="2997"/>
      <c r="AP33" s="2997"/>
    </row>
    <row r="34" spans="1:56" s="2949" customFormat="1" ht="41.25" customHeight="1">
      <c r="A34" s="2994"/>
      <c r="B34" s="3003" t="s">
        <v>3126</v>
      </c>
      <c r="C34" s="3003">
        <v>1</v>
      </c>
      <c r="D34" s="3124"/>
      <c r="E34" s="3124"/>
      <c r="F34" s="3124"/>
      <c r="G34" s="3003">
        <f t="shared" si="5"/>
        <v>717.25</v>
      </c>
      <c r="H34" s="3003"/>
      <c r="I34" s="3003">
        <v>717.25</v>
      </c>
      <c r="J34" s="3003"/>
      <c r="K34" s="3003"/>
      <c r="L34" s="3003">
        <f t="shared" si="4"/>
        <v>713.14</v>
      </c>
      <c r="M34" s="3003"/>
      <c r="N34" s="3003">
        <v>713.14</v>
      </c>
      <c r="O34" s="3003"/>
      <c r="P34" s="3003"/>
      <c r="Q34" s="3003"/>
      <c r="R34" s="3024">
        <f t="shared" si="6"/>
        <v>713.1400000000001</v>
      </c>
      <c r="S34" s="3023"/>
      <c r="T34" s="3023"/>
      <c r="U34" s="3024">
        <f>楼盘表!K1848</f>
        <v>713.1400000000001</v>
      </c>
      <c r="V34" s="3003"/>
      <c r="W34" s="3003"/>
      <c r="X34" s="3045"/>
      <c r="Y34" s="3045"/>
      <c r="Z34" s="3012"/>
      <c r="AA34" s="2997"/>
      <c r="AB34" s="2997"/>
      <c r="AC34" s="2997"/>
      <c r="AD34" s="2997"/>
      <c r="AE34" s="2997"/>
      <c r="AF34" s="2997"/>
      <c r="AG34" s="2997"/>
      <c r="AH34" s="2997"/>
      <c r="AI34" s="2997"/>
      <c r="AJ34" s="2997"/>
      <c r="AK34" s="2997"/>
      <c r="AL34" s="2997"/>
      <c r="AM34" s="2997"/>
      <c r="AN34" s="2997"/>
      <c r="AO34" s="2997"/>
      <c r="AP34" s="2997"/>
    </row>
    <row r="35" spans="1:56" ht="41.25" customHeight="1">
      <c r="B35" s="3003" t="s">
        <v>3127</v>
      </c>
      <c r="C35" s="3003">
        <v>2</v>
      </c>
      <c r="D35" s="3124"/>
      <c r="E35" s="3124"/>
      <c r="F35" s="3124"/>
      <c r="G35" s="3003">
        <f t="shared" si="5"/>
        <v>1295.21</v>
      </c>
      <c r="H35" s="3003"/>
      <c r="I35" s="3003">
        <v>591.37</v>
      </c>
      <c r="J35" s="3003">
        <f>533.06+70.4+100.38</f>
        <v>703.83999999999992</v>
      </c>
      <c r="K35" s="3003"/>
      <c r="L35" s="3003">
        <f t="shared" si="4"/>
        <v>1290.26</v>
      </c>
      <c r="M35" s="3003"/>
      <c r="N35" s="3003">
        <v>581.59</v>
      </c>
      <c r="O35" s="3003"/>
      <c r="P35" s="3003">
        <v>538.47</v>
      </c>
      <c r="Q35" s="3003">
        <v>170.2</v>
      </c>
      <c r="R35" s="3024">
        <f t="shared" si="6"/>
        <v>581.58999999999992</v>
      </c>
      <c r="S35" s="3023"/>
      <c r="T35" s="3023"/>
      <c r="U35" s="3024">
        <f>楼盘表!K1859</f>
        <v>581.58999999999992</v>
      </c>
      <c r="V35" s="3003"/>
      <c r="W35" s="3003"/>
      <c r="X35" s="3045"/>
      <c r="Y35" s="3045"/>
      <c r="Z35" s="3012"/>
    </row>
    <row r="36" spans="1:56" ht="41.25" customHeight="1">
      <c r="B36" s="3003" t="s">
        <v>3128</v>
      </c>
      <c r="C36" s="3003">
        <v>3</v>
      </c>
      <c r="D36" s="3124"/>
      <c r="E36" s="3124"/>
      <c r="F36" s="3124"/>
      <c r="G36" s="3003">
        <f t="shared" si="5"/>
        <v>2002.5</v>
      </c>
      <c r="H36" s="3003"/>
      <c r="I36" s="3003"/>
      <c r="J36" s="3003">
        <v>2002.5</v>
      </c>
      <c r="K36" s="3003"/>
      <c r="L36" s="3003">
        <f t="shared" si="4"/>
        <v>1926.18</v>
      </c>
      <c r="M36" s="3003"/>
      <c r="N36" s="3003"/>
      <c r="O36" s="3003"/>
      <c r="P36" s="3003"/>
      <c r="Q36" s="3003">
        <v>1926.18</v>
      </c>
      <c r="R36" s="3024">
        <f t="shared" si="6"/>
        <v>0</v>
      </c>
      <c r="S36" s="3023"/>
      <c r="T36" s="3023"/>
      <c r="U36" s="3023"/>
      <c r="V36" s="3003"/>
      <c r="W36" s="3003"/>
      <c r="X36" s="3045"/>
      <c r="Y36" s="3045"/>
      <c r="Z36" s="3012"/>
    </row>
    <row r="37" spans="1:56" ht="41.25" customHeight="1">
      <c r="B37" s="3003" t="s">
        <v>3129</v>
      </c>
      <c r="C37" s="3003">
        <v>1</v>
      </c>
      <c r="D37" s="3124"/>
      <c r="E37" s="3124"/>
      <c r="F37" s="3124"/>
      <c r="G37" s="3003">
        <f t="shared" si="5"/>
        <v>198.44</v>
      </c>
      <c r="H37" s="3003"/>
      <c r="I37" s="3003"/>
      <c r="J37" s="3003">
        <v>198.44</v>
      </c>
      <c r="K37" s="3003"/>
      <c r="L37" s="3003">
        <f t="shared" si="4"/>
        <v>0</v>
      </c>
      <c r="M37" s="3003"/>
      <c r="N37" s="3003"/>
      <c r="O37" s="3003"/>
      <c r="P37" s="3003"/>
      <c r="Q37" s="3003"/>
      <c r="R37" s="3024">
        <f t="shared" si="6"/>
        <v>0</v>
      </c>
      <c r="S37" s="3023"/>
      <c r="T37" s="3023"/>
      <c r="U37" s="3023"/>
      <c r="V37" s="3003"/>
      <c r="W37" s="3003"/>
      <c r="X37" s="3045"/>
      <c r="Y37" s="3045"/>
      <c r="Z37" s="3012"/>
    </row>
    <row r="38" spans="1:56" ht="41.25" customHeight="1">
      <c r="B38" s="3003" t="s">
        <v>3130</v>
      </c>
      <c r="C38" s="3003">
        <v>1</v>
      </c>
      <c r="D38" s="3124"/>
      <c r="E38" s="3124"/>
      <c r="F38" s="3124"/>
      <c r="G38" s="3003">
        <f t="shared" si="5"/>
        <v>100.04</v>
      </c>
      <c r="H38" s="3003"/>
      <c r="I38" s="3003"/>
      <c r="J38" s="3003">
        <v>100.04</v>
      </c>
      <c r="K38" s="3003"/>
      <c r="L38" s="3003">
        <f t="shared" si="4"/>
        <v>0</v>
      </c>
      <c r="M38" s="3003"/>
      <c r="N38" s="3003"/>
      <c r="O38" s="3003"/>
      <c r="P38" s="3003"/>
      <c r="Q38" s="3003"/>
      <c r="R38" s="3024">
        <f t="shared" si="6"/>
        <v>0</v>
      </c>
      <c r="S38" s="3023"/>
      <c r="T38" s="3023"/>
      <c r="U38" s="3023"/>
      <c r="V38" s="3003"/>
      <c r="W38" s="3003"/>
      <c r="X38" s="3045"/>
      <c r="Y38" s="3045"/>
      <c r="Z38" s="3012"/>
    </row>
    <row r="39" spans="1:56" ht="41.25" customHeight="1">
      <c r="B39" s="3003" t="s">
        <v>3131</v>
      </c>
      <c r="C39" s="3003">
        <v>1</v>
      </c>
      <c r="D39" s="3124"/>
      <c r="E39" s="3124"/>
      <c r="F39" s="3124"/>
      <c r="G39" s="3003">
        <f t="shared" si="5"/>
        <v>100.04</v>
      </c>
      <c r="H39" s="3003"/>
      <c r="I39" s="3003"/>
      <c r="J39" s="3003">
        <v>100.04</v>
      </c>
      <c r="K39" s="3003"/>
      <c r="L39" s="3003">
        <f t="shared" si="4"/>
        <v>0</v>
      </c>
      <c r="M39" s="3003"/>
      <c r="N39" s="3003"/>
      <c r="O39" s="3003"/>
      <c r="P39" s="3003"/>
      <c r="Q39" s="3003"/>
      <c r="R39" s="3024">
        <f t="shared" si="6"/>
        <v>0</v>
      </c>
      <c r="S39" s="3023"/>
      <c r="T39" s="3023"/>
      <c r="U39" s="3023"/>
      <c r="V39" s="3003"/>
      <c r="W39" s="3003"/>
      <c r="X39" s="3045"/>
      <c r="Y39" s="3045"/>
      <c r="Z39" s="3012"/>
    </row>
    <row r="40" spans="1:56" ht="41.25" customHeight="1">
      <c r="B40" s="3003" t="s">
        <v>3132</v>
      </c>
      <c r="C40" s="3003">
        <v>1</v>
      </c>
      <c r="D40" s="3124"/>
      <c r="E40" s="3124"/>
      <c r="F40" s="3124"/>
      <c r="G40" s="3003">
        <f t="shared" si="5"/>
        <v>15.5</v>
      </c>
      <c r="H40" s="3003"/>
      <c r="I40" s="3003"/>
      <c r="J40" s="3003">
        <v>15.5</v>
      </c>
      <c r="K40" s="3003"/>
      <c r="L40" s="3003">
        <f t="shared" si="4"/>
        <v>0</v>
      </c>
      <c r="M40" s="3003"/>
      <c r="N40" s="3003"/>
      <c r="O40" s="3003"/>
      <c r="P40" s="3003"/>
      <c r="Q40" s="3003"/>
      <c r="R40" s="3024">
        <f t="shared" si="6"/>
        <v>0</v>
      </c>
      <c r="S40" s="3023"/>
      <c r="T40" s="3023"/>
      <c r="U40" s="3023"/>
      <c r="V40" s="3003"/>
      <c r="W40" s="3003"/>
      <c r="X40" s="3045"/>
      <c r="Y40" s="3045"/>
      <c r="Z40" s="3012"/>
    </row>
    <row r="41" spans="1:56" ht="41.25" customHeight="1">
      <c r="B41" s="3003" t="s">
        <v>3133</v>
      </c>
      <c r="C41" s="3003">
        <v>1</v>
      </c>
      <c r="D41" s="3124"/>
      <c r="E41" s="3124"/>
      <c r="F41" s="3124"/>
      <c r="G41" s="3003">
        <f t="shared" si="5"/>
        <v>63.96</v>
      </c>
      <c r="H41" s="3003"/>
      <c r="I41" s="3003"/>
      <c r="J41" s="3003">
        <v>63.96</v>
      </c>
      <c r="K41" s="3003"/>
      <c r="L41" s="3003">
        <f t="shared" si="4"/>
        <v>0</v>
      </c>
      <c r="M41" s="3003"/>
      <c r="N41" s="3003"/>
      <c r="O41" s="3003"/>
      <c r="P41" s="3003"/>
      <c r="Q41" s="3003"/>
      <c r="R41" s="3024">
        <f t="shared" si="6"/>
        <v>0</v>
      </c>
      <c r="S41" s="3023"/>
      <c r="T41" s="3023"/>
      <c r="U41" s="3023"/>
      <c r="V41" s="3003"/>
      <c r="W41" s="3003"/>
      <c r="X41" s="3045"/>
      <c r="Y41" s="3045"/>
      <c r="Z41" s="3012"/>
    </row>
    <row r="42" spans="1:56" s="3030" customFormat="1" ht="41.25" customHeight="1">
      <c r="A42" s="3025"/>
      <c r="B42" s="3026" t="s">
        <v>3134</v>
      </c>
      <c r="C42" s="3026"/>
      <c r="D42" s="3026"/>
      <c r="E42" s="3026"/>
      <c r="F42" s="3026">
        <f>ROUND(SUM(H42:J42)/F19,2)</f>
        <v>2.15</v>
      </c>
      <c r="G42" s="3026">
        <f>SUM(G19:G41)</f>
        <v>162641.69999999998</v>
      </c>
      <c r="H42" s="3026">
        <f t="shared" ref="H42:U42" si="7">SUM(H19:H41)</f>
        <v>157339.31999999998</v>
      </c>
      <c r="I42" s="3026">
        <f t="shared" si="7"/>
        <v>1774.13</v>
      </c>
      <c r="J42" s="3026">
        <f t="shared" si="7"/>
        <v>3528.25</v>
      </c>
      <c r="K42" s="3026">
        <f t="shared" si="7"/>
        <v>0</v>
      </c>
      <c r="L42" s="3026">
        <f t="shared" si="7"/>
        <v>162235.31</v>
      </c>
      <c r="M42" s="3026">
        <f t="shared" si="7"/>
        <v>157405.28</v>
      </c>
      <c r="N42" s="3026">
        <f t="shared" si="7"/>
        <v>1759.94</v>
      </c>
      <c r="O42" s="3026">
        <f t="shared" si="7"/>
        <v>345.04</v>
      </c>
      <c r="P42" s="3026">
        <f t="shared" si="7"/>
        <v>538.47</v>
      </c>
      <c r="Q42" s="3026">
        <f t="shared" si="7"/>
        <v>2186.58</v>
      </c>
      <c r="R42" s="3040">
        <f>SUM(R19:R41)</f>
        <v>159165.21999999994</v>
      </c>
      <c r="S42" s="3026">
        <f t="shared" si="7"/>
        <v>16197.079999999994</v>
      </c>
      <c r="T42" s="3026">
        <f t="shared" si="7"/>
        <v>141208.19999999995</v>
      </c>
      <c r="U42" s="3026">
        <f t="shared" si="7"/>
        <v>1759.94</v>
      </c>
      <c r="V42" s="3026"/>
      <c r="W42" s="3026"/>
      <c r="X42" s="3026">
        <f>Y42/(L20+L22+L23+L32)*('数据-取费表'!L23/'数据-取费表'!N23)*0.6</f>
        <v>0.10522076423483714</v>
      </c>
      <c r="Y42" s="3026">
        <f>Y20+Y22+Y23+Y32</f>
        <v>7392.1637874396138</v>
      </c>
      <c r="Z42" s="3027"/>
      <c r="AA42" s="3028"/>
      <c r="AB42" s="3028"/>
      <c r="AC42" s="3028"/>
      <c r="AD42" s="3028"/>
      <c r="AE42" s="3028"/>
      <c r="AF42" s="3028"/>
      <c r="AG42" s="3028"/>
      <c r="AH42" s="3028"/>
      <c r="AI42" s="3028"/>
      <c r="AJ42" s="3028"/>
      <c r="AK42" s="3028"/>
      <c r="AL42" s="3028"/>
      <c r="AM42" s="3028"/>
      <c r="AN42" s="3028"/>
      <c r="AO42" s="3028"/>
      <c r="AP42" s="3028"/>
      <c r="AQ42" s="3029"/>
      <c r="AR42" s="3029"/>
      <c r="AS42" s="3029"/>
      <c r="AT42" s="3029"/>
      <c r="AU42" s="3029"/>
      <c r="AV42" s="3029"/>
      <c r="AW42" s="3029"/>
      <c r="AX42" s="3029"/>
      <c r="AY42" s="3029"/>
      <c r="AZ42" s="3029"/>
      <c r="BA42" s="3029"/>
      <c r="BB42" s="3029"/>
      <c r="BC42" s="3029"/>
      <c r="BD42" s="3029"/>
    </row>
    <row r="43" spans="1:56" ht="41.25" customHeight="1">
      <c r="B43" s="3003" t="s">
        <v>3135</v>
      </c>
      <c r="C43" s="3003">
        <v>21</v>
      </c>
      <c r="D43" s="3124" t="str">
        <f>不动产权证书!C5</f>
        <v>鄂（2018）武汉市东西湖不动产权第0000709号</v>
      </c>
      <c r="E43" s="3124" t="str">
        <f>不动产权证书!G5</f>
        <v>420112409001GB00006W00000000</v>
      </c>
      <c r="F43" s="3124">
        <f>不动产权证书!K5</f>
        <v>33252.89</v>
      </c>
      <c r="G43" s="3003">
        <f t="shared" ref="G43:G53" si="8">SUM(H43:K43)</f>
        <v>9062.14</v>
      </c>
      <c r="H43" s="3003">
        <v>8699.7099999999991</v>
      </c>
      <c r="I43" s="3003"/>
      <c r="J43" s="3003">
        <v>362.43</v>
      </c>
      <c r="K43" s="3003"/>
      <c r="L43" s="3003">
        <f t="shared" ref="L43:L56" si="9">SUM(M43:Q43)</f>
        <v>9081.0600000000013</v>
      </c>
      <c r="M43" s="3003">
        <v>8707.6</v>
      </c>
      <c r="N43" s="3003"/>
      <c r="O43" s="3003">
        <v>365.84</v>
      </c>
      <c r="P43" s="3003"/>
      <c r="Q43" s="3003">
        <v>7.62</v>
      </c>
      <c r="R43" s="3023">
        <f>SUM(S43:U43)</f>
        <v>0</v>
      </c>
      <c r="S43" s="3023"/>
      <c r="T43" s="3023"/>
      <c r="U43" s="3023"/>
      <c r="V43" s="3003" t="s">
        <v>3136</v>
      </c>
      <c r="W43" s="3003">
        <v>21</v>
      </c>
      <c r="X43" s="3045"/>
      <c r="Y43" s="3045"/>
      <c r="Z43" s="3012">
        <v>10000</v>
      </c>
    </row>
    <row r="44" spans="1:56" ht="41.25" customHeight="1">
      <c r="B44" s="3003" t="s">
        <v>3137</v>
      </c>
      <c r="C44" s="3003">
        <v>21</v>
      </c>
      <c r="D44" s="3124"/>
      <c r="E44" s="3124"/>
      <c r="F44" s="3124"/>
      <c r="G44" s="3003">
        <f t="shared" si="8"/>
        <v>18084.080000000002</v>
      </c>
      <c r="H44" s="3003">
        <v>18084.080000000002</v>
      </c>
      <c r="I44" s="3003"/>
      <c r="J44" s="3003"/>
      <c r="K44" s="3003"/>
      <c r="L44" s="3003">
        <f t="shared" si="9"/>
        <v>18127.62</v>
      </c>
      <c r="M44" s="3003">
        <v>18127.62</v>
      </c>
      <c r="N44" s="3003"/>
      <c r="O44" s="3003"/>
      <c r="P44" s="3003"/>
      <c r="Q44" s="3003"/>
      <c r="R44" s="3023">
        <f>SUM(S44:U44)</f>
        <v>224.43</v>
      </c>
      <c r="S44" s="3039"/>
      <c r="T44" s="3024">
        <f>楼盘表!K1861+楼盘表!K1862</f>
        <v>224.43</v>
      </c>
      <c r="U44" s="3024"/>
      <c r="V44" s="3003" t="s">
        <v>3138</v>
      </c>
      <c r="W44" s="3003">
        <v>21</v>
      </c>
      <c r="X44" s="3045">
        <f>(W44+2)/(2+C44)</f>
        <v>1</v>
      </c>
      <c r="Y44" s="3045">
        <f>X44*L44</f>
        <v>18127.62</v>
      </c>
      <c r="Z44" s="3012">
        <v>10000</v>
      </c>
    </row>
    <row r="45" spans="1:56" ht="41.25" customHeight="1">
      <c r="B45" s="3003" t="s">
        <v>3139</v>
      </c>
      <c r="C45" s="3003">
        <v>7</v>
      </c>
      <c r="D45" s="3124"/>
      <c r="E45" s="3124"/>
      <c r="F45" s="3124"/>
      <c r="G45" s="3003">
        <f t="shared" si="8"/>
        <v>3187.17</v>
      </c>
      <c r="H45" s="3003">
        <v>3187.17</v>
      </c>
      <c r="I45" s="3003"/>
      <c r="J45" s="3003"/>
      <c r="K45" s="3003"/>
      <c r="L45" s="3003">
        <f t="shared" si="9"/>
        <v>3156.68</v>
      </c>
      <c r="M45" s="3003">
        <v>3138.64</v>
      </c>
      <c r="N45" s="3003"/>
      <c r="O45" s="3003"/>
      <c r="P45" s="3003"/>
      <c r="Q45" s="3003">
        <v>18.04</v>
      </c>
      <c r="R45" s="3023">
        <f t="shared" ref="R45:R56" si="10">SUM(S45:U45)</f>
        <v>129.22999999999999</v>
      </c>
      <c r="S45" s="3024">
        <f>楼盘表!K1863</f>
        <v>129.22999999999999</v>
      </c>
      <c r="T45" s="3023"/>
      <c r="U45" s="3023"/>
      <c r="V45" s="3003" t="s">
        <v>3140</v>
      </c>
      <c r="W45" s="3003">
        <v>7</v>
      </c>
      <c r="X45" s="3045">
        <f>(W45+2)/(2+C45)</f>
        <v>1</v>
      </c>
      <c r="Y45" s="3045">
        <f>X45*L45</f>
        <v>3156.68</v>
      </c>
      <c r="Z45" s="3012">
        <v>11500</v>
      </c>
    </row>
    <row r="46" spans="1:56" ht="41.25" customHeight="1">
      <c r="B46" s="3003" t="s">
        <v>3141</v>
      </c>
      <c r="C46" s="3003">
        <v>7</v>
      </c>
      <c r="D46" s="3124"/>
      <c r="E46" s="3124"/>
      <c r="F46" s="3124"/>
      <c r="G46" s="3003">
        <f t="shared" si="8"/>
        <v>3186.29</v>
      </c>
      <c r="H46" s="3003">
        <v>3186.29</v>
      </c>
      <c r="I46" s="3003"/>
      <c r="J46" s="3003"/>
      <c r="K46" s="3003"/>
      <c r="L46" s="3003">
        <f t="shared" si="9"/>
        <v>3156.68</v>
      </c>
      <c r="M46" s="3003">
        <v>3138.64</v>
      </c>
      <c r="N46" s="3003"/>
      <c r="O46" s="3003"/>
      <c r="P46" s="3003"/>
      <c r="Q46" s="3003">
        <v>18.04</v>
      </c>
      <c r="R46" s="3023">
        <f t="shared" si="10"/>
        <v>0</v>
      </c>
      <c r="S46" s="3023"/>
      <c r="T46" s="3023"/>
      <c r="U46" s="3023"/>
      <c r="V46" s="3003" t="s">
        <v>3142</v>
      </c>
      <c r="W46" s="3003">
        <v>7</v>
      </c>
      <c r="X46" s="3045"/>
      <c r="Y46" s="3045"/>
      <c r="Z46" s="3012">
        <v>11500</v>
      </c>
    </row>
    <row r="47" spans="1:56" ht="41.25" customHeight="1">
      <c r="B47" s="3003" t="s">
        <v>3143</v>
      </c>
      <c r="C47" s="3003">
        <v>7</v>
      </c>
      <c r="D47" s="3124"/>
      <c r="E47" s="3124"/>
      <c r="F47" s="3124"/>
      <c r="G47" s="3003">
        <f t="shared" si="8"/>
        <v>3188.05</v>
      </c>
      <c r="H47" s="3003">
        <v>3188.05</v>
      </c>
      <c r="I47" s="3003"/>
      <c r="J47" s="3003"/>
      <c r="K47" s="3003"/>
      <c r="L47" s="3003">
        <f t="shared" si="9"/>
        <v>3156.68</v>
      </c>
      <c r="M47" s="3003">
        <v>3138.64</v>
      </c>
      <c r="N47" s="3003"/>
      <c r="O47" s="3003"/>
      <c r="P47" s="3003"/>
      <c r="Q47" s="3003">
        <v>18.04</v>
      </c>
      <c r="R47" s="3023">
        <f t="shared" si="10"/>
        <v>129.1</v>
      </c>
      <c r="S47" s="3024">
        <f>楼盘表!K1864</f>
        <v>129.1</v>
      </c>
      <c r="T47" s="3023"/>
      <c r="U47" s="3023"/>
      <c r="V47" s="3003" t="s">
        <v>3144</v>
      </c>
      <c r="W47" s="3003">
        <v>6</v>
      </c>
      <c r="X47" s="3045">
        <f>(W47+2)/(2+C47)</f>
        <v>0.88888888888888884</v>
      </c>
      <c r="Y47" s="3045">
        <f>X47*L47</f>
        <v>2805.9377777777777</v>
      </c>
      <c r="Z47" s="3012">
        <v>11500</v>
      </c>
    </row>
    <row r="48" spans="1:56" ht="41.25" customHeight="1">
      <c r="B48" s="3003" t="s">
        <v>3145</v>
      </c>
      <c r="C48" s="3003">
        <v>7</v>
      </c>
      <c r="D48" s="3124"/>
      <c r="E48" s="3124"/>
      <c r="F48" s="3124"/>
      <c r="G48" s="3003">
        <f t="shared" si="8"/>
        <v>3188.05</v>
      </c>
      <c r="H48" s="3003">
        <v>3188.05</v>
      </c>
      <c r="I48" s="3003"/>
      <c r="J48" s="3003"/>
      <c r="K48" s="3003"/>
      <c r="L48" s="3003">
        <f t="shared" si="9"/>
        <v>3156.68</v>
      </c>
      <c r="M48" s="3003">
        <v>3138.64</v>
      </c>
      <c r="N48" s="3003"/>
      <c r="O48" s="3003"/>
      <c r="P48" s="3003"/>
      <c r="Q48" s="3003">
        <v>18.04</v>
      </c>
      <c r="R48" s="3023">
        <f t="shared" si="10"/>
        <v>262.49</v>
      </c>
      <c r="S48" s="3024">
        <f>楼盘表!K1865+楼盘表!K1866</f>
        <v>262.49</v>
      </c>
      <c r="T48" s="3023"/>
      <c r="U48" s="3023"/>
      <c r="V48" s="3003" t="s">
        <v>3146</v>
      </c>
      <c r="W48" s="3003">
        <v>5</v>
      </c>
      <c r="X48" s="3045">
        <f>(W48+2)/(2+C48)</f>
        <v>0.77777777777777779</v>
      </c>
      <c r="Y48" s="3045">
        <f>X48*L48</f>
        <v>2455.1955555555555</v>
      </c>
      <c r="Z48" s="3012">
        <v>11500</v>
      </c>
    </row>
    <row r="49" spans="1:56" ht="41.25" customHeight="1">
      <c r="B49" s="3003" t="s">
        <v>3147</v>
      </c>
      <c r="C49" s="3003">
        <v>7</v>
      </c>
      <c r="D49" s="3124"/>
      <c r="E49" s="3124"/>
      <c r="F49" s="3124"/>
      <c r="G49" s="3003">
        <f t="shared" si="8"/>
        <v>3187.17</v>
      </c>
      <c r="H49" s="3003">
        <v>3187.17</v>
      </c>
      <c r="I49" s="3003"/>
      <c r="J49" s="3003"/>
      <c r="K49" s="3003"/>
      <c r="L49" s="3003">
        <f t="shared" si="9"/>
        <v>3156.68</v>
      </c>
      <c r="M49" s="3003">
        <v>3138.64</v>
      </c>
      <c r="N49" s="3003"/>
      <c r="O49" s="3003"/>
      <c r="P49" s="3003"/>
      <c r="Q49" s="3003">
        <v>18.04</v>
      </c>
      <c r="R49" s="3023">
        <f t="shared" si="10"/>
        <v>0</v>
      </c>
      <c r="S49" s="3023"/>
      <c r="T49" s="3023"/>
      <c r="U49" s="3023"/>
      <c r="V49" s="3003" t="s">
        <v>3148</v>
      </c>
      <c r="W49" s="3003">
        <v>7</v>
      </c>
      <c r="X49" s="3045"/>
      <c r="Y49" s="3045"/>
      <c r="Z49" s="3012">
        <v>11500</v>
      </c>
    </row>
    <row r="50" spans="1:56" ht="41.25" customHeight="1">
      <c r="B50" s="3003" t="s">
        <v>3149</v>
      </c>
      <c r="C50" s="3003">
        <v>7</v>
      </c>
      <c r="D50" s="3124"/>
      <c r="E50" s="3124"/>
      <c r="F50" s="3124"/>
      <c r="G50" s="3003">
        <f t="shared" si="8"/>
        <v>3188.05</v>
      </c>
      <c r="H50" s="3003">
        <v>3188.05</v>
      </c>
      <c r="I50" s="3003"/>
      <c r="J50" s="3003"/>
      <c r="K50" s="3003"/>
      <c r="L50" s="3003">
        <f t="shared" si="9"/>
        <v>3156.68</v>
      </c>
      <c r="M50" s="3003">
        <v>3138.64</v>
      </c>
      <c r="N50" s="3003"/>
      <c r="O50" s="3003"/>
      <c r="P50" s="3003"/>
      <c r="Q50" s="3003">
        <v>18.04</v>
      </c>
      <c r="R50" s="3023">
        <f t="shared" si="10"/>
        <v>133.38999999999999</v>
      </c>
      <c r="S50" s="3024">
        <f>楼盘表!K1867</f>
        <v>133.38999999999999</v>
      </c>
      <c r="T50" s="3023"/>
      <c r="U50" s="3023"/>
      <c r="V50" s="3003" t="s">
        <v>3150</v>
      </c>
      <c r="W50" s="3003">
        <v>5</v>
      </c>
      <c r="X50" s="3045">
        <f>(W50+2)/(2+C50)</f>
        <v>0.77777777777777779</v>
      </c>
      <c r="Y50" s="3045">
        <f>X50*L50</f>
        <v>2455.1955555555555</v>
      </c>
      <c r="Z50" s="3012">
        <v>11500</v>
      </c>
    </row>
    <row r="51" spans="1:56" ht="41.25" customHeight="1">
      <c r="B51" s="3003" t="s">
        <v>3151</v>
      </c>
      <c r="C51" s="3003">
        <v>1</v>
      </c>
      <c r="D51" s="3124"/>
      <c r="E51" s="3124"/>
      <c r="F51" s="3124"/>
      <c r="G51" s="3003">
        <f t="shared" si="8"/>
        <v>704.73</v>
      </c>
      <c r="H51" s="3003"/>
      <c r="I51" s="3003">
        <v>704.73</v>
      </c>
      <c r="J51" s="3003"/>
      <c r="K51" s="3003"/>
      <c r="L51" s="3003">
        <f t="shared" si="9"/>
        <v>701.34</v>
      </c>
      <c r="M51" s="3003"/>
      <c r="N51" s="3003">
        <v>701.34</v>
      </c>
      <c r="O51" s="3003"/>
      <c r="P51" s="3003"/>
      <c r="Q51" s="3003"/>
      <c r="R51" s="3023">
        <f t="shared" si="10"/>
        <v>701.34000000000015</v>
      </c>
      <c r="S51" s="3023"/>
      <c r="T51" s="3023"/>
      <c r="U51" s="3024">
        <f>楼盘表!K1789</f>
        <v>701.34000000000015</v>
      </c>
      <c r="V51" s="3003"/>
      <c r="W51" s="3003">
        <v>0</v>
      </c>
      <c r="X51" s="3045"/>
      <c r="Y51" s="3045"/>
      <c r="Z51" s="3012"/>
    </row>
    <row r="52" spans="1:56" ht="41.25" customHeight="1">
      <c r="B52" s="3003" t="s">
        <v>3152</v>
      </c>
      <c r="C52" s="3003">
        <v>1</v>
      </c>
      <c r="D52" s="3124"/>
      <c r="E52" s="3124"/>
      <c r="F52" s="3124"/>
      <c r="G52" s="3003">
        <f t="shared" si="8"/>
        <v>798.71</v>
      </c>
      <c r="H52" s="3003"/>
      <c r="I52" s="3003">
        <v>798.71</v>
      </c>
      <c r="J52" s="3003"/>
      <c r="K52" s="3003"/>
      <c r="L52" s="3003">
        <f t="shared" si="9"/>
        <v>795.23</v>
      </c>
      <c r="M52" s="3003"/>
      <c r="N52" s="3003">
        <v>795.23</v>
      </c>
      <c r="O52" s="3003"/>
      <c r="P52" s="3003"/>
      <c r="Q52" s="3003"/>
      <c r="R52" s="3023">
        <f t="shared" si="10"/>
        <v>795.2299999999999</v>
      </c>
      <c r="S52" s="3023"/>
      <c r="T52" s="3023"/>
      <c r="U52" s="3024">
        <f>楼盘表!K1800</f>
        <v>795.2299999999999</v>
      </c>
      <c r="V52" s="3003"/>
      <c r="W52" s="3003">
        <v>0</v>
      </c>
      <c r="X52" s="3045"/>
      <c r="Y52" s="3045"/>
      <c r="Z52" s="3012"/>
    </row>
    <row r="53" spans="1:56" ht="41.25" customHeight="1">
      <c r="B53" s="3003" t="s">
        <v>3153</v>
      </c>
      <c r="C53" s="3003">
        <v>1</v>
      </c>
      <c r="D53" s="3124"/>
      <c r="E53" s="3124"/>
      <c r="F53" s="3124"/>
      <c r="G53" s="3003">
        <f t="shared" si="8"/>
        <v>765.41</v>
      </c>
      <c r="H53" s="3003"/>
      <c r="I53" s="3003">
        <v>765.41</v>
      </c>
      <c r="J53" s="3003"/>
      <c r="K53" s="3003"/>
      <c r="L53" s="3003">
        <f t="shared" si="9"/>
        <v>761.91</v>
      </c>
      <c r="M53" s="3003"/>
      <c r="N53" s="3003">
        <v>761.91</v>
      </c>
      <c r="O53" s="3003"/>
      <c r="P53" s="3003"/>
      <c r="Q53" s="3003"/>
      <c r="R53" s="3023">
        <f t="shared" si="10"/>
        <v>761.91</v>
      </c>
      <c r="S53" s="3023"/>
      <c r="T53" s="3023"/>
      <c r="U53" s="3024">
        <f>楼盘表!K1811</f>
        <v>761.91</v>
      </c>
      <c r="V53" s="3003"/>
      <c r="W53" s="3003">
        <v>0</v>
      </c>
      <c r="X53" s="3045"/>
      <c r="Y53" s="3045"/>
      <c r="Z53" s="3012"/>
    </row>
    <row r="54" spans="1:56" ht="41.25" customHeight="1">
      <c r="B54" s="3003" t="s">
        <v>3154</v>
      </c>
      <c r="C54" s="3003">
        <v>2</v>
      </c>
      <c r="D54" s="3124"/>
      <c r="E54" s="3124"/>
      <c r="F54" s="3124"/>
      <c r="G54" s="3003">
        <f>SUM(H54:K54)</f>
        <v>2128.8900000000003</v>
      </c>
      <c r="H54" s="3003"/>
      <c r="I54" s="3003">
        <v>704.59</v>
      </c>
      <c r="J54" s="3003">
        <f>122.11+149.11+448.71+61.65+447.72</f>
        <v>1229.3000000000002</v>
      </c>
      <c r="K54" s="3003">
        <v>195</v>
      </c>
      <c r="L54" s="3003">
        <f t="shared" si="9"/>
        <v>1909.31</v>
      </c>
      <c r="M54" s="3003"/>
      <c r="N54" s="3003">
        <v>733.78</v>
      </c>
      <c r="O54" s="3003"/>
      <c r="P54" s="3003">
        <v>1005</v>
      </c>
      <c r="Q54" s="3003">
        <v>170.53</v>
      </c>
      <c r="R54" s="3023">
        <f t="shared" si="10"/>
        <v>733.78000000000009</v>
      </c>
      <c r="S54" s="3023"/>
      <c r="T54" s="3023"/>
      <c r="U54" s="3024">
        <f>楼盘表!K1822</f>
        <v>733.78000000000009</v>
      </c>
      <c r="V54" s="3003"/>
      <c r="W54" s="3003">
        <v>0</v>
      </c>
      <c r="X54" s="3045"/>
      <c r="Y54" s="3045"/>
      <c r="Z54" s="3012"/>
    </row>
    <row r="55" spans="1:56" ht="41.25" customHeight="1">
      <c r="B55" s="3003" t="s">
        <v>3155</v>
      </c>
      <c r="C55" s="3003">
        <v>1</v>
      </c>
      <c r="D55" s="3124"/>
      <c r="E55" s="3124"/>
      <c r="F55" s="3124"/>
      <c r="G55" s="3003">
        <f t="shared" ref="G55:G56" si="11">SUM(H55:K55)</f>
        <v>198.66</v>
      </c>
      <c r="H55" s="3003"/>
      <c r="I55" s="3003"/>
      <c r="J55" s="3003">
        <v>198.66</v>
      </c>
      <c r="K55" s="3003"/>
      <c r="L55" s="3003">
        <f t="shared" si="9"/>
        <v>0</v>
      </c>
      <c r="M55" s="3003"/>
      <c r="N55" s="3003"/>
      <c r="O55" s="3003"/>
      <c r="P55" s="3003"/>
      <c r="Q55" s="3003"/>
      <c r="R55" s="3023">
        <f t="shared" si="10"/>
        <v>0</v>
      </c>
      <c r="S55" s="3023"/>
      <c r="T55" s="3023"/>
      <c r="U55" s="3023"/>
      <c r="V55" s="3003"/>
      <c r="W55" s="3003"/>
      <c r="X55" s="3045"/>
      <c r="Y55" s="3045"/>
      <c r="Z55" s="3012"/>
    </row>
    <row r="56" spans="1:56" ht="41.25" customHeight="1">
      <c r="B56" s="3003" t="s">
        <v>3156</v>
      </c>
      <c r="C56" s="3003">
        <v>1</v>
      </c>
      <c r="D56" s="3124"/>
      <c r="E56" s="3124"/>
      <c r="F56" s="3124"/>
      <c r="G56" s="3003">
        <f t="shared" si="11"/>
        <v>36.93</v>
      </c>
      <c r="H56" s="3003"/>
      <c r="I56" s="3003"/>
      <c r="J56" s="3003">
        <v>36.93</v>
      </c>
      <c r="K56" s="3003"/>
      <c r="L56" s="3003">
        <f t="shared" si="9"/>
        <v>0</v>
      </c>
      <c r="M56" s="3003"/>
      <c r="N56" s="3003"/>
      <c r="O56" s="3003"/>
      <c r="P56" s="3003"/>
      <c r="Q56" s="3003"/>
      <c r="R56" s="3023">
        <f t="shared" si="10"/>
        <v>0</v>
      </c>
      <c r="S56" s="3023"/>
      <c r="T56" s="3023"/>
      <c r="U56" s="3023"/>
      <c r="V56" s="3003"/>
      <c r="W56" s="3003"/>
      <c r="X56" s="3045"/>
      <c r="Y56" s="3045"/>
      <c r="Z56" s="3012"/>
    </row>
    <row r="57" spans="1:56" s="3030" customFormat="1" ht="41.25" customHeight="1">
      <c r="A57" s="3025"/>
      <c r="B57" s="3026" t="s">
        <v>3157</v>
      </c>
      <c r="C57" s="3026"/>
      <c r="D57" s="3026"/>
      <c r="E57" s="3026"/>
      <c r="F57" s="3026">
        <f>ROUND(SUM(H57:J57)/F43,2)</f>
        <v>1.52</v>
      </c>
      <c r="G57" s="3026">
        <f>SUM(G43:G56)</f>
        <v>50904.330000000016</v>
      </c>
      <c r="H57" s="3026">
        <f t="shared" ref="H57:U57" si="12">SUM(H43:H56)</f>
        <v>45908.570000000007</v>
      </c>
      <c r="I57" s="3026">
        <f t="shared" si="12"/>
        <v>2973.44</v>
      </c>
      <c r="J57" s="3026">
        <f t="shared" si="12"/>
        <v>1827.3200000000004</v>
      </c>
      <c r="K57" s="3026">
        <f t="shared" si="12"/>
        <v>195</v>
      </c>
      <c r="L57" s="3026">
        <f t="shared" si="12"/>
        <v>50316.55</v>
      </c>
      <c r="M57" s="3026">
        <f t="shared" si="12"/>
        <v>45667.06</v>
      </c>
      <c r="N57" s="3026">
        <f t="shared" si="12"/>
        <v>2992.26</v>
      </c>
      <c r="O57" s="3026">
        <f t="shared" si="12"/>
        <v>365.84</v>
      </c>
      <c r="P57" s="3026">
        <f t="shared" si="12"/>
        <v>1005</v>
      </c>
      <c r="Q57" s="3026">
        <f t="shared" si="12"/>
        <v>286.39</v>
      </c>
      <c r="R57" s="3026">
        <f t="shared" si="12"/>
        <v>3870.9</v>
      </c>
      <c r="S57" s="3026">
        <f t="shared" si="12"/>
        <v>654.20999999999992</v>
      </c>
      <c r="T57" s="3026">
        <f t="shared" si="12"/>
        <v>224.43</v>
      </c>
      <c r="U57" s="3026">
        <f t="shared" si="12"/>
        <v>2992.26</v>
      </c>
      <c r="V57" s="3026"/>
      <c r="W57" s="3026"/>
      <c r="X57" s="3026">
        <f>Y57/(L44+L45+L47+L48+L50)*('数据-取费表'!L23/'数据-取费表'!N23)*0.6</f>
        <v>0.37719071700304907</v>
      </c>
      <c r="Y57" s="3026">
        <f>SUM(Y43:Y56)</f>
        <v>29000.628888888885</v>
      </c>
      <c r="Z57" s="3027"/>
      <c r="AA57" s="3028"/>
      <c r="AB57" s="3028"/>
      <c r="AC57" s="3028"/>
      <c r="AD57" s="3028"/>
      <c r="AE57" s="3028"/>
      <c r="AF57" s="3028"/>
      <c r="AG57" s="3028"/>
      <c r="AH57" s="3028"/>
      <c r="AI57" s="3028"/>
      <c r="AJ57" s="3028"/>
      <c r="AK57" s="3028"/>
      <c r="AL57" s="3028"/>
      <c r="AM57" s="3028"/>
      <c r="AN57" s="3028"/>
      <c r="AO57" s="3028"/>
      <c r="AP57" s="3028"/>
      <c r="AQ57" s="3029"/>
      <c r="AR57" s="3029"/>
      <c r="AS57" s="3029"/>
      <c r="AT57" s="3029"/>
      <c r="AU57" s="3029"/>
      <c r="AV57" s="3029"/>
      <c r="AW57" s="3029"/>
      <c r="AX57" s="3029"/>
      <c r="AY57" s="3029"/>
      <c r="AZ57" s="3029"/>
      <c r="BA57" s="3029"/>
      <c r="BB57" s="3029"/>
      <c r="BC57" s="3029"/>
      <c r="BD57" s="3029"/>
    </row>
    <row r="58" spans="1:56" s="2953" customFormat="1" ht="41.25" customHeight="1">
      <c r="A58" s="3014"/>
      <c r="B58" s="3015" t="s">
        <v>3158</v>
      </c>
      <c r="C58" s="3015">
        <v>-1</v>
      </c>
      <c r="D58" s="3015"/>
      <c r="E58" s="3015"/>
      <c r="F58" s="3015"/>
      <c r="G58" s="3015">
        <f>SUM(H58:K58)</f>
        <v>95218.5</v>
      </c>
      <c r="H58" s="3015"/>
      <c r="I58" s="3015"/>
      <c r="J58" s="3015"/>
      <c r="K58" s="3015">
        <v>95218.5</v>
      </c>
      <c r="L58" s="3015"/>
      <c r="M58" s="3015"/>
      <c r="N58" s="3015"/>
      <c r="O58" s="3015"/>
      <c r="P58" s="3015"/>
      <c r="Q58" s="3015"/>
      <c r="R58" s="3015"/>
      <c r="S58" s="3015"/>
      <c r="T58" s="3015"/>
      <c r="U58" s="3015"/>
      <c r="V58" s="3015"/>
      <c r="W58" s="3015"/>
      <c r="X58" s="3015"/>
      <c r="Y58" s="3015"/>
      <c r="Z58" s="3016"/>
      <c r="AA58" s="3017"/>
      <c r="AB58" s="3017"/>
      <c r="AC58" s="3017"/>
      <c r="AD58" s="3017"/>
      <c r="AE58" s="3017"/>
      <c r="AF58" s="3017"/>
      <c r="AG58" s="3017"/>
      <c r="AH58" s="3017"/>
      <c r="AI58" s="3017"/>
      <c r="AJ58" s="3017"/>
      <c r="AK58" s="3017"/>
      <c r="AL58" s="3017"/>
      <c r="AM58" s="3017"/>
      <c r="AN58" s="3017"/>
      <c r="AO58" s="3017"/>
      <c r="AP58" s="3017"/>
      <c r="AQ58" s="2952"/>
      <c r="AR58" s="2952"/>
      <c r="AS58" s="2952"/>
      <c r="AT58" s="2952"/>
      <c r="AU58" s="2952"/>
      <c r="AV58" s="2952"/>
      <c r="AW58" s="2952"/>
      <c r="AX58" s="2952"/>
      <c r="AY58" s="2952"/>
      <c r="AZ58" s="2952"/>
      <c r="BA58" s="2952"/>
      <c r="BB58" s="2952"/>
      <c r="BC58" s="2952"/>
      <c r="BD58" s="2952"/>
    </row>
    <row r="59" spans="1:56" s="3030" customFormat="1" ht="41.25" customHeight="1">
      <c r="A59" s="3025"/>
      <c r="B59" s="3026" t="s">
        <v>3159</v>
      </c>
      <c r="C59" s="3026"/>
      <c r="D59" s="3026"/>
      <c r="E59" s="3026"/>
      <c r="F59" s="3026">
        <f>ROUND(SUM(H59:J59)/(F43+F19+F10),2)</f>
        <v>2</v>
      </c>
      <c r="G59" s="3026">
        <f>G18+G57+G42+G58</f>
        <v>352480.54000000004</v>
      </c>
      <c r="H59" s="3026">
        <f t="shared" ref="H59:U59" si="13">H18+H57+H42+H58</f>
        <v>246748.27999999997</v>
      </c>
      <c r="I59" s="3026">
        <f t="shared" si="13"/>
        <v>4747.57</v>
      </c>
      <c r="J59" s="3026">
        <f t="shared" si="13"/>
        <v>5571.1900000000005</v>
      </c>
      <c r="K59" s="3026">
        <f t="shared" si="13"/>
        <v>95413.5</v>
      </c>
      <c r="L59" s="3026">
        <f t="shared" si="13"/>
        <v>256155.36</v>
      </c>
      <c r="M59" s="3026">
        <f t="shared" si="13"/>
        <v>246675.84</v>
      </c>
      <c r="N59" s="3026">
        <f t="shared" si="13"/>
        <v>4752.2000000000007</v>
      </c>
      <c r="O59" s="3026">
        <f t="shared" si="13"/>
        <v>710.88</v>
      </c>
      <c r="P59" s="3026">
        <f t="shared" si="13"/>
        <v>1543.47</v>
      </c>
      <c r="Q59" s="3026">
        <f t="shared" si="13"/>
        <v>2472.9699999999998</v>
      </c>
      <c r="R59" s="3026">
        <f t="shared" si="13"/>
        <v>198562.23999999996</v>
      </c>
      <c r="S59" s="3026">
        <f t="shared" si="13"/>
        <v>16851.289999999994</v>
      </c>
      <c r="T59" s="3026">
        <f t="shared" si="13"/>
        <v>176958.74999999997</v>
      </c>
      <c r="U59" s="3026">
        <f t="shared" si="13"/>
        <v>4752.2000000000007</v>
      </c>
      <c r="V59" s="3026"/>
      <c r="W59" s="3026"/>
      <c r="X59" s="3026"/>
      <c r="Y59" s="3026"/>
      <c r="Z59" s="3027"/>
      <c r="AA59" s="3028"/>
      <c r="AB59" s="3028"/>
      <c r="AC59" s="3028"/>
      <c r="AD59" s="3028"/>
      <c r="AE59" s="3028"/>
      <c r="AF59" s="3028"/>
      <c r="AG59" s="3028"/>
      <c r="AH59" s="3028"/>
      <c r="AI59" s="3028"/>
      <c r="AJ59" s="3028"/>
      <c r="AK59" s="3028"/>
      <c r="AL59" s="3028"/>
      <c r="AM59" s="3028"/>
      <c r="AN59" s="3028"/>
      <c r="AO59" s="3028"/>
      <c r="AP59" s="3028"/>
      <c r="AQ59" s="3029"/>
      <c r="AR59" s="3029"/>
      <c r="AS59" s="3029"/>
      <c r="AT59" s="3029"/>
      <c r="AU59" s="3029"/>
      <c r="AV59" s="3029"/>
      <c r="AW59" s="3029"/>
      <c r="AX59" s="3029"/>
      <c r="AY59" s="3029"/>
      <c r="AZ59" s="3029"/>
      <c r="BA59" s="3029"/>
      <c r="BB59" s="3029"/>
      <c r="BC59" s="3029"/>
      <c r="BD59" s="3029"/>
    </row>
    <row r="60" spans="1:56" ht="30" customHeight="1"/>
    <row r="61" spans="1:56" ht="30" customHeight="1"/>
    <row r="62" spans="1:56" ht="30" customHeight="1"/>
    <row r="63" spans="1:56" ht="30" customHeight="1"/>
    <row r="64" spans="1:56" ht="30" customHeight="1"/>
    <row r="65" spans="1:56" ht="30" customHeight="1"/>
    <row r="66" spans="1:56" ht="30" customHeight="1"/>
    <row r="67" spans="1:56" s="2948" customFormat="1" ht="30" customHeight="1">
      <c r="A67" s="2994"/>
      <c r="B67" s="2994"/>
      <c r="C67" s="2994"/>
      <c r="D67" s="2994"/>
      <c r="E67" s="2994"/>
      <c r="F67" s="2994"/>
      <c r="G67" s="2994"/>
      <c r="H67" s="2994"/>
      <c r="I67" s="2994"/>
      <c r="J67" s="2994"/>
      <c r="K67" s="2994"/>
      <c r="L67" s="2994"/>
      <c r="M67" s="2994"/>
      <c r="N67" s="2994"/>
      <c r="O67" s="2994"/>
      <c r="P67" s="2994"/>
      <c r="Q67" s="2994"/>
      <c r="R67" s="2994"/>
      <c r="S67" s="2994"/>
      <c r="T67" s="2994"/>
      <c r="U67" s="2994"/>
      <c r="V67" s="2995"/>
      <c r="W67" s="2995"/>
      <c r="X67" s="2995"/>
      <c r="Y67" s="2995"/>
      <c r="Z67" s="3011"/>
      <c r="AA67" s="2997"/>
      <c r="AB67" s="2997"/>
      <c r="AC67" s="2997"/>
      <c r="AD67" s="2997"/>
      <c r="AE67" s="2997"/>
      <c r="AF67" s="2997"/>
      <c r="AG67" s="2997"/>
      <c r="AH67" s="2997"/>
      <c r="AI67" s="2997"/>
      <c r="AJ67" s="2997"/>
      <c r="AK67" s="2997"/>
      <c r="AL67" s="2997"/>
      <c r="AM67" s="2997"/>
      <c r="AN67" s="2997"/>
      <c r="AO67" s="2997"/>
      <c r="AP67" s="2997"/>
      <c r="AQ67" s="2949"/>
      <c r="AR67" s="2949"/>
      <c r="AS67" s="2949"/>
      <c r="AT67" s="2949"/>
      <c r="AU67" s="2949"/>
      <c r="AV67" s="2949"/>
      <c r="AW67" s="2949"/>
      <c r="AX67" s="2949"/>
      <c r="AY67" s="2949"/>
      <c r="AZ67" s="2949"/>
      <c r="BA67" s="2949"/>
      <c r="BB67" s="2949"/>
      <c r="BC67" s="2949"/>
      <c r="BD67" s="2949"/>
    </row>
    <row r="68" spans="1:56" s="2948" customFormat="1" ht="30" customHeight="1">
      <c r="A68" s="2994"/>
      <c r="B68" s="2994"/>
      <c r="C68" s="2994"/>
      <c r="D68" s="2994"/>
      <c r="E68" s="2994"/>
      <c r="F68" s="2994"/>
      <c r="G68" s="2994"/>
      <c r="H68" s="2994"/>
      <c r="I68" s="2994"/>
      <c r="J68" s="2994"/>
      <c r="K68" s="2994"/>
      <c r="L68" s="2994"/>
      <c r="M68" s="2994"/>
      <c r="N68" s="2994"/>
      <c r="O68" s="2994"/>
      <c r="P68" s="2994"/>
      <c r="Q68" s="2994"/>
      <c r="R68" s="2994"/>
      <c r="S68" s="2994"/>
      <c r="T68" s="2994"/>
      <c r="U68" s="2994"/>
      <c r="V68" s="2995"/>
      <c r="W68" s="2995"/>
      <c r="X68" s="2995"/>
      <c r="Y68" s="2995"/>
      <c r="Z68" s="3011"/>
      <c r="AA68" s="2997"/>
      <c r="AB68" s="2997"/>
      <c r="AC68" s="2997"/>
      <c r="AD68" s="2997"/>
      <c r="AE68" s="2997"/>
      <c r="AF68" s="2997"/>
      <c r="AG68" s="2997"/>
      <c r="AH68" s="2997"/>
      <c r="AI68" s="2997"/>
      <c r="AJ68" s="2997"/>
      <c r="AK68" s="2997"/>
      <c r="AL68" s="2997"/>
      <c r="AM68" s="2997"/>
      <c r="AN68" s="2997"/>
      <c r="AO68" s="2997"/>
      <c r="AP68" s="2997"/>
      <c r="AQ68" s="2949"/>
      <c r="AR68" s="2949"/>
      <c r="AS68" s="2949"/>
      <c r="AT68" s="2949"/>
      <c r="AU68" s="2949"/>
      <c r="AV68" s="2949"/>
      <c r="AW68" s="2949"/>
      <c r="AX68" s="2949"/>
      <c r="AY68" s="2949"/>
      <c r="AZ68" s="2949"/>
      <c r="BA68" s="2949"/>
      <c r="BB68" s="2949"/>
      <c r="BC68" s="2949"/>
      <c r="BD68" s="2949"/>
    </row>
    <row r="69" spans="1:56" s="2948" customFormat="1" ht="30" customHeight="1">
      <c r="A69" s="2994"/>
      <c r="B69" s="2994"/>
      <c r="C69" s="2994"/>
      <c r="D69" s="2994"/>
      <c r="E69" s="2994"/>
      <c r="F69" s="2994"/>
      <c r="G69" s="2994"/>
      <c r="H69" s="2994"/>
      <c r="I69" s="2994"/>
      <c r="J69" s="2994"/>
      <c r="K69" s="2994"/>
      <c r="L69" s="2994"/>
      <c r="M69" s="2994"/>
      <c r="N69" s="2994"/>
      <c r="O69" s="2994"/>
      <c r="P69" s="2994"/>
      <c r="Q69" s="2994"/>
      <c r="R69" s="2994"/>
      <c r="S69" s="2994"/>
      <c r="T69" s="2994"/>
      <c r="U69" s="2994"/>
      <c r="V69" s="2995"/>
      <c r="W69" s="2995"/>
      <c r="X69" s="2995"/>
      <c r="Y69" s="2995"/>
      <c r="Z69" s="3011"/>
      <c r="AA69" s="2997"/>
      <c r="AB69" s="2997"/>
      <c r="AC69" s="2997"/>
      <c r="AD69" s="2997"/>
      <c r="AE69" s="2997"/>
      <c r="AF69" s="2997"/>
      <c r="AG69" s="2997"/>
      <c r="AH69" s="2997"/>
      <c r="AI69" s="2997"/>
      <c r="AJ69" s="2997"/>
      <c r="AK69" s="2997"/>
      <c r="AL69" s="2997"/>
      <c r="AM69" s="2997"/>
      <c r="AN69" s="2997"/>
      <c r="AO69" s="2997"/>
      <c r="AP69" s="2997"/>
      <c r="AQ69" s="2949"/>
      <c r="AR69" s="2949"/>
      <c r="AS69" s="2949"/>
      <c r="AT69" s="2949"/>
      <c r="AU69" s="2949"/>
      <c r="AV69" s="2949"/>
      <c r="AW69" s="2949"/>
      <c r="AX69" s="2949"/>
      <c r="AY69" s="2949"/>
      <c r="AZ69" s="2949"/>
      <c r="BA69" s="2949"/>
      <c r="BB69" s="2949"/>
      <c r="BC69" s="2949"/>
      <c r="BD69" s="2949"/>
    </row>
    <row r="70" spans="1:56" s="2948" customFormat="1" ht="30" customHeight="1">
      <c r="A70" s="2994"/>
      <c r="B70" s="2994"/>
      <c r="C70" s="2994"/>
      <c r="D70" s="2994"/>
      <c r="E70" s="2994"/>
      <c r="F70" s="2994"/>
      <c r="G70" s="2994"/>
      <c r="H70" s="2994"/>
      <c r="I70" s="2994"/>
      <c r="J70" s="2994"/>
      <c r="K70" s="2994"/>
      <c r="L70" s="2994"/>
      <c r="M70" s="2994"/>
      <c r="N70" s="2994"/>
      <c r="O70" s="2994"/>
      <c r="P70" s="2994"/>
      <c r="Q70" s="2994"/>
      <c r="R70" s="2994"/>
      <c r="S70" s="2994"/>
      <c r="T70" s="2994"/>
      <c r="U70" s="2994"/>
      <c r="V70" s="2995"/>
      <c r="W70" s="2995"/>
      <c r="X70" s="2995"/>
      <c r="Y70" s="2995"/>
      <c r="Z70" s="3011"/>
      <c r="AA70" s="2997"/>
      <c r="AB70" s="2997"/>
      <c r="AC70" s="2997"/>
      <c r="AD70" s="2997"/>
      <c r="AE70" s="2997"/>
      <c r="AF70" s="2997"/>
      <c r="AG70" s="2997"/>
      <c r="AH70" s="2997"/>
      <c r="AI70" s="2997"/>
      <c r="AJ70" s="2997"/>
      <c r="AK70" s="2997"/>
      <c r="AL70" s="2997"/>
      <c r="AM70" s="2997"/>
      <c r="AN70" s="2997"/>
      <c r="AO70" s="2997"/>
      <c r="AP70" s="2997"/>
      <c r="AQ70" s="2949"/>
      <c r="AR70" s="2949"/>
      <c r="AS70" s="2949"/>
      <c r="AT70" s="2949"/>
      <c r="AU70" s="2949"/>
      <c r="AV70" s="2949"/>
      <c r="AW70" s="2949"/>
      <c r="AX70" s="2949"/>
      <c r="AY70" s="2949"/>
      <c r="AZ70" s="2949"/>
      <c r="BA70" s="2949"/>
      <c r="BB70" s="2949"/>
      <c r="BC70" s="2949"/>
      <c r="BD70" s="2949"/>
    </row>
    <row r="71" spans="1:56" s="2948" customFormat="1" ht="30" customHeight="1">
      <c r="A71" s="2994"/>
      <c r="B71" s="2994"/>
      <c r="C71" s="2994"/>
      <c r="D71" s="2994"/>
      <c r="E71" s="2994"/>
      <c r="F71" s="2994"/>
      <c r="G71" s="2994"/>
      <c r="H71" s="2994"/>
      <c r="I71" s="2994"/>
      <c r="J71" s="2994"/>
      <c r="K71" s="2994"/>
      <c r="L71" s="2994"/>
      <c r="M71" s="2994"/>
      <c r="N71" s="2994"/>
      <c r="O71" s="2994"/>
      <c r="P71" s="2994"/>
      <c r="Q71" s="2994"/>
      <c r="R71" s="2994"/>
      <c r="S71" s="2994"/>
      <c r="T71" s="2994"/>
      <c r="U71" s="2994"/>
      <c r="V71" s="2995"/>
      <c r="W71" s="2995"/>
      <c r="X71" s="2995"/>
      <c r="Y71" s="2995"/>
      <c r="Z71" s="3011"/>
      <c r="AA71" s="2997"/>
      <c r="AB71" s="2997"/>
      <c r="AC71" s="2997"/>
      <c r="AD71" s="2997"/>
      <c r="AE71" s="2997"/>
      <c r="AF71" s="2997"/>
      <c r="AG71" s="2997"/>
      <c r="AH71" s="2997"/>
      <c r="AI71" s="2997"/>
      <c r="AJ71" s="2997"/>
      <c r="AK71" s="2997"/>
      <c r="AL71" s="2997"/>
      <c r="AM71" s="2997"/>
      <c r="AN71" s="2997"/>
      <c r="AO71" s="2997"/>
      <c r="AP71" s="2997"/>
      <c r="AQ71" s="2949"/>
      <c r="AR71" s="2949"/>
      <c r="AS71" s="2949"/>
      <c r="AT71" s="2949"/>
      <c r="AU71" s="2949"/>
      <c r="AV71" s="2949"/>
      <c r="AW71" s="2949"/>
      <c r="AX71" s="2949"/>
      <c r="AY71" s="2949"/>
      <c r="AZ71" s="2949"/>
      <c r="BA71" s="2949"/>
      <c r="BB71" s="2949"/>
      <c r="BC71" s="2949"/>
      <c r="BD71" s="2949"/>
    </row>
    <row r="72" spans="1:56" s="2948" customFormat="1" ht="30" customHeight="1">
      <c r="A72" s="2994"/>
      <c r="B72" s="2994"/>
      <c r="C72" s="2994"/>
      <c r="D72" s="2994"/>
      <c r="E72" s="2994"/>
      <c r="F72" s="2994"/>
      <c r="G72" s="2994"/>
      <c r="H72" s="2994"/>
      <c r="I72" s="2994"/>
      <c r="J72" s="2994"/>
      <c r="K72" s="2994"/>
      <c r="L72" s="2994"/>
      <c r="M72" s="2994"/>
      <c r="N72" s="2994"/>
      <c r="O72" s="2994"/>
      <c r="P72" s="2994"/>
      <c r="Q72" s="2994"/>
      <c r="R72" s="2994"/>
      <c r="S72" s="2994"/>
      <c r="T72" s="2994"/>
      <c r="U72" s="2994"/>
      <c r="V72" s="2995"/>
      <c r="W72" s="2995"/>
      <c r="X72" s="2995"/>
      <c r="Y72" s="2995"/>
      <c r="Z72" s="3011"/>
      <c r="AA72" s="2997"/>
      <c r="AB72" s="2997"/>
      <c r="AC72" s="2997"/>
      <c r="AD72" s="2997"/>
      <c r="AE72" s="2997"/>
      <c r="AF72" s="2997"/>
      <c r="AG72" s="2997"/>
      <c r="AH72" s="2997"/>
      <c r="AI72" s="2997"/>
      <c r="AJ72" s="2997"/>
      <c r="AK72" s="2997"/>
      <c r="AL72" s="2997"/>
      <c r="AM72" s="2997"/>
      <c r="AN72" s="2997"/>
      <c r="AO72" s="2997"/>
      <c r="AP72" s="2997"/>
      <c r="AQ72" s="2949"/>
      <c r="AR72" s="2949"/>
      <c r="AS72" s="2949"/>
      <c r="AT72" s="2949"/>
      <c r="AU72" s="2949"/>
      <c r="AV72" s="2949"/>
      <c r="AW72" s="2949"/>
      <c r="AX72" s="2949"/>
      <c r="AY72" s="2949"/>
      <c r="AZ72" s="2949"/>
      <c r="BA72" s="2949"/>
      <c r="BB72" s="2949"/>
      <c r="BC72" s="2949"/>
      <c r="BD72" s="2949"/>
    </row>
    <row r="73" spans="1:56" s="2948" customFormat="1" ht="30" customHeight="1">
      <c r="A73" s="2994"/>
      <c r="B73" s="2994"/>
      <c r="C73" s="2994"/>
      <c r="D73" s="2994"/>
      <c r="E73" s="2994"/>
      <c r="F73" s="2994"/>
      <c r="G73" s="2994"/>
      <c r="H73" s="2994"/>
      <c r="I73" s="2994"/>
      <c r="J73" s="2994"/>
      <c r="K73" s="2994"/>
      <c r="L73" s="2994"/>
      <c r="M73" s="2994"/>
      <c r="N73" s="2994"/>
      <c r="O73" s="2994"/>
      <c r="P73" s="2994"/>
      <c r="Q73" s="2994"/>
      <c r="R73" s="2994"/>
      <c r="S73" s="2994"/>
      <c r="T73" s="2994"/>
      <c r="U73" s="2994"/>
      <c r="V73" s="2995"/>
      <c r="W73" s="2995"/>
      <c r="X73" s="2995"/>
      <c r="Y73" s="2995"/>
      <c r="Z73" s="3011"/>
      <c r="AA73" s="2997"/>
      <c r="AB73" s="2997"/>
      <c r="AC73" s="2997"/>
      <c r="AD73" s="2997"/>
      <c r="AE73" s="2997"/>
      <c r="AF73" s="2997"/>
      <c r="AG73" s="2997"/>
      <c r="AH73" s="2997"/>
      <c r="AI73" s="2997"/>
      <c r="AJ73" s="2997"/>
      <c r="AK73" s="2997"/>
      <c r="AL73" s="2997"/>
      <c r="AM73" s="2997"/>
      <c r="AN73" s="2997"/>
      <c r="AO73" s="2997"/>
      <c r="AP73" s="2997"/>
      <c r="AQ73" s="2949"/>
      <c r="AR73" s="2949"/>
      <c r="AS73" s="2949"/>
      <c r="AT73" s="2949"/>
      <c r="AU73" s="2949"/>
      <c r="AV73" s="2949"/>
      <c r="AW73" s="2949"/>
      <c r="AX73" s="2949"/>
      <c r="AY73" s="2949"/>
      <c r="AZ73" s="2949"/>
      <c r="BA73" s="2949"/>
      <c r="BB73" s="2949"/>
      <c r="BC73" s="2949"/>
      <c r="BD73" s="2949"/>
    </row>
    <row r="74" spans="1:56" s="2948" customFormat="1" ht="30" customHeight="1">
      <c r="A74" s="2994"/>
      <c r="B74" s="2994"/>
      <c r="C74" s="2994"/>
      <c r="D74" s="2994"/>
      <c r="E74" s="2994"/>
      <c r="F74" s="2994"/>
      <c r="G74" s="2994"/>
      <c r="H74" s="2994"/>
      <c r="I74" s="2994"/>
      <c r="J74" s="2994"/>
      <c r="K74" s="2994"/>
      <c r="L74" s="2994"/>
      <c r="M74" s="2994"/>
      <c r="N74" s="2994"/>
      <c r="O74" s="2994"/>
      <c r="P74" s="2994"/>
      <c r="Q74" s="2994"/>
      <c r="R74" s="2994"/>
      <c r="S74" s="2994"/>
      <c r="T74" s="2994"/>
      <c r="U74" s="2994"/>
      <c r="V74" s="2995"/>
      <c r="W74" s="2995"/>
      <c r="X74" s="2995"/>
      <c r="Y74" s="2995"/>
      <c r="Z74" s="3011"/>
      <c r="AA74" s="2997"/>
      <c r="AB74" s="2997"/>
      <c r="AC74" s="2997"/>
      <c r="AD74" s="2997"/>
      <c r="AE74" s="2997"/>
      <c r="AF74" s="2997"/>
      <c r="AG74" s="2997"/>
      <c r="AH74" s="2997"/>
      <c r="AI74" s="2997"/>
      <c r="AJ74" s="2997"/>
      <c r="AK74" s="2997"/>
      <c r="AL74" s="2997"/>
      <c r="AM74" s="2997"/>
      <c r="AN74" s="2997"/>
      <c r="AO74" s="2997"/>
      <c r="AP74" s="2997"/>
      <c r="AQ74" s="2949"/>
      <c r="AR74" s="2949"/>
      <c r="AS74" s="2949"/>
      <c r="AT74" s="2949"/>
      <c r="AU74" s="2949"/>
      <c r="AV74" s="2949"/>
      <c r="AW74" s="2949"/>
      <c r="AX74" s="2949"/>
      <c r="AY74" s="2949"/>
      <c r="AZ74" s="2949"/>
      <c r="BA74" s="2949"/>
      <c r="BB74" s="2949"/>
      <c r="BC74" s="2949"/>
      <c r="BD74" s="2949"/>
    </row>
    <row r="75" spans="1:56" s="2948" customFormat="1" ht="30" customHeight="1">
      <c r="A75" s="2994"/>
      <c r="B75" s="2994"/>
      <c r="C75" s="2994"/>
      <c r="D75" s="2994"/>
      <c r="E75" s="2994"/>
      <c r="F75" s="2994"/>
      <c r="G75" s="2994"/>
      <c r="H75" s="2994"/>
      <c r="I75" s="2994"/>
      <c r="J75" s="2994"/>
      <c r="K75" s="2994"/>
      <c r="L75" s="2994"/>
      <c r="M75" s="2994"/>
      <c r="N75" s="2994"/>
      <c r="O75" s="2994"/>
      <c r="P75" s="2994"/>
      <c r="Q75" s="2994"/>
      <c r="R75" s="2994"/>
      <c r="S75" s="2994"/>
      <c r="T75" s="2994"/>
      <c r="U75" s="2994"/>
      <c r="V75" s="2995"/>
      <c r="W75" s="2995"/>
      <c r="X75" s="2995"/>
      <c r="Y75" s="2995"/>
      <c r="Z75" s="3011"/>
      <c r="AA75" s="2997"/>
      <c r="AB75" s="2997"/>
      <c r="AC75" s="2997"/>
      <c r="AD75" s="2997"/>
      <c r="AE75" s="2997"/>
      <c r="AF75" s="2997"/>
      <c r="AG75" s="2997"/>
      <c r="AH75" s="2997"/>
      <c r="AI75" s="2997"/>
      <c r="AJ75" s="2997"/>
      <c r="AK75" s="2997"/>
      <c r="AL75" s="2997"/>
      <c r="AM75" s="2997"/>
      <c r="AN75" s="2997"/>
      <c r="AO75" s="2997"/>
      <c r="AP75" s="2997"/>
      <c r="AQ75" s="2949"/>
      <c r="AR75" s="2949"/>
      <c r="AS75" s="2949"/>
      <c r="AT75" s="2949"/>
      <c r="AU75" s="2949"/>
      <c r="AV75" s="2949"/>
      <c r="AW75" s="2949"/>
      <c r="AX75" s="2949"/>
      <c r="AY75" s="2949"/>
      <c r="AZ75" s="2949"/>
      <c r="BA75" s="2949"/>
      <c r="BB75" s="2949"/>
      <c r="BC75" s="2949"/>
      <c r="BD75" s="2949"/>
    </row>
    <row r="76" spans="1:56" s="2948" customFormat="1" ht="30" customHeight="1">
      <c r="A76" s="2994"/>
      <c r="B76" s="2994"/>
      <c r="C76" s="2994"/>
      <c r="D76" s="2994"/>
      <c r="E76" s="2994"/>
      <c r="F76" s="2994"/>
      <c r="G76" s="2994"/>
      <c r="H76" s="2994"/>
      <c r="I76" s="2994"/>
      <c r="J76" s="2994"/>
      <c r="K76" s="2994"/>
      <c r="L76" s="2994"/>
      <c r="M76" s="2994"/>
      <c r="N76" s="2994"/>
      <c r="O76" s="2994"/>
      <c r="P76" s="2994"/>
      <c r="Q76" s="2994"/>
      <c r="R76" s="2994"/>
      <c r="S76" s="2994"/>
      <c r="T76" s="2994"/>
      <c r="U76" s="2994"/>
      <c r="V76" s="2995"/>
      <c r="W76" s="2995"/>
      <c r="X76" s="2995"/>
      <c r="Y76" s="2995"/>
      <c r="Z76" s="3011"/>
      <c r="AA76" s="2997"/>
      <c r="AB76" s="2997"/>
      <c r="AC76" s="2997"/>
      <c r="AD76" s="2997"/>
      <c r="AE76" s="2997"/>
      <c r="AF76" s="2997"/>
      <c r="AG76" s="2997"/>
      <c r="AH76" s="2997"/>
      <c r="AI76" s="2997"/>
      <c r="AJ76" s="2997"/>
      <c r="AK76" s="2997"/>
      <c r="AL76" s="2997"/>
      <c r="AM76" s="2997"/>
      <c r="AN76" s="2997"/>
      <c r="AO76" s="2997"/>
      <c r="AP76" s="2997"/>
      <c r="AQ76" s="2949"/>
      <c r="AR76" s="2949"/>
      <c r="AS76" s="2949"/>
      <c r="AT76" s="2949"/>
      <c r="AU76" s="2949"/>
      <c r="AV76" s="2949"/>
      <c r="AW76" s="2949"/>
      <c r="AX76" s="2949"/>
      <c r="AY76" s="2949"/>
      <c r="AZ76" s="2949"/>
      <c r="BA76" s="2949"/>
      <c r="BB76" s="2949"/>
      <c r="BC76" s="2949"/>
      <c r="BD76" s="2949"/>
    </row>
    <row r="77" spans="1:56" s="2948" customFormat="1" ht="30" customHeight="1">
      <c r="A77" s="2994"/>
      <c r="B77" s="2994"/>
      <c r="C77" s="2994"/>
      <c r="D77" s="2994"/>
      <c r="E77" s="2994"/>
      <c r="F77" s="2994"/>
      <c r="G77" s="2994"/>
      <c r="H77" s="2994"/>
      <c r="I77" s="2994"/>
      <c r="J77" s="2994"/>
      <c r="K77" s="2994"/>
      <c r="L77" s="2994"/>
      <c r="M77" s="2994"/>
      <c r="N77" s="2994"/>
      <c r="O77" s="2994"/>
      <c r="P77" s="2994"/>
      <c r="Q77" s="2994"/>
      <c r="R77" s="2994"/>
      <c r="S77" s="2994"/>
      <c r="T77" s="2994"/>
      <c r="U77" s="2994"/>
      <c r="V77" s="2995"/>
      <c r="W77" s="2995"/>
      <c r="X77" s="2995"/>
      <c r="Y77" s="2995"/>
      <c r="Z77" s="3011"/>
      <c r="AA77" s="2997"/>
      <c r="AB77" s="2997"/>
      <c r="AC77" s="2997"/>
      <c r="AD77" s="2997"/>
      <c r="AE77" s="2997"/>
      <c r="AF77" s="2997"/>
      <c r="AG77" s="2997"/>
      <c r="AH77" s="2997"/>
      <c r="AI77" s="2997"/>
      <c r="AJ77" s="2997"/>
      <c r="AK77" s="2997"/>
      <c r="AL77" s="2997"/>
      <c r="AM77" s="2997"/>
      <c r="AN77" s="2997"/>
      <c r="AO77" s="2997"/>
      <c r="AP77" s="2997"/>
      <c r="AQ77" s="2949"/>
      <c r="AR77" s="2949"/>
      <c r="AS77" s="2949"/>
      <c r="AT77" s="2949"/>
      <c r="AU77" s="2949"/>
      <c r="AV77" s="2949"/>
      <c r="AW77" s="2949"/>
      <c r="AX77" s="2949"/>
      <c r="AY77" s="2949"/>
      <c r="AZ77" s="2949"/>
      <c r="BA77" s="2949"/>
      <c r="BB77" s="2949"/>
      <c r="BC77" s="2949"/>
      <c r="BD77" s="2949"/>
    </row>
    <row r="78" spans="1:56" s="2948" customFormat="1" ht="30" customHeight="1">
      <c r="A78" s="2994"/>
      <c r="B78" s="2994"/>
      <c r="C78" s="2994"/>
      <c r="D78" s="2994"/>
      <c r="E78" s="2994"/>
      <c r="F78" s="2994"/>
      <c r="G78" s="2994"/>
      <c r="H78" s="2994"/>
      <c r="I78" s="2994"/>
      <c r="J78" s="2994"/>
      <c r="K78" s="2994"/>
      <c r="L78" s="2994"/>
      <c r="M78" s="2994"/>
      <c r="N78" s="2994"/>
      <c r="O78" s="2994"/>
      <c r="P78" s="2994"/>
      <c r="Q78" s="2994"/>
      <c r="R78" s="2994"/>
      <c r="S78" s="2994"/>
      <c r="T78" s="2994"/>
      <c r="U78" s="2994"/>
      <c r="V78" s="2995"/>
      <c r="W78" s="2995"/>
      <c r="X78" s="2995"/>
      <c r="Y78" s="2995"/>
      <c r="Z78" s="3011"/>
      <c r="AA78" s="2997"/>
      <c r="AB78" s="2997"/>
      <c r="AC78" s="2997"/>
      <c r="AD78" s="2997"/>
      <c r="AE78" s="2997"/>
      <c r="AF78" s="2997"/>
      <c r="AG78" s="2997"/>
      <c r="AH78" s="2997"/>
      <c r="AI78" s="2997"/>
      <c r="AJ78" s="2997"/>
      <c r="AK78" s="2997"/>
      <c r="AL78" s="2997"/>
      <c r="AM78" s="2997"/>
      <c r="AN78" s="2997"/>
      <c r="AO78" s="2997"/>
      <c r="AP78" s="2997"/>
      <c r="AQ78" s="2949"/>
      <c r="AR78" s="2949"/>
      <c r="AS78" s="2949"/>
      <c r="AT78" s="2949"/>
      <c r="AU78" s="2949"/>
      <c r="AV78" s="2949"/>
      <c r="AW78" s="2949"/>
      <c r="AX78" s="2949"/>
      <c r="AY78" s="2949"/>
      <c r="AZ78" s="2949"/>
      <c r="BA78" s="2949"/>
      <c r="BB78" s="2949"/>
      <c r="BC78" s="2949"/>
      <c r="BD78" s="2949"/>
    </row>
    <row r="79" spans="1:56" s="2948" customFormat="1" ht="30" customHeight="1">
      <c r="A79" s="2994"/>
      <c r="B79" s="2994"/>
      <c r="C79" s="2994"/>
      <c r="D79" s="2994"/>
      <c r="E79" s="2994"/>
      <c r="F79" s="2994"/>
      <c r="G79" s="2994"/>
      <c r="H79" s="2994"/>
      <c r="I79" s="2994"/>
      <c r="J79" s="2994"/>
      <c r="K79" s="2994"/>
      <c r="L79" s="2994"/>
      <c r="M79" s="2994"/>
      <c r="N79" s="2994"/>
      <c r="O79" s="2994"/>
      <c r="P79" s="2994"/>
      <c r="Q79" s="2994"/>
      <c r="R79" s="2994"/>
      <c r="S79" s="2994"/>
      <c r="T79" s="2994"/>
      <c r="U79" s="2994"/>
      <c r="V79" s="2995"/>
      <c r="W79" s="2995"/>
      <c r="X79" s="2995"/>
      <c r="Y79" s="2995"/>
      <c r="Z79" s="3011"/>
      <c r="AA79" s="2997"/>
      <c r="AB79" s="2997"/>
      <c r="AC79" s="2997"/>
      <c r="AD79" s="2997"/>
      <c r="AE79" s="2997"/>
      <c r="AF79" s="2997"/>
      <c r="AG79" s="2997"/>
      <c r="AH79" s="2997"/>
      <c r="AI79" s="2997"/>
      <c r="AJ79" s="2997"/>
      <c r="AK79" s="2997"/>
      <c r="AL79" s="2997"/>
      <c r="AM79" s="2997"/>
      <c r="AN79" s="2997"/>
      <c r="AO79" s="2997"/>
      <c r="AP79" s="2997"/>
      <c r="AQ79" s="2949"/>
      <c r="AR79" s="2949"/>
      <c r="AS79" s="2949"/>
      <c r="AT79" s="2949"/>
      <c r="AU79" s="2949"/>
      <c r="AV79" s="2949"/>
      <c r="AW79" s="2949"/>
      <c r="AX79" s="2949"/>
      <c r="AY79" s="2949"/>
      <c r="AZ79" s="2949"/>
      <c r="BA79" s="2949"/>
      <c r="BB79" s="2949"/>
      <c r="BC79" s="2949"/>
      <c r="BD79" s="2949"/>
    </row>
    <row r="80" spans="1:56" s="2948" customFormat="1" ht="30" customHeight="1">
      <c r="A80" s="2994"/>
      <c r="B80" s="2994"/>
      <c r="C80" s="2994"/>
      <c r="D80" s="2994"/>
      <c r="E80" s="2994"/>
      <c r="F80" s="2994"/>
      <c r="G80" s="2994"/>
      <c r="H80" s="2994"/>
      <c r="I80" s="2994"/>
      <c r="J80" s="2994"/>
      <c r="K80" s="2994"/>
      <c r="L80" s="2994"/>
      <c r="M80" s="2994"/>
      <c r="N80" s="2994"/>
      <c r="O80" s="2994"/>
      <c r="P80" s="2994"/>
      <c r="Q80" s="2994"/>
      <c r="R80" s="2994"/>
      <c r="S80" s="2994"/>
      <c r="T80" s="2994"/>
      <c r="U80" s="2994"/>
      <c r="V80" s="2995"/>
      <c r="W80" s="2995"/>
      <c r="X80" s="2995"/>
      <c r="Y80" s="2995"/>
      <c r="Z80" s="3011"/>
      <c r="AA80" s="2997"/>
      <c r="AB80" s="2997"/>
      <c r="AC80" s="2997"/>
      <c r="AD80" s="2997"/>
      <c r="AE80" s="2997"/>
      <c r="AF80" s="2997"/>
      <c r="AG80" s="2997"/>
      <c r="AH80" s="2997"/>
      <c r="AI80" s="2997"/>
      <c r="AJ80" s="2997"/>
      <c r="AK80" s="2997"/>
      <c r="AL80" s="2997"/>
      <c r="AM80" s="2997"/>
      <c r="AN80" s="2997"/>
      <c r="AO80" s="2997"/>
      <c r="AP80" s="2997"/>
      <c r="AQ80" s="2949"/>
      <c r="AR80" s="2949"/>
      <c r="AS80" s="2949"/>
      <c r="AT80" s="2949"/>
      <c r="AU80" s="2949"/>
      <c r="AV80" s="2949"/>
      <c r="AW80" s="2949"/>
      <c r="AX80" s="2949"/>
      <c r="AY80" s="2949"/>
      <c r="AZ80" s="2949"/>
      <c r="BA80" s="2949"/>
      <c r="BB80" s="2949"/>
      <c r="BC80" s="2949"/>
      <c r="BD80" s="2949"/>
    </row>
    <row r="81" spans="1:56" s="2948" customFormat="1" ht="30" customHeight="1">
      <c r="A81" s="2994"/>
      <c r="B81" s="2994"/>
      <c r="C81" s="2994"/>
      <c r="D81" s="2994"/>
      <c r="E81" s="2994"/>
      <c r="F81" s="2994"/>
      <c r="G81" s="2994"/>
      <c r="H81" s="2994"/>
      <c r="I81" s="2994"/>
      <c r="J81" s="2994"/>
      <c r="K81" s="2994"/>
      <c r="L81" s="2994"/>
      <c r="M81" s="2994"/>
      <c r="N81" s="2994"/>
      <c r="O81" s="2994"/>
      <c r="P81" s="2994"/>
      <c r="Q81" s="2994"/>
      <c r="R81" s="2994"/>
      <c r="S81" s="2994"/>
      <c r="T81" s="2994"/>
      <c r="U81" s="2994"/>
      <c r="V81" s="2995"/>
      <c r="W81" s="2995"/>
      <c r="X81" s="2995"/>
      <c r="Y81" s="2995"/>
      <c r="Z81" s="3011"/>
      <c r="AA81" s="2997"/>
      <c r="AB81" s="2997"/>
      <c r="AC81" s="2997"/>
      <c r="AD81" s="2997"/>
      <c r="AE81" s="2997"/>
      <c r="AF81" s="2997"/>
      <c r="AG81" s="2997"/>
      <c r="AH81" s="2997"/>
      <c r="AI81" s="2997"/>
      <c r="AJ81" s="2997"/>
      <c r="AK81" s="2997"/>
      <c r="AL81" s="2997"/>
      <c r="AM81" s="2997"/>
      <c r="AN81" s="2997"/>
      <c r="AO81" s="2997"/>
      <c r="AP81" s="2997"/>
      <c r="AQ81" s="2949"/>
      <c r="AR81" s="2949"/>
      <c r="AS81" s="2949"/>
      <c r="AT81" s="2949"/>
      <c r="AU81" s="2949"/>
      <c r="AV81" s="2949"/>
      <c r="AW81" s="2949"/>
      <c r="AX81" s="2949"/>
      <c r="AY81" s="2949"/>
      <c r="AZ81" s="2949"/>
      <c r="BA81" s="2949"/>
      <c r="BB81" s="2949"/>
      <c r="BC81" s="2949"/>
      <c r="BD81" s="2949"/>
    </row>
    <row r="82" spans="1:56" s="2948" customFormat="1" ht="30" customHeight="1">
      <c r="A82" s="2994"/>
      <c r="B82" s="2994"/>
      <c r="C82" s="2994"/>
      <c r="D82" s="2994"/>
      <c r="E82" s="2994"/>
      <c r="F82" s="2994"/>
      <c r="G82" s="2994"/>
      <c r="H82" s="2994"/>
      <c r="I82" s="2994"/>
      <c r="J82" s="2994"/>
      <c r="K82" s="2994"/>
      <c r="L82" s="2994"/>
      <c r="M82" s="2994"/>
      <c r="N82" s="2994"/>
      <c r="O82" s="2994"/>
      <c r="P82" s="2994"/>
      <c r="Q82" s="2994"/>
      <c r="R82" s="2994"/>
      <c r="S82" s="2994"/>
      <c r="T82" s="2994"/>
      <c r="U82" s="2994"/>
      <c r="V82" s="2995"/>
      <c r="W82" s="2995"/>
      <c r="X82" s="2995"/>
      <c r="Y82" s="2995"/>
      <c r="Z82" s="3011"/>
      <c r="AA82" s="2997"/>
      <c r="AB82" s="2997"/>
      <c r="AC82" s="2997"/>
      <c r="AD82" s="2997"/>
      <c r="AE82" s="2997"/>
      <c r="AF82" s="2997"/>
      <c r="AG82" s="2997"/>
      <c r="AH82" s="2997"/>
      <c r="AI82" s="2997"/>
      <c r="AJ82" s="2997"/>
      <c r="AK82" s="2997"/>
      <c r="AL82" s="2997"/>
      <c r="AM82" s="2997"/>
      <c r="AN82" s="2997"/>
      <c r="AO82" s="2997"/>
      <c r="AP82" s="2997"/>
      <c r="AQ82" s="2949"/>
      <c r="AR82" s="2949"/>
      <c r="AS82" s="2949"/>
      <c r="AT82" s="2949"/>
      <c r="AU82" s="2949"/>
      <c r="AV82" s="2949"/>
      <c r="AW82" s="2949"/>
      <c r="AX82" s="2949"/>
      <c r="AY82" s="2949"/>
      <c r="AZ82" s="2949"/>
      <c r="BA82" s="2949"/>
      <c r="BB82" s="2949"/>
      <c r="BC82" s="2949"/>
      <c r="BD82" s="2949"/>
    </row>
    <row r="83" spans="1:56" s="2948" customFormat="1" ht="30" customHeight="1">
      <c r="A83" s="2994"/>
      <c r="B83" s="2994"/>
      <c r="C83" s="2994"/>
      <c r="D83" s="2994"/>
      <c r="E83" s="2994"/>
      <c r="F83" s="2994"/>
      <c r="G83" s="2994"/>
      <c r="H83" s="2994"/>
      <c r="I83" s="2994"/>
      <c r="J83" s="2994"/>
      <c r="K83" s="2994"/>
      <c r="L83" s="2994"/>
      <c r="M83" s="2994"/>
      <c r="N83" s="2994"/>
      <c r="O83" s="2994"/>
      <c r="P83" s="2994"/>
      <c r="Q83" s="2994"/>
      <c r="R83" s="2994"/>
      <c r="S83" s="2994"/>
      <c r="T83" s="2994"/>
      <c r="U83" s="2994"/>
      <c r="V83" s="2995"/>
      <c r="W83" s="2995"/>
      <c r="X83" s="2995"/>
      <c r="Y83" s="2995"/>
      <c r="Z83" s="3011"/>
      <c r="AA83" s="2997"/>
      <c r="AB83" s="2997"/>
      <c r="AC83" s="2997"/>
      <c r="AD83" s="2997"/>
      <c r="AE83" s="2997"/>
      <c r="AF83" s="2997"/>
      <c r="AG83" s="2997"/>
      <c r="AH83" s="2997"/>
      <c r="AI83" s="2997"/>
      <c r="AJ83" s="2997"/>
      <c r="AK83" s="2997"/>
      <c r="AL83" s="2997"/>
      <c r="AM83" s="2997"/>
      <c r="AN83" s="2997"/>
      <c r="AO83" s="2997"/>
      <c r="AP83" s="2997"/>
      <c r="AQ83" s="2949"/>
      <c r="AR83" s="2949"/>
      <c r="AS83" s="2949"/>
      <c r="AT83" s="2949"/>
      <c r="AU83" s="2949"/>
      <c r="AV83" s="2949"/>
      <c r="AW83" s="2949"/>
      <c r="AX83" s="2949"/>
      <c r="AY83" s="2949"/>
      <c r="AZ83" s="2949"/>
      <c r="BA83" s="2949"/>
      <c r="BB83" s="2949"/>
      <c r="BC83" s="2949"/>
      <c r="BD83" s="2949"/>
    </row>
    <row r="84" spans="1:56" s="2948" customFormat="1" ht="30" customHeight="1">
      <c r="A84" s="2994"/>
      <c r="B84" s="2994"/>
      <c r="C84" s="2994"/>
      <c r="D84" s="2994"/>
      <c r="E84" s="2994"/>
      <c r="F84" s="2994"/>
      <c r="G84" s="2994"/>
      <c r="H84" s="2994"/>
      <c r="I84" s="2994"/>
      <c r="J84" s="2994"/>
      <c r="K84" s="2994"/>
      <c r="L84" s="2994"/>
      <c r="M84" s="2994"/>
      <c r="N84" s="2994"/>
      <c r="O84" s="2994"/>
      <c r="P84" s="2994"/>
      <c r="Q84" s="2994"/>
      <c r="R84" s="2994"/>
      <c r="S84" s="2994"/>
      <c r="T84" s="2994"/>
      <c r="U84" s="2994"/>
      <c r="V84" s="2995"/>
      <c r="W84" s="2995"/>
      <c r="X84" s="2995"/>
      <c r="Y84" s="2995"/>
      <c r="Z84" s="3011"/>
      <c r="AA84" s="2997"/>
      <c r="AB84" s="2997"/>
      <c r="AC84" s="2997"/>
      <c r="AD84" s="2997"/>
      <c r="AE84" s="2997"/>
      <c r="AF84" s="2997"/>
      <c r="AG84" s="2997"/>
      <c r="AH84" s="2997"/>
      <c r="AI84" s="2997"/>
      <c r="AJ84" s="2997"/>
      <c r="AK84" s="2997"/>
      <c r="AL84" s="2997"/>
      <c r="AM84" s="2997"/>
      <c r="AN84" s="2997"/>
      <c r="AO84" s="2997"/>
      <c r="AP84" s="2997"/>
      <c r="AQ84" s="2949"/>
      <c r="AR84" s="2949"/>
      <c r="AS84" s="2949"/>
      <c r="AT84" s="2949"/>
      <c r="AU84" s="2949"/>
      <c r="AV84" s="2949"/>
      <c r="AW84" s="2949"/>
      <c r="AX84" s="2949"/>
      <c r="AY84" s="2949"/>
      <c r="AZ84" s="2949"/>
      <c r="BA84" s="2949"/>
      <c r="BB84" s="2949"/>
      <c r="BC84" s="2949"/>
      <c r="BD84" s="2949"/>
    </row>
    <row r="85" spans="1:56" s="2948" customFormat="1" ht="30" customHeight="1">
      <c r="A85" s="2994"/>
      <c r="B85" s="2994"/>
      <c r="C85" s="2994"/>
      <c r="D85" s="2994"/>
      <c r="E85" s="2994"/>
      <c r="F85" s="2994"/>
      <c r="G85" s="2994"/>
      <c r="H85" s="2994"/>
      <c r="I85" s="2994"/>
      <c r="J85" s="2994"/>
      <c r="K85" s="2994"/>
      <c r="L85" s="2994"/>
      <c r="M85" s="2994"/>
      <c r="N85" s="2994"/>
      <c r="O85" s="2994"/>
      <c r="P85" s="2994"/>
      <c r="Q85" s="2994"/>
      <c r="R85" s="2994"/>
      <c r="S85" s="2994"/>
      <c r="T85" s="2994"/>
      <c r="U85" s="2994"/>
      <c r="V85" s="2995"/>
      <c r="W85" s="2995"/>
      <c r="X85" s="2995"/>
      <c r="Y85" s="2995"/>
      <c r="Z85" s="3011"/>
      <c r="AA85" s="2997"/>
      <c r="AB85" s="2997"/>
      <c r="AC85" s="2997"/>
      <c r="AD85" s="2997"/>
      <c r="AE85" s="2997"/>
      <c r="AF85" s="2997"/>
      <c r="AG85" s="2997"/>
      <c r="AH85" s="2997"/>
      <c r="AI85" s="2997"/>
      <c r="AJ85" s="2997"/>
      <c r="AK85" s="2997"/>
      <c r="AL85" s="2997"/>
      <c r="AM85" s="2997"/>
      <c r="AN85" s="2997"/>
      <c r="AO85" s="2997"/>
      <c r="AP85" s="2997"/>
      <c r="AQ85" s="2949"/>
      <c r="AR85" s="2949"/>
      <c r="AS85" s="2949"/>
      <c r="AT85" s="2949"/>
      <c r="AU85" s="2949"/>
      <c r="AV85" s="2949"/>
      <c r="AW85" s="2949"/>
      <c r="AX85" s="2949"/>
      <c r="AY85" s="2949"/>
      <c r="AZ85" s="2949"/>
      <c r="BA85" s="2949"/>
      <c r="BB85" s="2949"/>
      <c r="BC85" s="2949"/>
      <c r="BD85" s="2949"/>
    </row>
    <row r="86" spans="1:56" s="2948" customFormat="1" ht="30" customHeight="1">
      <c r="A86" s="2994"/>
      <c r="B86" s="2994"/>
      <c r="C86" s="2994"/>
      <c r="D86" s="2994"/>
      <c r="E86" s="2994"/>
      <c r="F86" s="2994"/>
      <c r="G86" s="2994"/>
      <c r="H86" s="2994"/>
      <c r="I86" s="2994"/>
      <c r="J86" s="2994"/>
      <c r="K86" s="2994"/>
      <c r="L86" s="2994"/>
      <c r="M86" s="2994"/>
      <c r="N86" s="2994"/>
      <c r="O86" s="2994"/>
      <c r="P86" s="2994"/>
      <c r="Q86" s="2994"/>
      <c r="R86" s="2994"/>
      <c r="S86" s="2994"/>
      <c r="T86" s="2994"/>
      <c r="U86" s="2994"/>
      <c r="V86" s="2995"/>
      <c r="W86" s="2995"/>
      <c r="X86" s="2995"/>
      <c r="Y86" s="2995"/>
      <c r="Z86" s="3011"/>
      <c r="AA86" s="2997"/>
      <c r="AB86" s="2997"/>
      <c r="AC86" s="2997"/>
      <c r="AD86" s="2997"/>
      <c r="AE86" s="2997"/>
      <c r="AF86" s="2997"/>
      <c r="AG86" s="2997"/>
      <c r="AH86" s="2997"/>
      <c r="AI86" s="2997"/>
      <c r="AJ86" s="2997"/>
      <c r="AK86" s="2997"/>
      <c r="AL86" s="2997"/>
      <c r="AM86" s="2997"/>
      <c r="AN86" s="2997"/>
      <c r="AO86" s="2997"/>
      <c r="AP86" s="2997"/>
      <c r="AQ86" s="2949"/>
      <c r="AR86" s="2949"/>
      <c r="AS86" s="2949"/>
      <c r="AT86" s="2949"/>
      <c r="AU86" s="2949"/>
      <c r="AV86" s="2949"/>
      <c r="AW86" s="2949"/>
      <c r="AX86" s="2949"/>
      <c r="AY86" s="2949"/>
      <c r="AZ86" s="2949"/>
      <c r="BA86" s="2949"/>
      <c r="BB86" s="2949"/>
      <c r="BC86" s="2949"/>
      <c r="BD86" s="2949"/>
    </row>
    <row r="87" spans="1:56" s="2948" customFormat="1" ht="30" customHeight="1">
      <c r="A87" s="2994"/>
      <c r="B87" s="2994"/>
      <c r="C87" s="2994"/>
      <c r="D87" s="2994"/>
      <c r="E87" s="2994"/>
      <c r="F87" s="2994"/>
      <c r="G87" s="2994"/>
      <c r="H87" s="2994"/>
      <c r="I87" s="2994"/>
      <c r="J87" s="2994"/>
      <c r="K87" s="2994"/>
      <c r="L87" s="2994"/>
      <c r="M87" s="2994"/>
      <c r="N87" s="2994"/>
      <c r="O87" s="2994"/>
      <c r="P87" s="2994"/>
      <c r="Q87" s="2994"/>
      <c r="R87" s="2994"/>
      <c r="S87" s="2994"/>
      <c r="T87" s="2994"/>
      <c r="U87" s="2994"/>
      <c r="V87" s="2995"/>
      <c r="W87" s="2995"/>
      <c r="X87" s="2995"/>
      <c r="Y87" s="2995"/>
      <c r="Z87" s="3011"/>
      <c r="AA87" s="2997"/>
      <c r="AB87" s="2997"/>
      <c r="AC87" s="2997"/>
      <c r="AD87" s="2997"/>
      <c r="AE87" s="2997"/>
      <c r="AF87" s="2997"/>
      <c r="AG87" s="2997"/>
      <c r="AH87" s="2997"/>
      <c r="AI87" s="2997"/>
      <c r="AJ87" s="2997"/>
      <c r="AK87" s="2997"/>
      <c r="AL87" s="2997"/>
      <c r="AM87" s="2997"/>
      <c r="AN87" s="2997"/>
      <c r="AO87" s="2997"/>
      <c r="AP87" s="2997"/>
      <c r="AQ87" s="2949"/>
      <c r="AR87" s="2949"/>
      <c r="AS87" s="2949"/>
      <c r="AT87" s="2949"/>
      <c r="AU87" s="2949"/>
      <c r="AV87" s="2949"/>
      <c r="AW87" s="2949"/>
      <c r="AX87" s="2949"/>
      <c r="AY87" s="2949"/>
      <c r="AZ87" s="2949"/>
      <c r="BA87" s="2949"/>
      <c r="BB87" s="2949"/>
      <c r="BC87" s="2949"/>
      <c r="BD87" s="2949"/>
    </row>
    <row r="88" spans="1:56" s="2948" customFormat="1" ht="30" customHeight="1">
      <c r="A88" s="2994"/>
      <c r="B88" s="2994"/>
      <c r="C88" s="2994"/>
      <c r="D88" s="2994"/>
      <c r="E88" s="2994"/>
      <c r="F88" s="2994"/>
      <c r="G88" s="2994"/>
      <c r="H88" s="2994"/>
      <c r="I88" s="2994"/>
      <c r="J88" s="2994"/>
      <c r="K88" s="2994"/>
      <c r="L88" s="2994"/>
      <c r="M88" s="2994"/>
      <c r="N88" s="2994"/>
      <c r="O88" s="2994"/>
      <c r="P88" s="2994"/>
      <c r="Q88" s="2994"/>
      <c r="R88" s="2994"/>
      <c r="S88" s="2994"/>
      <c r="T88" s="2994"/>
      <c r="U88" s="2994"/>
      <c r="V88" s="2995"/>
      <c r="W88" s="2995"/>
      <c r="X88" s="2995"/>
      <c r="Y88" s="2995"/>
      <c r="Z88" s="3011"/>
      <c r="AA88" s="2997"/>
      <c r="AB88" s="2997"/>
      <c r="AC88" s="2997"/>
      <c r="AD88" s="2997"/>
      <c r="AE88" s="2997"/>
      <c r="AF88" s="2997"/>
      <c r="AG88" s="2997"/>
      <c r="AH88" s="2997"/>
      <c r="AI88" s="2997"/>
      <c r="AJ88" s="2997"/>
      <c r="AK88" s="2997"/>
      <c r="AL88" s="2997"/>
      <c r="AM88" s="2997"/>
      <c r="AN88" s="2997"/>
      <c r="AO88" s="2997"/>
      <c r="AP88" s="2997"/>
      <c r="AQ88" s="2949"/>
      <c r="AR88" s="2949"/>
      <c r="AS88" s="2949"/>
      <c r="AT88" s="2949"/>
      <c r="AU88" s="2949"/>
      <c r="AV88" s="2949"/>
      <c r="AW88" s="2949"/>
      <c r="AX88" s="2949"/>
      <c r="AY88" s="2949"/>
      <c r="AZ88" s="2949"/>
      <c r="BA88" s="2949"/>
      <c r="BB88" s="2949"/>
      <c r="BC88" s="2949"/>
      <c r="BD88" s="2949"/>
    </row>
    <row r="89" spans="1:56" s="2948" customFormat="1" ht="30" customHeight="1">
      <c r="A89" s="2994"/>
      <c r="B89" s="2994"/>
      <c r="C89" s="2994"/>
      <c r="D89" s="2994"/>
      <c r="E89" s="2994"/>
      <c r="F89" s="2994"/>
      <c r="G89" s="2994"/>
      <c r="H89" s="2994"/>
      <c r="I89" s="2994"/>
      <c r="J89" s="2994"/>
      <c r="K89" s="2994"/>
      <c r="L89" s="2994"/>
      <c r="M89" s="2994"/>
      <c r="N89" s="2994"/>
      <c r="O89" s="2994"/>
      <c r="P89" s="2994"/>
      <c r="Q89" s="2994"/>
      <c r="R89" s="2994"/>
      <c r="S89" s="2994"/>
      <c r="T89" s="2994"/>
      <c r="U89" s="2994"/>
      <c r="V89" s="2995"/>
      <c r="W89" s="2995"/>
      <c r="X89" s="2995"/>
      <c r="Y89" s="2995"/>
      <c r="Z89" s="3011"/>
      <c r="AA89" s="2997"/>
      <c r="AB89" s="2997"/>
      <c r="AC89" s="2997"/>
      <c r="AD89" s="2997"/>
      <c r="AE89" s="2997"/>
      <c r="AF89" s="2997"/>
      <c r="AG89" s="2997"/>
      <c r="AH89" s="2997"/>
      <c r="AI89" s="2997"/>
      <c r="AJ89" s="2997"/>
      <c r="AK89" s="2997"/>
      <c r="AL89" s="2997"/>
      <c r="AM89" s="2997"/>
      <c r="AN89" s="2997"/>
      <c r="AO89" s="2997"/>
      <c r="AP89" s="2997"/>
      <c r="AQ89" s="2949"/>
      <c r="AR89" s="2949"/>
      <c r="AS89" s="2949"/>
      <c r="AT89" s="2949"/>
      <c r="AU89" s="2949"/>
      <c r="AV89" s="2949"/>
      <c r="AW89" s="2949"/>
      <c r="AX89" s="2949"/>
      <c r="AY89" s="2949"/>
      <c r="AZ89" s="2949"/>
      <c r="BA89" s="2949"/>
      <c r="BB89" s="2949"/>
      <c r="BC89" s="2949"/>
      <c r="BD89" s="2949"/>
    </row>
    <row r="90" spans="1:56" s="2948" customFormat="1" ht="30" customHeight="1">
      <c r="A90" s="2994"/>
      <c r="B90" s="2994"/>
      <c r="C90" s="2994"/>
      <c r="D90" s="2994"/>
      <c r="E90" s="2994"/>
      <c r="F90" s="2994"/>
      <c r="G90" s="2994"/>
      <c r="H90" s="2994"/>
      <c r="I90" s="2994"/>
      <c r="J90" s="2994"/>
      <c r="K90" s="2994"/>
      <c r="L90" s="2994"/>
      <c r="M90" s="2994"/>
      <c r="N90" s="2994"/>
      <c r="O90" s="2994"/>
      <c r="P90" s="2994"/>
      <c r="Q90" s="2994"/>
      <c r="R90" s="2994"/>
      <c r="S90" s="2994"/>
      <c r="T90" s="2994"/>
      <c r="U90" s="2994"/>
      <c r="V90" s="2995"/>
      <c r="W90" s="2995"/>
      <c r="X90" s="2995"/>
      <c r="Y90" s="2995"/>
      <c r="Z90" s="3011"/>
      <c r="AA90" s="2997"/>
      <c r="AB90" s="2997"/>
      <c r="AC90" s="2997"/>
      <c r="AD90" s="2997"/>
      <c r="AE90" s="2997"/>
      <c r="AF90" s="2997"/>
      <c r="AG90" s="2997"/>
      <c r="AH90" s="2997"/>
      <c r="AI90" s="2997"/>
      <c r="AJ90" s="2997"/>
      <c r="AK90" s="2997"/>
      <c r="AL90" s="2997"/>
      <c r="AM90" s="2997"/>
      <c r="AN90" s="2997"/>
      <c r="AO90" s="2997"/>
      <c r="AP90" s="2997"/>
      <c r="AQ90" s="2949"/>
      <c r="AR90" s="2949"/>
      <c r="AS90" s="2949"/>
      <c r="AT90" s="2949"/>
      <c r="AU90" s="2949"/>
      <c r="AV90" s="2949"/>
      <c r="AW90" s="2949"/>
      <c r="AX90" s="2949"/>
      <c r="AY90" s="2949"/>
      <c r="AZ90" s="2949"/>
      <c r="BA90" s="2949"/>
      <c r="BB90" s="2949"/>
      <c r="BC90" s="2949"/>
      <c r="BD90" s="2949"/>
    </row>
    <row r="91" spans="1:56" s="2948" customFormat="1" ht="30" customHeight="1">
      <c r="A91" s="2994"/>
      <c r="B91" s="2994"/>
      <c r="C91" s="2994"/>
      <c r="D91" s="2994"/>
      <c r="E91" s="2994"/>
      <c r="F91" s="2994"/>
      <c r="G91" s="2994"/>
      <c r="H91" s="2994"/>
      <c r="I91" s="2994"/>
      <c r="J91" s="2994"/>
      <c r="K91" s="2994"/>
      <c r="L91" s="2994"/>
      <c r="M91" s="2994"/>
      <c r="N91" s="2994"/>
      <c r="O91" s="2994"/>
      <c r="P91" s="2994"/>
      <c r="Q91" s="2994"/>
      <c r="R91" s="2994"/>
      <c r="S91" s="2994"/>
      <c r="T91" s="2994"/>
      <c r="U91" s="2994"/>
      <c r="V91" s="2995"/>
      <c r="W91" s="2995"/>
      <c r="X91" s="2995"/>
      <c r="Y91" s="2995"/>
      <c r="Z91" s="3011"/>
      <c r="AA91" s="2997"/>
      <c r="AB91" s="2997"/>
      <c r="AC91" s="2997"/>
      <c r="AD91" s="2997"/>
      <c r="AE91" s="2997"/>
      <c r="AF91" s="2997"/>
      <c r="AG91" s="2997"/>
      <c r="AH91" s="2997"/>
      <c r="AI91" s="2997"/>
      <c r="AJ91" s="2997"/>
      <c r="AK91" s="2997"/>
      <c r="AL91" s="2997"/>
      <c r="AM91" s="2997"/>
      <c r="AN91" s="2997"/>
      <c r="AO91" s="2997"/>
      <c r="AP91" s="2997"/>
      <c r="AQ91" s="2949"/>
      <c r="AR91" s="2949"/>
      <c r="AS91" s="2949"/>
      <c r="AT91" s="2949"/>
      <c r="AU91" s="2949"/>
      <c r="AV91" s="2949"/>
      <c r="AW91" s="2949"/>
      <c r="AX91" s="2949"/>
      <c r="AY91" s="2949"/>
      <c r="AZ91" s="2949"/>
      <c r="BA91" s="2949"/>
      <c r="BB91" s="2949"/>
      <c r="BC91" s="2949"/>
      <c r="BD91" s="2949"/>
    </row>
    <row r="92" spans="1:56" s="2948" customFormat="1" ht="30" customHeight="1">
      <c r="A92" s="2994"/>
      <c r="B92" s="2994"/>
      <c r="C92" s="2994"/>
      <c r="D92" s="2994"/>
      <c r="E92" s="2994"/>
      <c r="F92" s="2994"/>
      <c r="G92" s="2994"/>
      <c r="H92" s="2994"/>
      <c r="I92" s="2994"/>
      <c r="J92" s="2994"/>
      <c r="K92" s="2994"/>
      <c r="L92" s="2994"/>
      <c r="M92" s="2994"/>
      <c r="N92" s="2994"/>
      <c r="O92" s="2994"/>
      <c r="P92" s="2994"/>
      <c r="Q92" s="2994"/>
      <c r="R92" s="2994"/>
      <c r="S92" s="2994"/>
      <c r="T92" s="2994"/>
      <c r="U92" s="2994"/>
      <c r="V92" s="2995"/>
      <c r="W92" s="2995"/>
      <c r="X92" s="2995"/>
      <c r="Y92" s="2995"/>
      <c r="Z92" s="3011"/>
      <c r="AA92" s="2997"/>
      <c r="AB92" s="2997"/>
      <c r="AC92" s="2997"/>
      <c r="AD92" s="2997"/>
      <c r="AE92" s="2997"/>
      <c r="AF92" s="2997"/>
      <c r="AG92" s="2997"/>
      <c r="AH92" s="2997"/>
      <c r="AI92" s="2997"/>
      <c r="AJ92" s="2997"/>
      <c r="AK92" s="2997"/>
      <c r="AL92" s="2997"/>
      <c r="AM92" s="2997"/>
      <c r="AN92" s="2997"/>
      <c r="AO92" s="2997"/>
      <c r="AP92" s="2997"/>
      <c r="AQ92" s="2949"/>
      <c r="AR92" s="2949"/>
      <c r="AS92" s="2949"/>
      <c r="AT92" s="2949"/>
      <c r="AU92" s="2949"/>
      <c r="AV92" s="2949"/>
      <c r="AW92" s="2949"/>
      <c r="AX92" s="2949"/>
      <c r="AY92" s="2949"/>
      <c r="AZ92" s="2949"/>
      <c r="BA92" s="2949"/>
      <c r="BB92" s="2949"/>
      <c r="BC92" s="2949"/>
      <c r="BD92" s="2949"/>
    </row>
    <row r="93" spans="1:56" s="2948" customFormat="1" ht="30" customHeight="1">
      <c r="A93" s="2994"/>
      <c r="B93" s="2994"/>
      <c r="C93" s="2994"/>
      <c r="D93" s="2994"/>
      <c r="E93" s="2994"/>
      <c r="F93" s="2994"/>
      <c r="G93" s="2994"/>
      <c r="H93" s="2994"/>
      <c r="I93" s="2994"/>
      <c r="J93" s="2994"/>
      <c r="K93" s="2994"/>
      <c r="L93" s="2994"/>
      <c r="M93" s="2994"/>
      <c r="N93" s="2994"/>
      <c r="O93" s="2994"/>
      <c r="P93" s="2994"/>
      <c r="Q93" s="2994"/>
      <c r="R93" s="2994"/>
      <c r="S93" s="2994"/>
      <c r="T93" s="2994"/>
      <c r="U93" s="2994"/>
      <c r="V93" s="2995"/>
      <c r="W93" s="2995"/>
      <c r="X93" s="2995"/>
      <c r="Y93" s="2995"/>
      <c r="Z93" s="3011"/>
      <c r="AA93" s="2997"/>
      <c r="AB93" s="2997"/>
      <c r="AC93" s="2997"/>
      <c r="AD93" s="2997"/>
      <c r="AE93" s="2997"/>
      <c r="AF93" s="2997"/>
      <c r="AG93" s="2997"/>
      <c r="AH93" s="2997"/>
      <c r="AI93" s="2997"/>
      <c r="AJ93" s="2997"/>
      <c r="AK93" s="2997"/>
      <c r="AL93" s="2997"/>
      <c r="AM93" s="2997"/>
      <c r="AN93" s="2997"/>
      <c r="AO93" s="2997"/>
      <c r="AP93" s="2997"/>
      <c r="AQ93" s="2949"/>
      <c r="AR93" s="2949"/>
      <c r="AS93" s="2949"/>
      <c r="AT93" s="2949"/>
      <c r="AU93" s="2949"/>
      <c r="AV93" s="2949"/>
      <c r="AW93" s="2949"/>
      <c r="AX93" s="2949"/>
      <c r="AY93" s="2949"/>
      <c r="AZ93" s="2949"/>
      <c r="BA93" s="2949"/>
      <c r="BB93" s="2949"/>
      <c r="BC93" s="2949"/>
      <c r="BD93" s="2949"/>
    </row>
    <row r="94" spans="1:56" s="2948" customFormat="1" ht="30" customHeight="1">
      <c r="A94" s="2994"/>
      <c r="B94" s="2994"/>
      <c r="C94" s="2994"/>
      <c r="D94" s="2994"/>
      <c r="E94" s="2994"/>
      <c r="F94" s="2994"/>
      <c r="G94" s="2994"/>
      <c r="H94" s="2994"/>
      <c r="I94" s="2994"/>
      <c r="J94" s="2994"/>
      <c r="K94" s="2994"/>
      <c r="L94" s="2994"/>
      <c r="M94" s="2994"/>
      <c r="N94" s="2994"/>
      <c r="O94" s="2994"/>
      <c r="P94" s="2994"/>
      <c r="Q94" s="2994"/>
      <c r="R94" s="2994"/>
      <c r="S94" s="2994"/>
      <c r="T94" s="2994"/>
      <c r="U94" s="2994"/>
      <c r="V94" s="2995"/>
      <c r="W94" s="2995"/>
      <c r="X94" s="2995"/>
      <c r="Y94" s="2995"/>
      <c r="Z94" s="3011"/>
      <c r="AA94" s="2997"/>
      <c r="AB94" s="2997"/>
      <c r="AC94" s="2997"/>
      <c r="AD94" s="2997"/>
      <c r="AE94" s="2997"/>
      <c r="AF94" s="2997"/>
      <c r="AG94" s="2997"/>
      <c r="AH94" s="2997"/>
      <c r="AI94" s="2997"/>
      <c r="AJ94" s="2997"/>
      <c r="AK94" s="2997"/>
      <c r="AL94" s="2997"/>
      <c r="AM94" s="2997"/>
      <c r="AN94" s="2997"/>
      <c r="AO94" s="2997"/>
      <c r="AP94" s="2997"/>
      <c r="AQ94" s="2949"/>
      <c r="AR94" s="2949"/>
      <c r="AS94" s="2949"/>
      <c r="AT94" s="2949"/>
      <c r="AU94" s="2949"/>
      <c r="AV94" s="2949"/>
      <c r="AW94" s="2949"/>
      <c r="AX94" s="2949"/>
      <c r="AY94" s="2949"/>
      <c r="AZ94" s="2949"/>
      <c r="BA94" s="2949"/>
      <c r="BB94" s="2949"/>
      <c r="BC94" s="2949"/>
      <c r="BD94" s="2949"/>
    </row>
    <row r="95" spans="1:56" s="2948" customFormat="1" ht="30" customHeight="1">
      <c r="A95" s="2994"/>
      <c r="B95" s="2994"/>
      <c r="C95" s="2994"/>
      <c r="D95" s="2994"/>
      <c r="E95" s="2994"/>
      <c r="F95" s="2994"/>
      <c r="G95" s="2994"/>
      <c r="H95" s="2994"/>
      <c r="I95" s="2994"/>
      <c r="J95" s="2994"/>
      <c r="K95" s="2994"/>
      <c r="L95" s="2994"/>
      <c r="M95" s="2994"/>
      <c r="N95" s="2994"/>
      <c r="O95" s="2994"/>
      <c r="P95" s="2994"/>
      <c r="Q95" s="2994"/>
      <c r="R95" s="2994"/>
      <c r="S95" s="2994"/>
      <c r="T95" s="2994"/>
      <c r="U95" s="2994"/>
      <c r="V95" s="2995"/>
      <c r="W95" s="2995"/>
      <c r="X95" s="2995"/>
      <c r="Y95" s="2995"/>
      <c r="Z95" s="3011"/>
      <c r="AA95" s="2997"/>
      <c r="AB95" s="2997"/>
      <c r="AC95" s="2997"/>
      <c r="AD95" s="2997"/>
      <c r="AE95" s="2997"/>
      <c r="AF95" s="2997"/>
      <c r="AG95" s="2997"/>
      <c r="AH95" s="2997"/>
      <c r="AI95" s="2997"/>
      <c r="AJ95" s="2997"/>
      <c r="AK95" s="2997"/>
      <c r="AL95" s="2997"/>
      <c r="AM95" s="2997"/>
      <c r="AN95" s="2997"/>
      <c r="AO95" s="2997"/>
      <c r="AP95" s="2997"/>
      <c r="AQ95" s="2949"/>
      <c r="AR95" s="2949"/>
      <c r="AS95" s="2949"/>
      <c r="AT95" s="2949"/>
      <c r="AU95" s="2949"/>
      <c r="AV95" s="2949"/>
      <c r="AW95" s="2949"/>
      <c r="AX95" s="2949"/>
      <c r="AY95" s="2949"/>
      <c r="AZ95" s="2949"/>
      <c r="BA95" s="2949"/>
      <c r="BB95" s="2949"/>
      <c r="BC95" s="2949"/>
      <c r="BD95" s="2949"/>
    </row>
    <row r="96" spans="1:56" s="2948" customFormat="1" ht="30" customHeight="1">
      <c r="A96" s="2994"/>
      <c r="B96" s="2994"/>
      <c r="C96" s="2994"/>
      <c r="D96" s="2994"/>
      <c r="E96" s="2994"/>
      <c r="F96" s="2994"/>
      <c r="G96" s="2994"/>
      <c r="H96" s="2994"/>
      <c r="I96" s="2994"/>
      <c r="J96" s="2994"/>
      <c r="K96" s="2994"/>
      <c r="L96" s="2994"/>
      <c r="M96" s="2994"/>
      <c r="N96" s="2994"/>
      <c r="O96" s="2994"/>
      <c r="P96" s="2994"/>
      <c r="Q96" s="2994"/>
      <c r="R96" s="2994"/>
      <c r="S96" s="2994"/>
      <c r="T96" s="2994"/>
      <c r="U96" s="2994"/>
      <c r="V96" s="2995"/>
      <c r="W96" s="2995"/>
      <c r="X96" s="2995"/>
      <c r="Y96" s="2995"/>
      <c r="Z96" s="3011"/>
      <c r="AA96" s="2997"/>
      <c r="AB96" s="2997"/>
      <c r="AC96" s="2997"/>
      <c r="AD96" s="2997"/>
      <c r="AE96" s="2997"/>
      <c r="AF96" s="2997"/>
      <c r="AG96" s="2997"/>
      <c r="AH96" s="2997"/>
      <c r="AI96" s="2997"/>
      <c r="AJ96" s="2997"/>
      <c r="AK96" s="2997"/>
      <c r="AL96" s="2997"/>
      <c r="AM96" s="2997"/>
      <c r="AN96" s="2997"/>
      <c r="AO96" s="2997"/>
      <c r="AP96" s="2997"/>
      <c r="AQ96" s="2949"/>
      <c r="AR96" s="2949"/>
      <c r="AS96" s="2949"/>
      <c r="AT96" s="2949"/>
      <c r="AU96" s="2949"/>
      <c r="AV96" s="2949"/>
      <c r="AW96" s="2949"/>
      <c r="AX96" s="2949"/>
      <c r="AY96" s="2949"/>
      <c r="AZ96" s="2949"/>
      <c r="BA96" s="2949"/>
      <c r="BB96" s="2949"/>
      <c r="BC96" s="2949"/>
      <c r="BD96" s="2949"/>
    </row>
    <row r="97" spans="1:56" s="2948" customFormat="1" ht="30" customHeight="1">
      <c r="A97" s="2994"/>
      <c r="B97" s="2994"/>
      <c r="C97" s="2994"/>
      <c r="D97" s="2994"/>
      <c r="E97" s="2994"/>
      <c r="F97" s="2994"/>
      <c r="G97" s="2994"/>
      <c r="H97" s="2994"/>
      <c r="I97" s="2994"/>
      <c r="J97" s="2994"/>
      <c r="K97" s="2994"/>
      <c r="L97" s="2994"/>
      <c r="M97" s="2994"/>
      <c r="N97" s="2994"/>
      <c r="O97" s="2994"/>
      <c r="P97" s="2994"/>
      <c r="Q97" s="2994"/>
      <c r="R97" s="2994"/>
      <c r="S97" s="2994"/>
      <c r="T97" s="2994"/>
      <c r="U97" s="2994"/>
      <c r="V97" s="2995"/>
      <c r="W97" s="2995"/>
      <c r="X97" s="2995"/>
      <c r="Y97" s="2995"/>
      <c r="Z97" s="3011"/>
      <c r="AA97" s="2997"/>
      <c r="AB97" s="2997"/>
      <c r="AC97" s="2997"/>
      <c r="AD97" s="2997"/>
      <c r="AE97" s="2997"/>
      <c r="AF97" s="2997"/>
      <c r="AG97" s="2997"/>
      <c r="AH97" s="2997"/>
      <c r="AI97" s="2997"/>
      <c r="AJ97" s="2997"/>
      <c r="AK97" s="2997"/>
      <c r="AL97" s="2997"/>
      <c r="AM97" s="2997"/>
      <c r="AN97" s="2997"/>
      <c r="AO97" s="2997"/>
      <c r="AP97" s="2997"/>
      <c r="AQ97" s="2949"/>
      <c r="AR97" s="2949"/>
      <c r="AS97" s="2949"/>
      <c r="AT97" s="2949"/>
      <c r="AU97" s="2949"/>
      <c r="AV97" s="2949"/>
      <c r="AW97" s="2949"/>
      <c r="AX97" s="2949"/>
      <c r="AY97" s="2949"/>
      <c r="AZ97" s="2949"/>
      <c r="BA97" s="2949"/>
      <c r="BB97" s="2949"/>
      <c r="BC97" s="2949"/>
      <c r="BD97" s="2949"/>
    </row>
    <row r="98" spans="1:56" s="2948" customFormat="1" ht="30" customHeight="1">
      <c r="A98" s="2994"/>
      <c r="B98" s="2994"/>
      <c r="C98" s="2994"/>
      <c r="D98" s="2994"/>
      <c r="E98" s="2994"/>
      <c r="F98" s="2994"/>
      <c r="G98" s="2994"/>
      <c r="H98" s="2994"/>
      <c r="I98" s="2994"/>
      <c r="J98" s="2994"/>
      <c r="K98" s="2994"/>
      <c r="L98" s="2994"/>
      <c r="M98" s="2994"/>
      <c r="N98" s="2994"/>
      <c r="O98" s="2994"/>
      <c r="P98" s="2994"/>
      <c r="Q98" s="2994"/>
      <c r="R98" s="2994"/>
      <c r="S98" s="2994"/>
      <c r="T98" s="2994"/>
      <c r="U98" s="2994"/>
      <c r="V98" s="2995"/>
      <c r="W98" s="2995"/>
      <c r="X98" s="2995"/>
      <c r="Y98" s="2995"/>
      <c r="Z98" s="3011"/>
      <c r="AA98" s="2997"/>
      <c r="AB98" s="2997"/>
      <c r="AC98" s="2997"/>
      <c r="AD98" s="2997"/>
      <c r="AE98" s="2997"/>
      <c r="AF98" s="2997"/>
      <c r="AG98" s="2997"/>
      <c r="AH98" s="2997"/>
      <c r="AI98" s="2997"/>
      <c r="AJ98" s="2997"/>
      <c r="AK98" s="2997"/>
      <c r="AL98" s="2997"/>
      <c r="AM98" s="2997"/>
      <c r="AN98" s="2997"/>
      <c r="AO98" s="2997"/>
      <c r="AP98" s="2997"/>
      <c r="AQ98" s="2949"/>
      <c r="AR98" s="2949"/>
      <c r="AS98" s="2949"/>
      <c r="AT98" s="2949"/>
      <c r="AU98" s="2949"/>
      <c r="AV98" s="2949"/>
      <c r="AW98" s="2949"/>
      <c r="AX98" s="2949"/>
      <c r="AY98" s="2949"/>
      <c r="AZ98" s="2949"/>
      <c r="BA98" s="2949"/>
      <c r="BB98" s="2949"/>
      <c r="BC98" s="2949"/>
      <c r="BD98" s="2949"/>
    </row>
    <row r="99" spans="1:56" s="2948" customFormat="1" ht="30" customHeight="1">
      <c r="A99" s="2994"/>
      <c r="B99" s="2994"/>
      <c r="C99" s="2994"/>
      <c r="D99" s="2994"/>
      <c r="E99" s="2994"/>
      <c r="F99" s="2994"/>
      <c r="G99" s="2994"/>
      <c r="H99" s="2994"/>
      <c r="I99" s="2994"/>
      <c r="J99" s="2994"/>
      <c r="K99" s="2994"/>
      <c r="L99" s="2994"/>
      <c r="M99" s="2994"/>
      <c r="N99" s="2994"/>
      <c r="O99" s="2994"/>
      <c r="P99" s="2994"/>
      <c r="Q99" s="2994"/>
      <c r="R99" s="2994"/>
      <c r="S99" s="2994"/>
      <c r="T99" s="2994"/>
      <c r="U99" s="2994"/>
      <c r="V99" s="2995"/>
      <c r="W99" s="2995"/>
      <c r="X99" s="2995"/>
      <c r="Y99" s="2995"/>
      <c r="Z99" s="3011"/>
      <c r="AA99" s="2997"/>
      <c r="AB99" s="2997"/>
      <c r="AC99" s="2997"/>
      <c r="AD99" s="2997"/>
      <c r="AE99" s="2997"/>
      <c r="AF99" s="2997"/>
      <c r="AG99" s="2997"/>
      <c r="AH99" s="2997"/>
      <c r="AI99" s="2997"/>
      <c r="AJ99" s="2997"/>
      <c r="AK99" s="2997"/>
      <c r="AL99" s="2997"/>
      <c r="AM99" s="2997"/>
      <c r="AN99" s="2997"/>
      <c r="AO99" s="2997"/>
      <c r="AP99" s="2997"/>
      <c r="AQ99" s="2949"/>
      <c r="AR99" s="2949"/>
      <c r="AS99" s="2949"/>
      <c r="AT99" s="2949"/>
      <c r="AU99" s="2949"/>
      <c r="AV99" s="2949"/>
      <c r="AW99" s="2949"/>
      <c r="AX99" s="2949"/>
      <c r="AY99" s="2949"/>
      <c r="AZ99" s="2949"/>
      <c r="BA99" s="2949"/>
      <c r="BB99" s="2949"/>
      <c r="BC99" s="2949"/>
      <c r="BD99" s="2949"/>
    </row>
    <row r="100" spans="1:56" s="2948" customFormat="1" ht="30" customHeight="1">
      <c r="A100" s="2994"/>
      <c r="B100" s="2994"/>
      <c r="C100" s="2994"/>
      <c r="D100" s="2994"/>
      <c r="E100" s="2994"/>
      <c r="F100" s="2994"/>
      <c r="G100" s="2994"/>
      <c r="H100" s="2994"/>
      <c r="I100" s="2994"/>
      <c r="J100" s="2994"/>
      <c r="K100" s="2994"/>
      <c r="L100" s="2994"/>
      <c r="M100" s="2994"/>
      <c r="N100" s="2994"/>
      <c r="O100" s="2994"/>
      <c r="P100" s="2994"/>
      <c r="Q100" s="2994"/>
      <c r="R100" s="2994"/>
      <c r="S100" s="2994"/>
      <c r="T100" s="2994"/>
      <c r="U100" s="2994"/>
      <c r="V100" s="2995"/>
      <c r="W100" s="2995"/>
      <c r="X100" s="2995"/>
      <c r="Y100" s="2995"/>
      <c r="Z100" s="3011"/>
      <c r="AA100" s="2997"/>
      <c r="AB100" s="2997"/>
      <c r="AC100" s="2997"/>
      <c r="AD100" s="2997"/>
      <c r="AE100" s="2997"/>
      <c r="AF100" s="2997"/>
      <c r="AG100" s="2997"/>
      <c r="AH100" s="2997"/>
      <c r="AI100" s="2997"/>
      <c r="AJ100" s="2997"/>
      <c r="AK100" s="2997"/>
      <c r="AL100" s="2997"/>
      <c r="AM100" s="2997"/>
      <c r="AN100" s="2997"/>
      <c r="AO100" s="2997"/>
      <c r="AP100" s="2997"/>
      <c r="AQ100" s="2949"/>
      <c r="AR100" s="2949"/>
      <c r="AS100" s="2949"/>
      <c r="AT100" s="2949"/>
      <c r="AU100" s="2949"/>
      <c r="AV100" s="2949"/>
      <c r="AW100" s="2949"/>
      <c r="AX100" s="2949"/>
      <c r="AY100" s="2949"/>
      <c r="AZ100" s="2949"/>
      <c r="BA100" s="2949"/>
      <c r="BB100" s="2949"/>
      <c r="BC100" s="2949"/>
      <c r="BD100" s="2949"/>
    </row>
    <row r="101" spans="1:56" s="2948" customFormat="1" ht="30" customHeight="1">
      <c r="A101" s="2994"/>
      <c r="B101" s="2994"/>
      <c r="C101" s="2994"/>
      <c r="D101" s="2994"/>
      <c r="E101" s="2994"/>
      <c r="F101" s="2994"/>
      <c r="G101" s="2994"/>
      <c r="H101" s="2994"/>
      <c r="I101" s="2994"/>
      <c r="J101" s="2994"/>
      <c r="K101" s="2994"/>
      <c r="L101" s="2994"/>
      <c r="M101" s="2994"/>
      <c r="N101" s="2994"/>
      <c r="O101" s="2994"/>
      <c r="P101" s="2994"/>
      <c r="Q101" s="2994"/>
      <c r="R101" s="2994"/>
      <c r="S101" s="2994"/>
      <c r="T101" s="2994"/>
      <c r="U101" s="2994"/>
      <c r="V101" s="2995"/>
      <c r="W101" s="2995"/>
      <c r="X101" s="2995"/>
      <c r="Y101" s="2995"/>
      <c r="Z101" s="3011"/>
      <c r="AA101" s="2997"/>
      <c r="AB101" s="2997"/>
      <c r="AC101" s="2997"/>
      <c r="AD101" s="2997"/>
      <c r="AE101" s="2997"/>
      <c r="AF101" s="2997"/>
      <c r="AG101" s="2997"/>
      <c r="AH101" s="2997"/>
      <c r="AI101" s="2997"/>
      <c r="AJ101" s="2997"/>
      <c r="AK101" s="2997"/>
      <c r="AL101" s="2997"/>
      <c r="AM101" s="2997"/>
      <c r="AN101" s="2997"/>
      <c r="AO101" s="2997"/>
      <c r="AP101" s="2997"/>
      <c r="AQ101" s="2949"/>
      <c r="AR101" s="2949"/>
      <c r="AS101" s="2949"/>
      <c r="AT101" s="2949"/>
      <c r="AU101" s="2949"/>
      <c r="AV101" s="2949"/>
      <c r="AW101" s="2949"/>
      <c r="AX101" s="2949"/>
      <c r="AY101" s="2949"/>
      <c r="AZ101" s="2949"/>
      <c r="BA101" s="2949"/>
      <c r="BB101" s="2949"/>
      <c r="BC101" s="2949"/>
      <c r="BD101" s="2949"/>
    </row>
    <row r="102" spans="1:56" s="2948" customFormat="1" ht="30" customHeight="1">
      <c r="A102" s="2994"/>
      <c r="B102" s="2994"/>
      <c r="C102" s="2994"/>
      <c r="D102" s="2994"/>
      <c r="E102" s="2994"/>
      <c r="F102" s="2994"/>
      <c r="G102" s="2994"/>
      <c r="H102" s="2994"/>
      <c r="I102" s="2994"/>
      <c r="J102" s="2994"/>
      <c r="K102" s="2994"/>
      <c r="L102" s="2994"/>
      <c r="M102" s="2994"/>
      <c r="N102" s="2994"/>
      <c r="O102" s="2994"/>
      <c r="P102" s="2994"/>
      <c r="Q102" s="2994"/>
      <c r="R102" s="2994"/>
      <c r="S102" s="2994"/>
      <c r="T102" s="2994"/>
      <c r="U102" s="2994"/>
      <c r="V102" s="2995"/>
      <c r="W102" s="2995"/>
      <c r="X102" s="2995"/>
      <c r="Y102" s="2995"/>
      <c r="Z102" s="3011"/>
      <c r="AA102" s="2997"/>
      <c r="AB102" s="2997"/>
      <c r="AC102" s="2997"/>
      <c r="AD102" s="2997"/>
      <c r="AE102" s="2997"/>
      <c r="AF102" s="2997"/>
      <c r="AG102" s="2997"/>
      <c r="AH102" s="2997"/>
      <c r="AI102" s="2997"/>
      <c r="AJ102" s="2997"/>
      <c r="AK102" s="2997"/>
      <c r="AL102" s="2997"/>
      <c r="AM102" s="2997"/>
      <c r="AN102" s="2997"/>
      <c r="AO102" s="2997"/>
      <c r="AP102" s="2997"/>
      <c r="AQ102" s="2949"/>
      <c r="AR102" s="2949"/>
      <c r="AS102" s="2949"/>
      <c r="AT102" s="2949"/>
      <c r="AU102" s="2949"/>
      <c r="AV102" s="2949"/>
      <c r="AW102" s="2949"/>
      <c r="AX102" s="2949"/>
      <c r="AY102" s="2949"/>
      <c r="AZ102" s="2949"/>
      <c r="BA102" s="2949"/>
      <c r="BB102" s="2949"/>
      <c r="BC102" s="2949"/>
      <c r="BD102" s="2949"/>
    </row>
    <row r="103" spans="1:56" s="2948" customFormat="1" ht="30" customHeight="1">
      <c r="A103" s="2994"/>
      <c r="B103" s="2994"/>
      <c r="C103" s="2994"/>
      <c r="D103" s="2994"/>
      <c r="E103" s="2994"/>
      <c r="F103" s="2994"/>
      <c r="G103" s="2994"/>
      <c r="H103" s="2994"/>
      <c r="I103" s="2994"/>
      <c r="J103" s="2994"/>
      <c r="K103" s="2994"/>
      <c r="L103" s="2994"/>
      <c r="M103" s="2994"/>
      <c r="N103" s="2994"/>
      <c r="O103" s="2994"/>
      <c r="P103" s="2994"/>
      <c r="Q103" s="2994"/>
      <c r="R103" s="2994"/>
      <c r="S103" s="2994"/>
      <c r="T103" s="2994"/>
      <c r="U103" s="2994"/>
      <c r="V103" s="2995"/>
      <c r="W103" s="2995"/>
      <c r="X103" s="2995"/>
      <c r="Y103" s="2995"/>
      <c r="Z103" s="3011"/>
      <c r="AA103" s="2997"/>
      <c r="AB103" s="2997"/>
      <c r="AC103" s="2997"/>
      <c r="AD103" s="2997"/>
      <c r="AE103" s="2997"/>
      <c r="AF103" s="2997"/>
      <c r="AG103" s="2997"/>
      <c r="AH103" s="2997"/>
      <c r="AI103" s="2997"/>
      <c r="AJ103" s="2997"/>
      <c r="AK103" s="2997"/>
      <c r="AL103" s="2997"/>
      <c r="AM103" s="2997"/>
      <c r="AN103" s="2997"/>
      <c r="AO103" s="2997"/>
      <c r="AP103" s="2997"/>
      <c r="AQ103" s="2949"/>
      <c r="AR103" s="2949"/>
      <c r="AS103" s="2949"/>
      <c r="AT103" s="2949"/>
      <c r="AU103" s="2949"/>
      <c r="AV103" s="2949"/>
      <c r="AW103" s="2949"/>
      <c r="AX103" s="2949"/>
      <c r="AY103" s="2949"/>
      <c r="AZ103" s="2949"/>
      <c r="BA103" s="2949"/>
      <c r="BB103" s="2949"/>
      <c r="BC103" s="2949"/>
      <c r="BD103" s="2949"/>
    </row>
    <row r="104" spans="1:56" s="2948" customFormat="1" ht="30" customHeight="1">
      <c r="A104" s="2994"/>
      <c r="B104" s="2994"/>
      <c r="C104" s="2994"/>
      <c r="D104" s="2994"/>
      <c r="E104" s="2994"/>
      <c r="F104" s="2994"/>
      <c r="G104" s="2994"/>
      <c r="H104" s="2994"/>
      <c r="I104" s="2994"/>
      <c r="J104" s="2994"/>
      <c r="K104" s="2994"/>
      <c r="L104" s="2994"/>
      <c r="M104" s="2994"/>
      <c r="N104" s="2994"/>
      <c r="O104" s="2994"/>
      <c r="P104" s="2994"/>
      <c r="Q104" s="2994"/>
      <c r="R104" s="2994"/>
      <c r="S104" s="2994"/>
      <c r="T104" s="2994"/>
      <c r="U104" s="2994"/>
      <c r="V104" s="2995"/>
      <c r="W104" s="2995"/>
      <c r="X104" s="2995"/>
      <c r="Y104" s="2995"/>
      <c r="Z104" s="3011"/>
      <c r="AA104" s="2997"/>
      <c r="AB104" s="2997"/>
      <c r="AC104" s="2997"/>
      <c r="AD104" s="2997"/>
      <c r="AE104" s="2997"/>
      <c r="AF104" s="2997"/>
      <c r="AG104" s="2997"/>
      <c r="AH104" s="2997"/>
      <c r="AI104" s="2997"/>
      <c r="AJ104" s="2997"/>
      <c r="AK104" s="2997"/>
      <c r="AL104" s="2997"/>
      <c r="AM104" s="2997"/>
      <c r="AN104" s="2997"/>
      <c r="AO104" s="2997"/>
      <c r="AP104" s="2997"/>
      <c r="AQ104" s="2949"/>
      <c r="AR104" s="2949"/>
      <c r="AS104" s="2949"/>
      <c r="AT104" s="2949"/>
      <c r="AU104" s="2949"/>
      <c r="AV104" s="2949"/>
      <c r="AW104" s="2949"/>
      <c r="AX104" s="2949"/>
      <c r="AY104" s="2949"/>
      <c r="AZ104" s="2949"/>
      <c r="BA104" s="2949"/>
      <c r="BB104" s="2949"/>
      <c r="BC104" s="2949"/>
      <c r="BD104" s="2949"/>
    </row>
    <row r="105" spans="1:56" s="2948" customFormat="1" ht="30" customHeight="1">
      <c r="A105" s="2994"/>
      <c r="B105" s="2994"/>
      <c r="C105" s="2994"/>
      <c r="D105" s="2994"/>
      <c r="E105" s="2994"/>
      <c r="F105" s="2994"/>
      <c r="G105" s="2994"/>
      <c r="H105" s="2994"/>
      <c r="I105" s="2994"/>
      <c r="J105" s="2994"/>
      <c r="K105" s="2994"/>
      <c r="L105" s="2994"/>
      <c r="M105" s="2994"/>
      <c r="N105" s="2994"/>
      <c r="O105" s="2994"/>
      <c r="P105" s="2994"/>
      <c r="Q105" s="2994"/>
      <c r="R105" s="2994"/>
      <c r="S105" s="2994"/>
      <c r="T105" s="2994"/>
      <c r="U105" s="2994"/>
      <c r="V105" s="2995"/>
      <c r="W105" s="2995"/>
      <c r="X105" s="2995"/>
      <c r="Y105" s="2995"/>
      <c r="Z105" s="3011"/>
      <c r="AA105" s="2997"/>
      <c r="AB105" s="2997"/>
      <c r="AC105" s="2997"/>
      <c r="AD105" s="2997"/>
      <c r="AE105" s="2997"/>
      <c r="AF105" s="2997"/>
      <c r="AG105" s="2997"/>
      <c r="AH105" s="2997"/>
      <c r="AI105" s="2997"/>
      <c r="AJ105" s="2997"/>
      <c r="AK105" s="2997"/>
      <c r="AL105" s="2997"/>
      <c r="AM105" s="2997"/>
      <c r="AN105" s="2997"/>
      <c r="AO105" s="2997"/>
      <c r="AP105" s="2997"/>
      <c r="AQ105" s="2949"/>
      <c r="AR105" s="2949"/>
      <c r="AS105" s="2949"/>
      <c r="AT105" s="2949"/>
      <c r="AU105" s="2949"/>
      <c r="AV105" s="2949"/>
      <c r="AW105" s="2949"/>
      <c r="AX105" s="2949"/>
      <c r="AY105" s="2949"/>
      <c r="AZ105" s="2949"/>
      <c r="BA105" s="2949"/>
      <c r="BB105" s="2949"/>
      <c r="BC105" s="2949"/>
      <c r="BD105" s="2949"/>
    </row>
    <row r="106" spans="1:56" s="2948" customFormat="1" ht="30" customHeight="1">
      <c r="A106" s="2994"/>
      <c r="B106" s="2994"/>
      <c r="C106" s="2994"/>
      <c r="D106" s="2994"/>
      <c r="E106" s="2994"/>
      <c r="F106" s="2994"/>
      <c r="G106" s="2994"/>
      <c r="H106" s="2994"/>
      <c r="I106" s="2994"/>
      <c r="J106" s="2994"/>
      <c r="K106" s="2994"/>
      <c r="L106" s="2994"/>
      <c r="M106" s="2994"/>
      <c r="N106" s="2994"/>
      <c r="O106" s="2994"/>
      <c r="P106" s="2994"/>
      <c r="Q106" s="2994"/>
      <c r="R106" s="2994"/>
      <c r="S106" s="2994"/>
      <c r="T106" s="2994"/>
      <c r="U106" s="2994"/>
      <c r="V106" s="2995"/>
      <c r="W106" s="2995"/>
      <c r="X106" s="2995"/>
      <c r="Y106" s="2995"/>
      <c r="Z106" s="3011"/>
      <c r="AA106" s="2997"/>
      <c r="AB106" s="2997"/>
      <c r="AC106" s="2997"/>
      <c r="AD106" s="2997"/>
      <c r="AE106" s="2997"/>
      <c r="AF106" s="2997"/>
      <c r="AG106" s="2997"/>
      <c r="AH106" s="2997"/>
      <c r="AI106" s="2997"/>
      <c r="AJ106" s="2997"/>
      <c r="AK106" s="2997"/>
      <c r="AL106" s="2997"/>
      <c r="AM106" s="2997"/>
      <c r="AN106" s="2997"/>
      <c r="AO106" s="2997"/>
      <c r="AP106" s="2997"/>
      <c r="AQ106" s="2949"/>
      <c r="AR106" s="2949"/>
      <c r="AS106" s="2949"/>
      <c r="AT106" s="2949"/>
      <c r="AU106" s="2949"/>
      <c r="AV106" s="2949"/>
      <c r="AW106" s="2949"/>
      <c r="AX106" s="2949"/>
      <c r="AY106" s="2949"/>
      <c r="AZ106" s="2949"/>
      <c r="BA106" s="2949"/>
      <c r="BB106" s="2949"/>
      <c r="BC106" s="2949"/>
      <c r="BD106" s="2949"/>
    </row>
    <row r="107" spans="1:56" s="2948" customFormat="1" ht="30" customHeight="1">
      <c r="A107" s="2994"/>
      <c r="B107" s="2994"/>
      <c r="C107" s="2994"/>
      <c r="D107" s="2994"/>
      <c r="E107" s="2994"/>
      <c r="F107" s="2994"/>
      <c r="G107" s="2994"/>
      <c r="H107" s="2994"/>
      <c r="I107" s="2994"/>
      <c r="J107" s="2994"/>
      <c r="K107" s="2994"/>
      <c r="L107" s="2994"/>
      <c r="M107" s="2994"/>
      <c r="N107" s="2994"/>
      <c r="O107" s="2994"/>
      <c r="P107" s="2994"/>
      <c r="Q107" s="2994"/>
      <c r="R107" s="2994"/>
      <c r="S107" s="2994"/>
      <c r="T107" s="2994"/>
      <c r="U107" s="2994"/>
      <c r="V107" s="2995"/>
      <c r="W107" s="2995"/>
      <c r="X107" s="2995"/>
      <c r="Y107" s="2995"/>
      <c r="Z107" s="3011"/>
      <c r="AA107" s="2997"/>
      <c r="AB107" s="2997"/>
      <c r="AC107" s="2997"/>
      <c r="AD107" s="2997"/>
      <c r="AE107" s="2997"/>
      <c r="AF107" s="2997"/>
      <c r="AG107" s="2997"/>
      <c r="AH107" s="2997"/>
      <c r="AI107" s="2997"/>
      <c r="AJ107" s="2997"/>
      <c r="AK107" s="2997"/>
      <c r="AL107" s="2997"/>
      <c r="AM107" s="2997"/>
      <c r="AN107" s="2997"/>
      <c r="AO107" s="2997"/>
      <c r="AP107" s="2997"/>
      <c r="AQ107" s="2949"/>
      <c r="AR107" s="2949"/>
      <c r="AS107" s="2949"/>
      <c r="AT107" s="2949"/>
      <c r="AU107" s="2949"/>
      <c r="AV107" s="2949"/>
      <c r="AW107" s="2949"/>
      <c r="AX107" s="2949"/>
      <c r="AY107" s="2949"/>
      <c r="AZ107" s="2949"/>
      <c r="BA107" s="2949"/>
      <c r="BB107" s="2949"/>
      <c r="BC107" s="2949"/>
      <c r="BD107" s="2949"/>
    </row>
    <row r="108" spans="1:56" s="2948" customFormat="1" ht="30" customHeight="1">
      <c r="A108" s="2994"/>
      <c r="B108" s="2994"/>
      <c r="C108" s="2994"/>
      <c r="D108" s="2994"/>
      <c r="E108" s="2994"/>
      <c r="F108" s="2994"/>
      <c r="G108" s="2994"/>
      <c r="H108" s="2994"/>
      <c r="I108" s="2994"/>
      <c r="J108" s="2994"/>
      <c r="K108" s="2994"/>
      <c r="L108" s="2994"/>
      <c r="M108" s="2994"/>
      <c r="N108" s="2994"/>
      <c r="O108" s="2994"/>
      <c r="P108" s="2994"/>
      <c r="Q108" s="2994"/>
      <c r="R108" s="2994"/>
      <c r="S108" s="2994"/>
      <c r="T108" s="2994"/>
      <c r="U108" s="2994"/>
      <c r="V108" s="2995"/>
      <c r="W108" s="2995"/>
      <c r="X108" s="2995"/>
      <c r="Y108" s="2995"/>
      <c r="Z108" s="3011"/>
      <c r="AA108" s="2997"/>
      <c r="AB108" s="2997"/>
      <c r="AC108" s="2997"/>
      <c r="AD108" s="2997"/>
      <c r="AE108" s="2997"/>
      <c r="AF108" s="2997"/>
      <c r="AG108" s="2997"/>
      <c r="AH108" s="2997"/>
      <c r="AI108" s="2997"/>
      <c r="AJ108" s="2997"/>
      <c r="AK108" s="2997"/>
      <c r="AL108" s="2997"/>
      <c r="AM108" s="2997"/>
      <c r="AN108" s="2997"/>
      <c r="AO108" s="2997"/>
      <c r="AP108" s="2997"/>
      <c r="AQ108" s="2949"/>
      <c r="AR108" s="2949"/>
      <c r="AS108" s="2949"/>
      <c r="AT108" s="2949"/>
      <c r="AU108" s="2949"/>
      <c r="AV108" s="2949"/>
      <c r="AW108" s="2949"/>
      <c r="AX108" s="2949"/>
      <c r="AY108" s="2949"/>
      <c r="AZ108" s="2949"/>
      <c r="BA108" s="2949"/>
      <c r="BB108" s="2949"/>
      <c r="BC108" s="2949"/>
      <c r="BD108" s="2949"/>
    </row>
    <row r="109" spans="1:56" s="2948" customFormat="1" ht="30" customHeight="1">
      <c r="A109" s="2994"/>
      <c r="B109" s="2994"/>
      <c r="C109" s="2994"/>
      <c r="D109" s="2994"/>
      <c r="E109" s="2994"/>
      <c r="F109" s="2994"/>
      <c r="G109" s="2994"/>
      <c r="H109" s="2994"/>
      <c r="I109" s="2994"/>
      <c r="J109" s="2994"/>
      <c r="K109" s="2994"/>
      <c r="L109" s="2994"/>
      <c r="M109" s="2994"/>
      <c r="N109" s="2994"/>
      <c r="O109" s="2994"/>
      <c r="P109" s="2994"/>
      <c r="Q109" s="2994"/>
      <c r="R109" s="2994"/>
      <c r="S109" s="2994"/>
      <c r="T109" s="2994"/>
      <c r="U109" s="2994"/>
      <c r="V109" s="2995"/>
      <c r="W109" s="2995"/>
      <c r="X109" s="2995"/>
      <c r="Y109" s="2995"/>
      <c r="Z109" s="3011"/>
      <c r="AA109" s="2997"/>
      <c r="AB109" s="2997"/>
      <c r="AC109" s="2997"/>
      <c r="AD109" s="2997"/>
      <c r="AE109" s="2997"/>
      <c r="AF109" s="2997"/>
      <c r="AG109" s="2997"/>
      <c r="AH109" s="2997"/>
      <c r="AI109" s="2997"/>
      <c r="AJ109" s="2997"/>
      <c r="AK109" s="2997"/>
      <c r="AL109" s="2997"/>
      <c r="AM109" s="2997"/>
      <c r="AN109" s="2997"/>
      <c r="AO109" s="2997"/>
      <c r="AP109" s="2997"/>
      <c r="AQ109" s="2949"/>
      <c r="AR109" s="2949"/>
      <c r="AS109" s="2949"/>
      <c r="AT109" s="2949"/>
      <c r="AU109" s="2949"/>
      <c r="AV109" s="2949"/>
      <c r="AW109" s="2949"/>
      <c r="AX109" s="2949"/>
      <c r="AY109" s="2949"/>
      <c r="AZ109" s="2949"/>
      <c r="BA109" s="2949"/>
      <c r="BB109" s="2949"/>
      <c r="BC109" s="2949"/>
      <c r="BD109" s="2949"/>
    </row>
    <row r="110" spans="1:56" s="2948" customFormat="1" ht="30" customHeight="1">
      <c r="A110" s="2994"/>
      <c r="B110" s="2994"/>
      <c r="C110" s="2994"/>
      <c r="D110" s="2994"/>
      <c r="E110" s="2994"/>
      <c r="F110" s="2994"/>
      <c r="G110" s="2994"/>
      <c r="H110" s="2994"/>
      <c r="I110" s="2994"/>
      <c r="J110" s="2994"/>
      <c r="K110" s="2994"/>
      <c r="L110" s="2994"/>
      <c r="M110" s="2994"/>
      <c r="N110" s="2994"/>
      <c r="O110" s="2994"/>
      <c r="P110" s="2994"/>
      <c r="Q110" s="2994"/>
      <c r="R110" s="2994"/>
      <c r="S110" s="2994"/>
      <c r="T110" s="2994"/>
      <c r="U110" s="2994"/>
      <c r="V110" s="2995"/>
      <c r="W110" s="2995"/>
      <c r="X110" s="2995"/>
      <c r="Y110" s="2995"/>
      <c r="Z110" s="3011"/>
      <c r="AA110" s="2997"/>
      <c r="AB110" s="2997"/>
      <c r="AC110" s="2997"/>
      <c r="AD110" s="2997"/>
      <c r="AE110" s="2997"/>
      <c r="AF110" s="2997"/>
      <c r="AG110" s="2997"/>
      <c r="AH110" s="2997"/>
      <c r="AI110" s="2997"/>
      <c r="AJ110" s="2997"/>
      <c r="AK110" s="2997"/>
      <c r="AL110" s="2997"/>
      <c r="AM110" s="2997"/>
      <c r="AN110" s="2997"/>
      <c r="AO110" s="2997"/>
      <c r="AP110" s="2997"/>
      <c r="AQ110" s="2949"/>
      <c r="AR110" s="2949"/>
      <c r="AS110" s="2949"/>
      <c r="AT110" s="2949"/>
      <c r="AU110" s="2949"/>
      <c r="AV110" s="2949"/>
      <c r="AW110" s="2949"/>
      <c r="AX110" s="2949"/>
      <c r="AY110" s="2949"/>
      <c r="AZ110" s="2949"/>
      <c r="BA110" s="2949"/>
      <c r="BB110" s="2949"/>
      <c r="BC110" s="2949"/>
      <c r="BD110" s="2949"/>
    </row>
    <row r="111" spans="1:56" s="2948" customFormat="1" ht="30" customHeight="1">
      <c r="A111" s="2994"/>
      <c r="B111" s="2994"/>
      <c r="C111" s="2994"/>
      <c r="D111" s="2994"/>
      <c r="E111" s="2994"/>
      <c r="F111" s="2994"/>
      <c r="G111" s="2994"/>
      <c r="H111" s="2994"/>
      <c r="I111" s="2994"/>
      <c r="J111" s="2994"/>
      <c r="K111" s="2994"/>
      <c r="L111" s="2994"/>
      <c r="M111" s="2994"/>
      <c r="N111" s="2994"/>
      <c r="O111" s="2994"/>
      <c r="P111" s="2994"/>
      <c r="Q111" s="2994"/>
      <c r="R111" s="2994"/>
      <c r="S111" s="2994"/>
      <c r="T111" s="2994"/>
      <c r="U111" s="2994"/>
      <c r="V111" s="2995"/>
      <c r="W111" s="2995"/>
      <c r="X111" s="2995"/>
      <c r="Y111" s="2995"/>
      <c r="Z111" s="3011"/>
      <c r="AA111" s="2997"/>
      <c r="AB111" s="2997"/>
      <c r="AC111" s="2997"/>
      <c r="AD111" s="2997"/>
      <c r="AE111" s="2997"/>
      <c r="AF111" s="2997"/>
      <c r="AG111" s="2997"/>
      <c r="AH111" s="2997"/>
      <c r="AI111" s="2997"/>
      <c r="AJ111" s="2997"/>
      <c r="AK111" s="2997"/>
      <c r="AL111" s="2997"/>
      <c r="AM111" s="2997"/>
      <c r="AN111" s="2997"/>
      <c r="AO111" s="2997"/>
      <c r="AP111" s="2997"/>
      <c r="AQ111" s="2949"/>
      <c r="AR111" s="2949"/>
      <c r="AS111" s="2949"/>
      <c r="AT111" s="2949"/>
      <c r="AU111" s="2949"/>
      <c r="AV111" s="2949"/>
      <c r="AW111" s="2949"/>
      <c r="AX111" s="2949"/>
      <c r="AY111" s="2949"/>
      <c r="AZ111" s="2949"/>
      <c r="BA111" s="2949"/>
      <c r="BB111" s="2949"/>
      <c r="BC111" s="2949"/>
      <c r="BD111" s="2949"/>
    </row>
    <row r="112" spans="1:56" s="2948" customFormat="1" ht="30" customHeight="1">
      <c r="A112" s="2994"/>
      <c r="B112" s="2994"/>
      <c r="C112" s="2994"/>
      <c r="D112" s="2994"/>
      <c r="E112" s="2994"/>
      <c r="F112" s="2994"/>
      <c r="G112" s="2994"/>
      <c r="H112" s="2994"/>
      <c r="I112" s="2994"/>
      <c r="J112" s="2994"/>
      <c r="K112" s="2994"/>
      <c r="L112" s="2994"/>
      <c r="M112" s="2994"/>
      <c r="N112" s="2994"/>
      <c r="O112" s="2994"/>
      <c r="P112" s="2994"/>
      <c r="Q112" s="2994"/>
      <c r="R112" s="2994"/>
      <c r="S112" s="2994"/>
      <c r="T112" s="2994"/>
      <c r="U112" s="2994"/>
      <c r="V112" s="2995"/>
      <c r="W112" s="2995"/>
      <c r="X112" s="2995"/>
      <c r="Y112" s="2995"/>
      <c r="Z112" s="3011"/>
      <c r="AA112" s="2997"/>
      <c r="AB112" s="2997"/>
      <c r="AC112" s="2997"/>
      <c r="AD112" s="2997"/>
      <c r="AE112" s="2997"/>
      <c r="AF112" s="2997"/>
      <c r="AG112" s="2997"/>
      <c r="AH112" s="2997"/>
      <c r="AI112" s="2997"/>
      <c r="AJ112" s="2997"/>
      <c r="AK112" s="2997"/>
      <c r="AL112" s="2997"/>
      <c r="AM112" s="2997"/>
      <c r="AN112" s="2997"/>
      <c r="AO112" s="2997"/>
      <c r="AP112" s="2997"/>
      <c r="AQ112" s="2949"/>
      <c r="AR112" s="2949"/>
      <c r="AS112" s="2949"/>
      <c r="AT112" s="2949"/>
      <c r="AU112" s="2949"/>
      <c r="AV112" s="2949"/>
      <c r="AW112" s="2949"/>
      <c r="AX112" s="2949"/>
      <c r="AY112" s="2949"/>
      <c r="AZ112" s="2949"/>
      <c r="BA112" s="2949"/>
      <c r="BB112" s="2949"/>
      <c r="BC112" s="2949"/>
      <c r="BD112" s="2949"/>
    </row>
    <row r="113" spans="1:56" s="2948" customFormat="1" ht="30" customHeight="1">
      <c r="A113" s="2994"/>
      <c r="B113" s="2994"/>
      <c r="C113" s="2994"/>
      <c r="D113" s="2994"/>
      <c r="E113" s="2994"/>
      <c r="F113" s="2994"/>
      <c r="G113" s="2994"/>
      <c r="H113" s="2994"/>
      <c r="I113" s="2994"/>
      <c r="J113" s="2994"/>
      <c r="K113" s="2994"/>
      <c r="L113" s="2994"/>
      <c r="M113" s="2994"/>
      <c r="N113" s="2994"/>
      <c r="O113" s="2994"/>
      <c r="P113" s="2994"/>
      <c r="Q113" s="2994"/>
      <c r="R113" s="2994"/>
      <c r="S113" s="2994"/>
      <c r="T113" s="2994"/>
      <c r="U113" s="2994"/>
      <c r="V113" s="2995"/>
      <c r="W113" s="2995"/>
      <c r="X113" s="2995"/>
      <c r="Y113" s="2995"/>
      <c r="Z113" s="3011"/>
      <c r="AA113" s="2997"/>
      <c r="AB113" s="2997"/>
      <c r="AC113" s="2997"/>
      <c r="AD113" s="2997"/>
      <c r="AE113" s="2997"/>
      <c r="AF113" s="2997"/>
      <c r="AG113" s="2997"/>
      <c r="AH113" s="2997"/>
      <c r="AI113" s="2997"/>
      <c r="AJ113" s="2997"/>
      <c r="AK113" s="2997"/>
      <c r="AL113" s="2997"/>
      <c r="AM113" s="2997"/>
      <c r="AN113" s="2997"/>
      <c r="AO113" s="2997"/>
      <c r="AP113" s="2997"/>
      <c r="AQ113" s="2949"/>
      <c r="AR113" s="2949"/>
      <c r="AS113" s="2949"/>
      <c r="AT113" s="2949"/>
      <c r="AU113" s="2949"/>
      <c r="AV113" s="2949"/>
      <c r="AW113" s="2949"/>
      <c r="AX113" s="2949"/>
      <c r="AY113" s="2949"/>
      <c r="AZ113" s="2949"/>
      <c r="BA113" s="2949"/>
      <c r="BB113" s="2949"/>
      <c r="BC113" s="2949"/>
      <c r="BD113" s="2949"/>
    </row>
    <row r="114" spans="1:56" s="2948" customFormat="1" ht="30" customHeight="1">
      <c r="A114" s="2994"/>
      <c r="B114" s="2994"/>
      <c r="C114" s="2994"/>
      <c r="D114" s="2994"/>
      <c r="E114" s="2994"/>
      <c r="F114" s="2994"/>
      <c r="G114" s="2994"/>
      <c r="H114" s="2994"/>
      <c r="I114" s="2994"/>
      <c r="J114" s="2994"/>
      <c r="K114" s="2994"/>
      <c r="L114" s="2994"/>
      <c r="M114" s="2994"/>
      <c r="N114" s="2994"/>
      <c r="O114" s="2994"/>
      <c r="P114" s="2994"/>
      <c r="Q114" s="2994"/>
      <c r="R114" s="2994"/>
      <c r="S114" s="2994"/>
      <c r="T114" s="2994"/>
      <c r="U114" s="2994"/>
      <c r="V114" s="2995"/>
      <c r="W114" s="2995"/>
      <c r="X114" s="2995"/>
      <c r="Y114" s="2995"/>
      <c r="Z114" s="3011"/>
      <c r="AA114" s="2997"/>
      <c r="AB114" s="2997"/>
      <c r="AC114" s="2997"/>
      <c r="AD114" s="2997"/>
      <c r="AE114" s="2997"/>
      <c r="AF114" s="2997"/>
      <c r="AG114" s="2997"/>
      <c r="AH114" s="2997"/>
      <c r="AI114" s="2997"/>
      <c r="AJ114" s="2997"/>
      <c r="AK114" s="2997"/>
      <c r="AL114" s="2997"/>
      <c r="AM114" s="2997"/>
      <c r="AN114" s="2997"/>
      <c r="AO114" s="2997"/>
      <c r="AP114" s="2997"/>
      <c r="AQ114" s="2949"/>
      <c r="AR114" s="2949"/>
      <c r="AS114" s="2949"/>
      <c r="AT114" s="2949"/>
      <c r="AU114" s="2949"/>
      <c r="AV114" s="2949"/>
      <c r="AW114" s="2949"/>
      <c r="AX114" s="2949"/>
      <c r="AY114" s="2949"/>
      <c r="AZ114" s="2949"/>
      <c r="BA114" s="2949"/>
      <c r="BB114" s="2949"/>
      <c r="BC114" s="2949"/>
      <c r="BD114" s="2949"/>
    </row>
    <row r="115" spans="1:56" s="2948" customFormat="1" ht="30" customHeight="1">
      <c r="A115" s="2994"/>
      <c r="B115" s="2994"/>
      <c r="C115" s="2994"/>
      <c r="D115" s="2994"/>
      <c r="E115" s="2994"/>
      <c r="F115" s="2994"/>
      <c r="G115" s="2994"/>
      <c r="H115" s="2994"/>
      <c r="I115" s="2994"/>
      <c r="J115" s="2994"/>
      <c r="K115" s="2994"/>
      <c r="L115" s="2994"/>
      <c r="M115" s="2994"/>
      <c r="N115" s="2994"/>
      <c r="O115" s="2994"/>
      <c r="P115" s="2994"/>
      <c r="Q115" s="2994"/>
      <c r="R115" s="2994"/>
      <c r="S115" s="2994"/>
      <c r="T115" s="2994"/>
      <c r="U115" s="2994"/>
      <c r="V115" s="2995"/>
      <c r="W115" s="2995"/>
      <c r="X115" s="2995"/>
      <c r="Y115" s="2995"/>
      <c r="Z115" s="3011"/>
      <c r="AA115" s="2997"/>
      <c r="AB115" s="2997"/>
      <c r="AC115" s="2997"/>
      <c r="AD115" s="2997"/>
      <c r="AE115" s="2997"/>
      <c r="AF115" s="2997"/>
      <c r="AG115" s="2997"/>
      <c r="AH115" s="2997"/>
      <c r="AI115" s="2997"/>
      <c r="AJ115" s="2997"/>
      <c r="AK115" s="2997"/>
      <c r="AL115" s="2997"/>
      <c r="AM115" s="2997"/>
      <c r="AN115" s="2997"/>
      <c r="AO115" s="2997"/>
      <c r="AP115" s="2997"/>
      <c r="AQ115" s="2949"/>
      <c r="AR115" s="2949"/>
      <c r="AS115" s="2949"/>
      <c r="AT115" s="2949"/>
      <c r="AU115" s="2949"/>
      <c r="AV115" s="2949"/>
      <c r="AW115" s="2949"/>
      <c r="AX115" s="2949"/>
      <c r="AY115" s="2949"/>
      <c r="AZ115" s="2949"/>
      <c r="BA115" s="2949"/>
      <c r="BB115" s="2949"/>
      <c r="BC115" s="2949"/>
      <c r="BD115" s="2949"/>
    </row>
    <row r="116" spans="1:56" s="2948" customFormat="1" ht="30" customHeight="1">
      <c r="A116" s="2994"/>
      <c r="B116" s="2994"/>
      <c r="C116" s="2994"/>
      <c r="D116" s="2994"/>
      <c r="E116" s="2994"/>
      <c r="F116" s="2994"/>
      <c r="G116" s="2994"/>
      <c r="H116" s="2994"/>
      <c r="I116" s="2994"/>
      <c r="J116" s="2994"/>
      <c r="K116" s="2994"/>
      <c r="L116" s="2994"/>
      <c r="M116" s="2994"/>
      <c r="N116" s="2994"/>
      <c r="O116" s="2994"/>
      <c r="P116" s="2994"/>
      <c r="Q116" s="2994"/>
      <c r="R116" s="2994"/>
      <c r="S116" s="2994"/>
      <c r="T116" s="2994"/>
      <c r="U116" s="2994"/>
      <c r="V116" s="2995"/>
      <c r="W116" s="2995"/>
      <c r="X116" s="2995"/>
      <c r="Y116" s="2995"/>
      <c r="Z116" s="3011"/>
      <c r="AA116" s="2997"/>
      <c r="AB116" s="2997"/>
      <c r="AC116" s="2997"/>
      <c r="AD116" s="2997"/>
      <c r="AE116" s="2997"/>
      <c r="AF116" s="2997"/>
      <c r="AG116" s="2997"/>
      <c r="AH116" s="2997"/>
      <c r="AI116" s="2997"/>
      <c r="AJ116" s="2997"/>
      <c r="AK116" s="2997"/>
      <c r="AL116" s="2997"/>
      <c r="AM116" s="2997"/>
      <c r="AN116" s="2997"/>
      <c r="AO116" s="2997"/>
      <c r="AP116" s="2997"/>
      <c r="AQ116" s="2949"/>
      <c r="AR116" s="2949"/>
      <c r="AS116" s="2949"/>
      <c r="AT116" s="2949"/>
      <c r="AU116" s="2949"/>
      <c r="AV116" s="2949"/>
      <c r="AW116" s="2949"/>
      <c r="AX116" s="2949"/>
      <c r="AY116" s="2949"/>
      <c r="AZ116" s="2949"/>
      <c r="BA116" s="2949"/>
      <c r="BB116" s="2949"/>
      <c r="BC116" s="2949"/>
      <c r="BD116" s="2949"/>
    </row>
    <row r="117" spans="1:56" s="2948" customFormat="1" ht="30" customHeight="1">
      <c r="A117" s="2994"/>
      <c r="B117" s="2994"/>
      <c r="C117" s="2994"/>
      <c r="D117" s="2994"/>
      <c r="E117" s="2994"/>
      <c r="F117" s="2994"/>
      <c r="G117" s="2994"/>
      <c r="H117" s="2994"/>
      <c r="I117" s="2994"/>
      <c r="J117" s="2994"/>
      <c r="K117" s="2994"/>
      <c r="L117" s="2994"/>
      <c r="M117" s="2994"/>
      <c r="N117" s="2994"/>
      <c r="O117" s="2994"/>
      <c r="P117" s="2994"/>
      <c r="Q117" s="2994"/>
      <c r="R117" s="2994"/>
      <c r="S117" s="2994"/>
      <c r="T117" s="2994"/>
      <c r="U117" s="2994"/>
      <c r="V117" s="2995"/>
      <c r="W117" s="2995"/>
      <c r="X117" s="2995"/>
      <c r="Y117" s="2995"/>
      <c r="Z117" s="3011"/>
      <c r="AA117" s="2997"/>
      <c r="AB117" s="2997"/>
      <c r="AC117" s="2997"/>
      <c r="AD117" s="2997"/>
      <c r="AE117" s="2997"/>
      <c r="AF117" s="2997"/>
      <c r="AG117" s="2997"/>
      <c r="AH117" s="2997"/>
      <c r="AI117" s="2997"/>
      <c r="AJ117" s="2997"/>
      <c r="AK117" s="2997"/>
      <c r="AL117" s="2997"/>
      <c r="AM117" s="2997"/>
      <c r="AN117" s="2997"/>
      <c r="AO117" s="2997"/>
      <c r="AP117" s="2997"/>
      <c r="AQ117" s="2949"/>
      <c r="AR117" s="2949"/>
      <c r="AS117" s="2949"/>
      <c r="AT117" s="2949"/>
      <c r="AU117" s="2949"/>
      <c r="AV117" s="2949"/>
      <c r="AW117" s="2949"/>
      <c r="AX117" s="2949"/>
      <c r="AY117" s="2949"/>
      <c r="AZ117" s="2949"/>
      <c r="BA117" s="2949"/>
      <c r="BB117" s="2949"/>
      <c r="BC117" s="2949"/>
      <c r="BD117" s="2949"/>
    </row>
    <row r="118" spans="1:56" s="2948" customFormat="1" ht="30" customHeight="1">
      <c r="A118" s="2994"/>
      <c r="B118" s="2994"/>
      <c r="C118" s="2994"/>
      <c r="D118" s="2994"/>
      <c r="E118" s="2994"/>
      <c r="F118" s="2994"/>
      <c r="G118" s="2994"/>
      <c r="H118" s="2994"/>
      <c r="I118" s="2994"/>
      <c r="J118" s="2994"/>
      <c r="K118" s="2994"/>
      <c r="L118" s="2994"/>
      <c r="M118" s="2994"/>
      <c r="N118" s="2994"/>
      <c r="O118" s="2994"/>
      <c r="P118" s="2994"/>
      <c r="Q118" s="2994"/>
      <c r="R118" s="2994"/>
      <c r="S118" s="2994"/>
      <c r="T118" s="2994"/>
      <c r="U118" s="2994"/>
      <c r="V118" s="2995"/>
      <c r="W118" s="2995"/>
      <c r="X118" s="2995"/>
      <c r="Y118" s="2995"/>
      <c r="Z118" s="3011"/>
      <c r="AA118" s="2997"/>
      <c r="AB118" s="2997"/>
      <c r="AC118" s="2997"/>
      <c r="AD118" s="2997"/>
      <c r="AE118" s="2997"/>
      <c r="AF118" s="2997"/>
      <c r="AG118" s="2997"/>
      <c r="AH118" s="2997"/>
      <c r="AI118" s="2997"/>
      <c r="AJ118" s="2997"/>
      <c r="AK118" s="2997"/>
      <c r="AL118" s="2997"/>
      <c r="AM118" s="2997"/>
      <c r="AN118" s="2997"/>
      <c r="AO118" s="2997"/>
      <c r="AP118" s="2997"/>
      <c r="AQ118" s="2949"/>
      <c r="AR118" s="2949"/>
      <c r="AS118" s="2949"/>
      <c r="AT118" s="2949"/>
      <c r="AU118" s="2949"/>
      <c r="AV118" s="2949"/>
      <c r="AW118" s="2949"/>
      <c r="AX118" s="2949"/>
      <c r="AY118" s="2949"/>
      <c r="AZ118" s="2949"/>
      <c r="BA118" s="2949"/>
      <c r="BB118" s="2949"/>
      <c r="BC118" s="2949"/>
      <c r="BD118" s="2949"/>
    </row>
  </sheetData>
  <mergeCells count="16">
    <mergeCell ref="B8:B9"/>
    <mergeCell ref="D8:F8"/>
    <mergeCell ref="G8:K8"/>
    <mergeCell ref="L8:Q8"/>
    <mergeCell ref="D43:D56"/>
    <mergeCell ref="E43:E56"/>
    <mergeCell ref="F43:F56"/>
    <mergeCell ref="Z8:Z9"/>
    <mergeCell ref="D10:D17"/>
    <mergeCell ref="E10:E17"/>
    <mergeCell ref="F10:F17"/>
    <mergeCell ref="D19:D41"/>
    <mergeCell ref="E19:E41"/>
    <mergeCell ref="F19:F41"/>
    <mergeCell ref="V8:W8"/>
    <mergeCell ref="R8:U8"/>
  </mergeCells>
  <phoneticPr fontId="144" type="noConversion"/>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867"/>
  <sheetViews>
    <sheetView showGridLines="0" workbookViewId="0">
      <pane ySplit="2" topLeftCell="A1776" activePane="bottomLeft" state="frozenSplit"/>
      <selection pane="bottomLeft" activeCell="N1802" sqref="N1802"/>
    </sheetView>
  </sheetViews>
  <sheetFormatPr defaultRowHeight="18" customHeight="1"/>
  <cols>
    <col min="1" max="1" width="1" style="2985" customWidth="1"/>
    <col min="2" max="2" width="6.375" style="2985" customWidth="1"/>
    <col min="3" max="3" width="16.75" style="2985" hidden="1" customWidth="1"/>
    <col min="4" max="4" width="10.5" style="2985" customWidth="1"/>
    <col min="5" max="5" width="8.875" style="2985" customWidth="1"/>
    <col min="6" max="6" width="5.875" style="2985" hidden="1" customWidth="1"/>
    <col min="7" max="7" width="6.25" style="2985" customWidth="1"/>
    <col min="8" max="8" width="28.625" style="2985" hidden="1" customWidth="1"/>
    <col min="9" max="9" width="8.25" style="2985" hidden="1" customWidth="1"/>
    <col min="10" max="10" width="6.75" style="2985" hidden="1" customWidth="1"/>
    <col min="11" max="11" width="11.625" style="2985" customWidth="1"/>
    <col min="12" max="232" width="9" style="2985"/>
    <col min="233" max="233" width="1" style="2985" customWidth="1"/>
    <col min="234" max="234" width="6.375" style="2985" customWidth="1"/>
    <col min="235" max="235" width="12.25" style="2985" customWidth="1"/>
    <col min="236" max="236" width="10.5" style="2985" customWidth="1"/>
    <col min="237" max="237" width="8.875" style="2985" customWidth="1"/>
    <col min="238" max="238" width="5.875" style="2985" customWidth="1"/>
    <col min="239" max="239" width="6.25" style="2985" customWidth="1"/>
    <col min="240" max="240" width="16.125" style="2985" customWidth="1"/>
    <col min="241" max="241" width="8.25" style="2985" customWidth="1"/>
    <col min="242" max="242" width="6.75" style="2985" customWidth="1"/>
    <col min="243" max="243" width="11.625" style="2985" customWidth="1"/>
    <col min="244" max="244" width="11.375" style="2985" customWidth="1"/>
    <col min="245" max="245" width="11.5" style="2985" customWidth="1"/>
    <col min="246" max="246" width="11.25" style="2985" customWidth="1"/>
    <col min="247" max="247" width="14.625" style="2985" customWidth="1"/>
    <col min="248" max="248" width="9.625" style="2985" customWidth="1"/>
    <col min="249" max="249" width="10.125" style="2985" customWidth="1"/>
    <col min="250" max="250" width="8.625" style="2985" customWidth="1"/>
    <col min="251" max="251" width="10.875" style="2985" customWidth="1"/>
    <col min="252" max="254" width="12.25" style="2985" customWidth="1"/>
    <col min="255" max="255" width="13.75" style="2985" customWidth="1"/>
    <col min="256" max="256" width="7.875" style="2985" customWidth="1"/>
    <col min="257" max="257" width="10.5" style="2985" customWidth="1"/>
    <col min="258" max="261" width="10.875" style="2985" customWidth="1"/>
    <col min="262" max="262" width="10.25" style="2985" customWidth="1"/>
    <col min="263" max="263" width="8.625" style="2985" customWidth="1"/>
    <col min="264" max="264" width="8.5" style="2985" customWidth="1"/>
    <col min="265" max="267" width="10.5" style="2985" customWidth="1"/>
    <col min="268" max="488" width="9" style="2985"/>
    <col min="489" max="489" width="1" style="2985" customWidth="1"/>
    <col min="490" max="490" width="6.375" style="2985" customWidth="1"/>
    <col min="491" max="491" width="12.25" style="2985" customWidth="1"/>
    <col min="492" max="492" width="10.5" style="2985" customWidth="1"/>
    <col min="493" max="493" width="8.875" style="2985" customWidth="1"/>
    <col min="494" max="494" width="5.875" style="2985" customWidth="1"/>
    <col min="495" max="495" width="6.25" style="2985" customWidth="1"/>
    <col min="496" max="496" width="16.125" style="2985" customWidth="1"/>
    <col min="497" max="497" width="8.25" style="2985" customWidth="1"/>
    <col min="498" max="498" width="6.75" style="2985" customWidth="1"/>
    <col min="499" max="499" width="11.625" style="2985" customWidth="1"/>
    <col min="500" max="500" width="11.375" style="2985" customWidth="1"/>
    <col min="501" max="501" width="11.5" style="2985" customWidth="1"/>
    <col min="502" max="502" width="11.25" style="2985" customWidth="1"/>
    <col min="503" max="503" width="14.625" style="2985" customWidth="1"/>
    <col min="504" max="504" width="9.625" style="2985" customWidth="1"/>
    <col min="505" max="505" width="10.125" style="2985" customWidth="1"/>
    <col min="506" max="506" width="8.625" style="2985" customWidth="1"/>
    <col min="507" max="507" width="10.875" style="2985" customWidth="1"/>
    <col min="508" max="510" width="12.25" style="2985" customWidth="1"/>
    <col min="511" max="511" width="13.75" style="2985" customWidth="1"/>
    <col min="512" max="512" width="7.875" style="2985" customWidth="1"/>
    <col min="513" max="513" width="10.5" style="2985" customWidth="1"/>
    <col min="514" max="517" width="10.875" style="2985" customWidth="1"/>
    <col min="518" max="518" width="10.25" style="2985" customWidth="1"/>
    <col min="519" max="519" width="8.625" style="2985" customWidth="1"/>
    <col min="520" max="520" width="8.5" style="2985" customWidth="1"/>
    <col min="521" max="523" width="10.5" style="2985" customWidth="1"/>
    <col min="524" max="744" width="9" style="2985"/>
    <col min="745" max="745" width="1" style="2985" customWidth="1"/>
    <col min="746" max="746" width="6.375" style="2985" customWidth="1"/>
    <col min="747" max="747" width="12.25" style="2985" customWidth="1"/>
    <col min="748" max="748" width="10.5" style="2985" customWidth="1"/>
    <col min="749" max="749" width="8.875" style="2985" customWidth="1"/>
    <col min="750" max="750" width="5.875" style="2985" customWidth="1"/>
    <col min="751" max="751" width="6.25" style="2985" customWidth="1"/>
    <col min="752" max="752" width="16.125" style="2985" customWidth="1"/>
    <col min="753" max="753" width="8.25" style="2985" customWidth="1"/>
    <col min="754" max="754" width="6.75" style="2985" customWidth="1"/>
    <col min="755" max="755" width="11.625" style="2985" customWidth="1"/>
    <col min="756" max="756" width="11.375" style="2985" customWidth="1"/>
    <col min="757" max="757" width="11.5" style="2985" customWidth="1"/>
    <col min="758" max="758" width="11.25" style="2985" customWidth="1"/>
    <col min="759" max="759" width="14.625" style="2985" customWidth="1"/>
    <col min="760" max="760" width="9.625" style="2985" customWidth="1"/>
    <col min="761" max="761" width="10.125" style="2985" customWidth="1"/>
    <col min="762" max="762" width="8.625" style="2985" customWidth="1"/>
    <col min="763" max="763" width="10.875" style="2985" customWidth="1"/>
    <col min="764" max="766" width="12.25" style="2985" customWidth="1"/>
    <col min="767" max="767" width="13.75" style="2985" customWidth="1"/>
    <col min="768" max="768" width="7.875" style="2985" customWidth="1"/>
    <col min="769" max="769" width="10.5" style="2985" customWidth="1"/>
    <col min="770" max="773" width="10.875" style="2985" customWidth="1"/>
    <col min="774" max="774" width="10.25" style="2985" customWidth="1"/>
    <col min="775" max="775" width="8.625" style="2985" customWidth="1"/>
    <col min="776" max="776" width="8.5" style="2985" customWidth="1"/>
    <col min="777" max="779" width="10.5" style="2985" customWidth="1"/>
    <col min="780" max="1000" width="9" style="2985"/>
    <col min="1001" max="1001" width="1" style="2985" customWidth="1"/>
    <col min="1002" max="1002" width="6.375" style="2985" customWidth="1"/>
    <col min="1003" max="1003" width="12.25" style="2985" customWidth="1"/>
    <col min="1004" max="1004" width="10.5" style="2985" customWidth="1"/>
    <col min="1005" max="1005" width="8.875" style="2985" customWidth="1"/>
    <col min="1006" max="1006" width="5.875" style="2985" customWidth="1"/>
    <col min="1007" max="1007" width="6.25" style="2985" customWidth="1"/>
    <col min="1008" max="1008" width="16.125" style="2985" customWidth="1"/>
    <col min="1009" max="1009" width="8.25" style="2985" customWidth="1"/>
    <col min="1010" max="1010" width="6.75" style="2985" customWidth="1"/>
    <col min="1011" max="1011" width="11.625" style="2985" customWidth="1"/>
    <col min="1012" max="1012" width="11.375" style="2985" customWidth="1"/>
    <col min="1013" max="1013" width="11.5" style="2985" customWidth="1"/>
    <col min="1014" max="1014" width="11.25" style="2985" customWidth="1"/>
    <col min="1015" max="1015" width="14.625" style="2985" customWidth="1"/>
    <col min="1016" max="1016" width="9.625" style="2985" customWidth="1"/>
    <col min="1017" max="1017" width="10.125" style="2985" customWidth="1"/>
    <col min="1018" max="1018" width="8.625" style="2985" customWidth="1"/>
    <col min="1019" max="1019" width="10.875" style="2985" customWidth="1"/>
    <col min="1020" max="1022" width="12.25" style="2985" customWidth="1"/>
    <col min="1023" max="1023" width="13.75" style="2985" customWidth="1"/>
    <col min="1024" max="1024" width="7.875" style="2985" customWidth="1"/>
    <col min="1025" max="1025" width="10.5" style="2985" customWidth="1"/>
    <col min="1026" max="1029" width="10.875" style="2985" customWidth="1"/>
    <col min="1030" max="1030" width="10.25" style="2985" customWidth="1"/>
    <col min="1031" max="1031" width="8.625" style="2985" customWidth="1"/>
    <col min="1032" max="1032" width="8.5" style="2985" customWidth="1"/>
    <col min="1033" max="1035" width="10.5" style="2985" customWidth="1"/>
    <col min="1036" max="1256" width="9" style="2985"/>
    <col min="1257" max="1257" width="1" style="2985" customWidth="1"/>
    <col min="1258" max="1258" width="6.375" style="2985" customWidth="1"/>
    <col min="1259" max="1259" width="12.25" style="2985" customWidth="1"/>
    <col min="1260" max="1260" width="10.5" style="2985" customWidth="1"/>
    <col min="1261" max="1261" width="8.875" style="2985" customWidth="1"/>
    <col min="1262" max="1262" width="5.875" style="2985" customWidth="1"/>
    <col min="1263" max="1263" width="6.25" style="2985" customWidth="1"/>
    <col min="1264" max="1264" width="16.125" style="2985" customWidth="1"/>
    <col min="1265" max="1265" width="8.25" style="2985" customWidth="1"/>
    <col min="1266" max="1266" width="6.75" style="2985" customWidth="1"/>
    <col min="1267" max="1267" width="11.625" style="2985" customWidth="1"/>
    <col min="1268" max="1268" width="11.375" style="2985" customWidth="1"/>
    <col min="1269" max="1269" width="11.5" style="2985" customWidth="1"/>
    <col min="1270" max="1270" width="11.25" style="2985" customWidth="1"/>
    <col min="1271" max="1271" width="14.625" style="2985" customWidth="1"/>
    <col min="1272" max="1272" width="9.625" style="2985" customWidth="1"/>
    <col min="1273" max="1273" width="10.125" style="2985" customWidth="1"/>
    <col min="1274" max="1274" width="8.625" style="2985" customWidth="1"/>
    <col min="1275" max="1275" width="10.875" style="2985" customWidth="1"/>
    <col min="1276" max="1278" width="12.25" style="2985" customWidth="1"/>
    <col min="1279" max="1279" width="13.75" style="2985" customWidth="1"/>
    <col min="1280" max="1280" width="7.875" style="2985" customWidth="1"/>
    <col min="1281" max="1281" width="10.5" style="2985" customWidth="1"/>
    <col min="1282" max="1285" width="10.875" style="2985" customWidth="1"/>
    <col min="1286" max="1286" width="10.25" style="2985" customWidth="1"/>
    <col min="1287" max="1287" width="8.625" style="2985" customWidth="1"/>
    <col min="1288" max="1288" width="8.5" style="2985" customWidth="1"/>
    <col min="1289" max="1291" width="10.5" style="2985" customWidth="1"/>
    <col min="1292" max="1512" width="9" style="2985"/>
    <col min="1513" max="1513" width="1" style="2985" customWidth="1"/>
    <col min="1514" max="1514" width="6.375" style="2985" customWidth="1"/>
    <col min="1515" max="1515" width="12.25" style="2985" customWidth="1"/>
    <col min="1516" max="1516" width="10.5" style="2985" customWidth="1"/>
    <col min="1517" max="1517" width="8.875" style="2985" customWidth="1"/>
    <col min="1518" max="1518" width="5.875" style="2985" customWidth="1"/>
    <col min="1519" max="1519" width="6.25" style="2985" customWidth="1"/>
    <col min="1520" max="1520" width="16.125" style="2985" customWidth="1"/>
    <col min="1521" max="1521" width="8.25" style="2985" customWidth="1"/>
    <col min="1522" max="1522" width="6.75" style="2985" customWidth="1"/>
    <col min="1523" max="1523" width="11.625" style="2985" customWidth="1"/>
    <col min="1524" max="1524" width="11.375" style="2985" customWidth="1"/>
    <col min="1525" max="1525" width="11.5" style="2985" customWidth="1"/>
    <col min="1526" max="1526" width="11.25" style="2985" customWidth="1"/>
    <col min="1527" max="1527" width="14.625" style="2985" customWidth="1"/>
    <col min="1528" max="1528" width="9.625" style="2985" customWidth="1"/>
    <col min="1529" max="1529" width="10.125" style="2985" customWidth="1"/>
    <col min="1530" max="1530" width="8.625" style="2985" customWidth="1"/>
    <col min="1531" max="1531" width="10.875" style="2985" customWidth="1"/>
    <col min="1532" max="1534" width="12.25" style="2985" customWidth="1"/>
    <col min="1535" max="1535" width="13.75" style="2985" customWidth="1"/>
    <col min="1536" max="1536" width="7.875" style="2985" customWidth="1"/>
    <col min="1537" max="1537" width="10.5" style="2985" customWidth="1"/>
    <col min="1538" max="1541" width="10.875" style="2985" customWidth="1"/>
    <col min="1542" max="1542" width="10.25" style="2985" customWidth="1"/>
    <col min="1543" max="1543" width="8.625" style="2985" customWidth="1"/>
    <col min="1544" max="1544" width="8.5" style="2985" customWidth="1"/>
    <col min="1545" max="1547" width="10.5" style="2985" customWidth="1"/>
    <col min="1548" max="1768" width="9" style="2985"/>
    <col min="1769" max="1769" width="1" style="2985" customWidth="1"/>
    <col min="1770" max="1770" width="6.375" style="2985" customWidth="1"/>
    <col min="1771" max="1771" width="12.25" style="2985" customWidth="1"/>
    <col min="1772" max="1772" width="10.5" style="2985" customWidth="1"/>
    <col min="1773" max="1773" width="8.875" style="2985" customWidth="1"/>
    <col min="1774" max="1774" width="5.875" style="2985" customWidth="1"/>
    <col min="1775" max="1775" width="6.25" style="2985" customWidth="1"/>
    <col min="1776" max="1776" width="16.125" style="2985" customWidth="1"/>
    <col min="1777" max="1777" width="8.25" style="2985" customWidth="1"/>
    <col min="1778" max="1778" width="6.75" style="2985" customWidth="1"/>
    <col min="1779" max="1779" width="11.625" style="2985" customWidth="1"/>
    <col min="1780" max="1780" width="11.375" style="2985" customWidth="1"/>
    <col min="1781" max="1781" width="11.5" style="2985" customWidth="1"/>
    <col min="1782" max="1782" width="11.25" style="2985" customWidth="1"/>
    <col min="1783" max="1783" width="14.625" style="2985" customWidth="1"/>
    <col min="1784" max="1784" width="9.625" style="2985" customWidth="1"/>
    <col min="1785" max="1785" width="10.125" style="2985" customWidth="1"/>
    <col min="1786" max="1786" width="8.625" style="2985" customWidth="1"/>
    <col min="1787" max="1787" width="10.875" style="2985" customWidth="1"/>
    <col min="1788" max="1790" width="12.25" style="2985" customWidth="1"/>
    <col min="1791" max="1791" width="13.75" style="2985" customWidth="1"/>
    <col min="1792" max="1792" width="7.875" style="2985" customWidth="1"/>
    <col min="1793" max="1793" width="10.5" style="2985" customWidth="1"/>
    <col min="1794" max="1797" width="10.875" style="2985" customWidth="1"/>
    <col min="1798" max="1798" width="10.25" style="2985" customWidth="1"/>
    <col min="1799" max="1799" width="8.625" style="2985" customWidth="1"/>
    <col min="1800" max="1800" width="8.5" style="2985" customWidth="1"/>
    <col min="1801" max="1803" width="10.5" style="2985" customWidth="1"/>
    <col min="1804" max="2024" width="9" style="2985"/>
    <col min="2025" max="2025" width="1" style="2985" customWidth="1"/>
    <col min="2026" max="2026" width="6.375" style="2985" customWidth="1"/>
    <col min="2027" max="2027" width="12.25" style="2985" customWidth="1"/>
    <col min="2028" max="2028" width="10.5" style="2985" customWidth="1"/>
    <col min="2029" max="2029" width="8.875" style="2985" customWidth="1"/>
    <col min="2030" max="2030" width="5.875" style="2985" customWidth="1"/>
    <col min="2031" max="2031" width="6.25" style="2985" customWidth="1"/>
    <col min="2032" max="2032" width="16.125" style="2985" customWidth="1"/>
    <col min="2033" max="2033" width="8.25" style="2985" customWidth="1"/>
    <col min="2034" max="2034" width="6.75" style="2985" customWidth="1"/>
    <col min="2035" max="2035" width="11.625" style="2985" customWidth="1"/>
    <col min="2036" max="2036" width="11.375" style="2985" customWidth="1"/>
    <col min="2037" max="2037" width="11.5" style="2985" customWidth="1"/>
    <col min="2038" max="2038" width="11.25" style="2985" customWidth="1"/>
    <col min="2039" max="2039" width="14.625" style="2985" customWidth="1"/>
    <col min="2040" max="2040" width="9.625" style="2985" customWidth="1"/>
    <col min="2041" max="2041" width="10.125" style="2985" customWidth="1"/>
    <col min="2042" max="2042" width="8.625" style="2985" customWidth="1"/>
    <col min="2043" max="2043" width="10.875" style="2985" customWidth="1"/>
    <col min="2044" max="2046" width="12.25" style="2985" customWidth="1"/>
    <col min="2047" max="2047" width="13.75" style="2985" customWidth="1"/>
    <col min="2048" max="2048" width="7.875" style="2985" customWidth="1"/>
    <col min="2049" max="2049" width="10.5" style="2985" customWidth="1"/>
    <col min="2050" max="2053" width="10.875" style="2985" customWidth="1"/>
    <col min="2054" max="2054" width="10.25" style="2985" customWidth="1"/>
    <col min="2055" max="2055" width="8.625" style="2985" customWidth="1"/>
    <col min="2056" max="2056" width="8.5" style="2985" customWidth="1"/>
    <col min="2057" max="2059" width="10.5" style="2985" customWidth="1"/>
    <col min="2060" max="2280" width="9" style="2985"/>
    <col min="2281" max="2281" width="1" style="2985" customWidth="1"/>
    <col min="2282" max="2282" width="6.375" style="2985" customWidth="1"/>
    <col min="2283" max="2283" width="12.25" style="2985" customWidth="1"/>
    <col min="2284" max="2284" width="10.5" style="2985" customWidth="1"/>
    <col min="2285" max="2285" width="8.875" style="2985" customWidth="1"/>
    <col min="2286" max="2286" width="5.875" style="2985" customWidth="1"/>
    <col min="2287" max="2287" width="6.25" style="2985" customWidth="1"/>
    <col min="2288" max="2288" width="16.125" style="2985" customWidth="1"/>
    <col min="2289" max="2289" width="8.25" style="2985" customWidth="1"/>
    <col min="2290" max="2290" width="6.75" style="2985" customWidth="1"/>
    <col min="2291" max="2291" width="11.625" style="2985" customWidth="1"/>
    <col min="2292" max="2292" width="11.375" style="2985" customWidth="1"/>
    <col min="2293" max="2293" width="11.5" style="2985" customWidth="1"/>
    <col min="2294" max="2294" width="11.25" style="2985" customWidth="1"/>
    <col min="2295" max="2295" width="14.625" style="2985" customWidth="1"/>
    <col min="2296" max="2296" width="9.625" style="2985" customWidth="1"/>
    <col min="2297" max="2297" width="10.125" style="2985" customWidth="1"/>
    <col min="2298" max="2298" width="8.625" style="2985" customWidth="1"/>
    <col min="2299" max="2299" width="10.875" style="2985" customWidth="1"/>
    <col min="2300" max="2302" width="12.25" style="2985" customWidth="1"/>
    <col min="2303" max="2303" width="13.75" style="2985" customWidth="1"/>
    <col min="2304" max="2304" width="7.875" style="2985" customWidth="1"/>
    <col min="2305" max="2305" width="10.5" style="2985" customWidth="1"/>
    <col min="2306" max="2309" width="10.875" style="2985" customWidth="1"/>
    <col min="2310" max="2310" width="10.25" style="2985" customWidth="1"/>
    <col min="2311" max="2311" width="8.625" style="2985" customWidth="1"/>
    <col min="2312" max="2312" width="8.5" style="2985" customWidth="1"/>
    <col min="2313" max="2315" width="10.5" style="2985" customWidth="1"/>
    <col min="2316" max="2536" width="9" style="2985"/>
    <col min="2537" max="2537" width="1" style="2985" customWidth="1"/>
    <col min="2538" max="2538" width="6.375" style="2985" customWidth="1"/>
    <col min="2539" max="2539" width="12.25" style="2985" customWidth="1"/>
    <col min="2540" max="2540" width="10.5" style="2985" customWidth="1"/>
    <col min="2541" max="2541" width="8.875" style="2985" customWidth="1"/>
    <col min="2542" max="2542" width="5.875" style="2985" customWidth="1"/>
    <col min="2543" max="2543" width="6.25" style="2985" customWidth="1"/>
    <col min="2544" max="2544" width="16.125" style="2985" customWidth="1"/>
    <col min="2545" max="2545" width="8.25" style="2985" customWidth="1"/>
    <col min="2546" max="2546" width="6.75" style="2985" customWidth="1"/>
    <col min="2547" max="2547" width="11.625" style="2985" customWidth="1"/>
    <col min="2548" max="2548" width="11.375" style="2985" customWidth="1"/>
    <col min="2549" max="2549" width="11.5" style="2985" customWidth="1"/>
    <col min="2550" max="2550" width="11.25" style="2985" customWidth="1"/>
    <col min="2551" max="2551" width="14.625" style="2985" customWidth="1"/>
    <col min="2552" max="2552" width="9.625" style="2985" customWidth="1"/>
    <col min="2553" max="2553" width="10.125" style="2985" customWidth="1"/>
    <col min="2554" max="2554" width="8.625" style="2985" customWidth="1"/>
    <col min="2555" max="2555" width="10.875" style="2985" customWidth="1"/>
    <col min="2556" max="2558" width="12.25" style="2985" customWidth="1"/>
    <col min="2559" max="2559" width="13.75" style="2985" customWidth="1"/>
    <col min="2560" max="2560" width="7.875" style="2985" customWidth="1"/>
    <col min="2561" max="2561" width="10.5" style="2985" customWidth="1"/>
    <col min="2562" max="2565" width="10.875" style="2985" customWidth="1"/>
    <col min="2566" max="2566" width="10.25" style="2985" customWidth="1"/>
    <col min="2567" max="2567" width="8.625" style="2985" customWidth="1"/>
    <col min="2568" max="2568" width="8.5" style="2985" customWidth="1"/>
    <col min="2569" max="2571" width="10.5" style="2985" customWidth="1"/>
    <col min="2572" max="2792" width="9" style="2985"/>
    <col min="2793" max="2793" width="1" style="2985" customWidth="1"/>
    <col min="2794" max="2794" width="6.375" style="2985" customWidth="1"/>
    <col min="2795" max="2795" width="12.25" style="2985" customWidth="1"/>
    <col min="2796" max="2796" width="10.5" style="2985" customWidth="1"/>
    <col min="2797" max="2797" width="8.875" style="2985" customWidth="1"/>
    <col min="2798" max="2798" width="5.875" style="2985" customWidth="1"/>
    <col min="2799" max="2799" width="6.25" style="2985" customWidth="1"/>
    <col min="2800" max="2800" width="16.125" style="2985" customWidth="1"/>
    <col min="2801" max="2801" width="8.25" style="2985" customWidth="1"/>
    <col min="2802" max="2802" width="6.75" style="2985" customWidth="1"/>
    <col min="2803" max="2803" width="11.625" style="2985" customWidth="1"/>
    <col min="2804" max="2804" width="11.375" style="2985" customWidth="1"/>
    <col min="2805" max="2805" width="11.5" style="2985" customWidth="1"/>
    <col min="2806" max="2806" width="11.25" style="2985" customWidth="1"/>
    <col min="2807" max="2807" width="14.625" style="2985" customWidth="1"/>
    <col min="2808" max="2808" width="9.625" style="2985" customWidth="1"/>
    <col min="2809" max="2809" width="10.125" style="2985" customWidth="1"/>
    <col min="2810" max="2810" width="8.625" style="2985" customWidth="1"/>
    <col min="2811" max="2811" width="10.875" style="2985" customWidth="1"/>
    <col min="2812" max="2814" width="12.25" style="2985" customWidth="1"/>
    <col min="2815" max="2815" width="13.75" style="2985" customWidth="1"/>
    <col min="2816" max="2816" width="7.875" style="2985" customWidth="1"/>
    <col min="2817" max="2817" width="10.5" style="2985" customWidth="1"/>
    <col min="2818" max="2821" width="10.875" style="2985" customWidth="1"/>
    <col min="2822" max="2822" width="10.25" style="2985" customWidth="1"/>
    <col min="2823" max="2823" width="8.625" style="2985" customWidth="1"/>
    <col min="2824" max="2824" width="8.5" style="2985" customWidth="1"/>
    <col min="2825" max="2827" width="10.5" style="2985" customWidth="1"/>
    <col min="2828" max="3048" width="9" style="2985"/>
    <col min="3049" max="3049" width="1" style="2985" customWidth="1"/>
    <col min="3050" max="3050" width="6.375" style="2985" customWidth="1"/>
    <col min="3051" max="3051" width="12.25" style="2985" customWidth="1"/>
    <col min="3052" max="3052" width="10.5" style="2985" customWidth="1"/>
    <col min="3053" max="3053" width="8.875" style="2985" customWidth="1"/>
    <col min="3054" max="3054" width="5.875" style="2985" customWidth="1"/>
    <col min="3055" max="3055" width="6.25" style="2985" customWidth="1"/>
    <col min="3056" max="3056" width="16.125" style="2985" customWidth="1"/>
    <col min="3057" max="3057" width="8.25" style="2985" customWidth="1"/>
    <col min="3058" max="3058" width="6.75" style="2985" customWidth="1"/>
    <col min="3059" max="3059" width="11.625" style="2985" customWidth="1"/>
    <col min="3060" max="3060" width="11.375" style="2985" customWidth="1"/>
    <col min="3061" max="3061" width="11.5" style="2985" customWidth="1"/>
    <col min="3062" max="3062" width="11.25" style="2985" customWidth="1"/>
    <col min="3063" max="3063" width="14.625" style="2985" customWidth="1"/>
    <col min="3064" max="3064" width="9.625" style="2985" customWidth="1"/>
    <col min="3065" max="3065" width="10.125" style="2985" customWidth="1"/>
    <col min="3066" max="3066" width="8.625" style="2985" customWidth="1"/>
    <col min="3067" max="3067" width="10.875" style="2985" customWidth="1"/>
    <col min="3068" max="3070" width="12.25" style="2985" customWidth="1"/>
    <col min="3071" max="3071" width="13.75" style="2985" customWidth="1"/>
    <col min="3072" max="3072" width="7.875" style="2985" customWidth="1"/>
    <col min="3073" max="3073" width="10.5" style="2985" customWidth="1"/>
    <col min="3074" max="3077" width="10.875" style="2985" customWidth="1"/>
    <col min="3078" max="3078" width="10.25" style="2985" customWidth="1"/>
    <col min="3079" max="3079" width="8.625" style="2985" customWidth="1"/>
    <col min="3080" max="3080" width="8.5" style="2985" customWidth="1"/>
    <col min="3081" max="3083" width="10.5" style="2985" customWidth="1"/>
    <col min="3084" max="3304" width="9" style="2985"/>
    <col min="3305" max="3305" width="1" style="2985" customWidth="1"/>
    <col min="3306" max="3306" width="6.375" style="2985" customWidth="1"/>
    <col min="3307" max="3307" width="12.25" style="2985" customWidth="1"/>
    <col min="3308" max="3308" width="10.5" style="2985" customWidth="1"/>
    <col min="3309" max="3309" width="8.875" style="2985" customWidth="1"/>
    <col min="3310" max="3310" width="5.875" style="2985" customWidth="1"/>
    <col min="3311" max="3311" width="6.25" style="2985" customWidth="1"/>
    <col min="3312" max="3312" width="16.125" style="2985" customWidth="1"/>
    <col min="3313" max="3313" width="8.25" style="2985" customWidth="1"/>
    <col min="3314" max="3314" width="6.75" style="2985" customWidth="1"/>
    <col min="3315" max="3315" width="11.625" style="2985" customWidth="1"/>
    <col min="3316" max="3316" width="11.375" style="2985" customWidth="1"/>
    <col min="3317" max="3317" width="11.5" style="2985" customWidth="1"/>
    <col min="3318" max="3318" width="11.25" style="2985" customWidth="1"/>
    <col min="3319" max="3319" width="14.625" style="2985" customWidth="1"/>
    <col min="3320" max="3320" width="9.625" style="2985" customWidth="1"/>
    <col min="3321" max="3321" width="10.125" style="2985" customWidth="1"/>
    <col min="3322" max="3322" width="8.625" style="2985" customWidth="1"/>
    <col min="3323" max="3323" width="10.875" style="2985" customWidth="1"/>
    <col min="3324" max="3326" width="12.25" style="2985" customWidth="1"/>
    <col min="3327" max="3327" width="13.75" style="2985" customWidth="1"/>
    <col min="3328" max="3328" width="7.875" style="2985" customWidth="1"/>
    <col min="3329" max="3329" width="10.5" style="2985" customWidth="1"/>
    <col min="3330" max="3333" width="10.875" style="2985" customWidth="1"/>
    <col min="3334" max="3334" width="10.25" style="2985" customWidth="1"/>
    <col min="3335" max="3335" width="8.625" style="2985" customWidth="1"/>
    <col min="3336" max="3336" width="8.5" style="2985" customWidth="1"/>
    <col min="3337" max="3339" width="10.5" style="2985" customWidth="1"/>
    <col min="3340" max="3560" width="9" style="2985"/>
    <col min="3561" max="3561" width="1" style="2985" customWidth="1"/>
    <col min="3562" max="3562" width="6.375" style="2985" customWidth="1"/>
    <col min="3563" max="3563" width="12.25" style="2985" customWidth="1"/>
    <col min="3564" max="3564" width="10.5" style="2985" customWidth="1"/>
    <col min="3565" max="3565" width="8.875" style="2985" customWidth="1"/>
    <col min="3566" max="3566" width="5.875" style="2985" customWidth="1"/>
    <col min="3567" max="3567" width="6.25" style="2985" customWidth="1"/>
    <col min="3568" max="3568" width="16.125" style="2985" customWidth="1"/>
    <col min="3569" max="3569" width="8.25" style="2985" customWidth="1"/>
    <col min="3570" max="3570" width="6.75" style="2985" customWidth="1"/>
    <col min="3571" max="3571" width="11.625" style="2985" customWidth="1"/>
    <col min="3572" max="3572" width="11.375" style="2985" customWidth="1"/>
    <col min="3573" max="3573" width="11.5" style="2985" customWidth="1"/>
    <col min="3574" max="3574" width="11.25" style="2985" customWidth="1"/>
    <col min="3575" max="3575" width="14.625" style="2985" customWidth="1"/>
    <col min="3576" max="3576" width="9.625" style="2985" customWidth="1"/>
    <col min="3577" max="3577" width="10.125" style="2985" customWidth="1"/>
    <col min="3578" max="3578" width="8.625" style="2985" customWidth="1"/>
    <col min="3579" max="3579" width="10.875" style="2985" customWidth="1"/>
    <col min="3580" max="3582" width="12.25" style="2985" customWidth="1"/>
    <col min="3583" max="3583" width="13.75" style="2985" customWidth="1"/>
    <col min="3584" max="3584" width="7.875" style="2985" customWidth="1"/>
    <col min="3585" max="3585" width="10.5" style="2985" customWidth="1"/>
    <col min="3586" max="3589" width="10.875" style="2985" customWidth="1"/>
    <col min="3590" max="3590" width="10.25" style="2985" customWidth="1"/>
    <col min="3591" max="3591" width="8.625" style="2985" customWidth="1"/>
    <col min="3592" max="3592" width="8.5" style="2985" customWidth="1"/>
    <col min="3593" max="3595" width="10.5" style="2985" customWidth="1"/>
    <col min="3596" max="3816" width="9" style="2985"/>
    <col min="3817" max="3817" width="1" style="2985" customWidth="1"/>
    <col min="3818" max="3818" width="6.375" style="2985" customWidth="1"/>
    <col min="3819" max="3819" width="12.25" style="2985" customWidth="1"/>
    <col min="3820" max="3820" width="10.5" style="2985" customWidth="1"/>
    <col min="3821" max="3821" width="8.875" style="2985" customWidth="1"/>
    <col min="3822" max="3822" width="5.875" style="2985" customWidth="1"/>
    <col min="3823" max="3823" width="6.25" style="2985" customWidth="1"/>
    <col min="3824" max="3824" width="16.125" style="2985" customWidth="1"/>
    <col min="3825" max="3825" width="8.25" style="2985" customWidth="1"/>
    <col min="3826" max="3826" width="6.75" style="2985" customWidth="1"/>
    <col min="3827" max="3827" width="11.625" style="2985" customWidth="1"/>
    <col min="3828" max="3828" width="11.375" style="2985" customWidth="1"/>
    <col min="3829" max="3829" width="11.5" style="2985" customWidth="1"/>
    <col min="3830" max="3830" width="11.25" style="2985" customWidth="1"/>
    <col min="3831" max="3831" width="14.625" style="2985" customWidth="1"/>
    <col min="3832" max="3832" width="9.625" style="2985" customWidth="1"/>
    <col min="3833" max="3833" width="10.125" style="2985" customWidth="1"/>
    <col min="3834" max="3834" width="8.625" style="2985" customWidth="1"/>
    <col min="3835" max="3835" width="10.875" style="2985" customWidth="1"/>
    <col min="3836" max="3838" width="12.25" style="2985" customWidth="1"/>
    <col min="3839" max="3839" width="13.75" style="2985" customWidth="1"/>
    <col min="3840" max="3840" width="7.875" style="2985" customWidth="1"/>
    <col min="3841" max="3841" width="10.5" style="2985" customWidth="1"/>
    <col min="3842" max="3845" width="10.875" style="2985" customWidth="1"/>
    <col min="3846" max="3846" width="10.25" style="2985" customWidth="1"/>
    <col min="3847" max="3847" width="8.625" style="2985" customWidth="1"/>
    <col min="3848" max="3848" width="8.5" style="2985" customWidth="1"/>
    <col min="3849" max="3851" width="10.5" style="2985" customWidth="1"/>
    <col min="3852" max="4072" width="9" style="2985"/>
    <col min="4073" max="4073" width="1" style="2985" customWidth="1"/>
    <col min="4074" max="4074" width="6.375" style="2985" customWidth="1"/>
    <col min="4075" max="4075" width="12.25" style="2985" customWidth="1"/>
    <col min="4076" max="4076" width="10.5" style="2985" customWidth="1"/>
    <col min="4077" max="4077" width="8.875" style="2985" customWidth="1"/>
    <col min="4078" max="4078" width="5.875" style="2985" customWidth="1"/>
    <col min="4079" max="4079" width="6.25" style="2985" customWidth="1"/>
    <col min="4080" max="4080" width="16.125" style="2985" customWidth="1"/>
    <col min="4081" max="4081" width="8.25" style="2985" customWidth="1"/>
    <col min="4082" max="4082" width="6.75" style="2985" customWidth="1"/>
    <col min="4083" max="4083" width="11.625" style="2985" customWidth="1"/>
    <col min="4084" max="4084" width="11.375" style="2985" customWidth="1"/>
    <col min="4085" max="4085" width="11.5" style="2985" customWidth="1"/>
    <col min="4086" max="4086" width="11.25" style="2985" customWidth="1"/>
    <col min="4087" max="4087" width="14.625" style="2985" customWidth="1"/>
    <col min="4088" max="4088" width="9.625" style="2985" customWidth="1"/>
    <col min="4089" max="4089" width="10.125" style="2985" customWidth="1"/>
    <col min="4090" max="4090" width="8.625" style="2985" customWidth="1"/>
    <col min="4091" max="4091" width="10.875" style="2985" customWidth="1"/>
    <col min="4092" max="4094" width="12.25" style="2985" customWidth="1"/>
    <col min="4095" max="4095" width="13.75" style="2985" customWidth="1"/>
    <col min="4096" max="4096" width="7.875" style="2985" customWidth="1"/>
    <col min="4097" max="4097" width="10.5" style="2985" customWidth="1"/>
    <col min="4098" max="4101" width="10.875" style="2985" customWidth="1"/>
    <col min="4102" max="4102" width="10.25" style="2985" customWidth="1"/>
    <col min="4103" max="4103" width="8.625" style="2985" customWidth="1"/>
    <col min="4104" max="4104" width="8.5" style="2985" customWidth="1"/>
    <col min="4105" max="4107" width="10.5" style="2985" customWidth="1"/>
    <col min="4108" max="4328" width="9" style="2985"/>
    <col min="4329" max="4329" width="1" style="2985" customWidth="1"/>
    <col min="4330" max="4330" width="6.375" style="2985" customWidth="1"/>
    <col min="4331" max="4331" width="12.25" style="2985" customWidth="1"/>
    <col min="4332" max="4332" width="10.5" style="2985" customWidth="1"/>
    <col min="4333" max="4333" width="8.875" style="2985" customWidth="1"/>
    <col min="4334" max="4334" width="5.875" style="2985" customWidth="1"/>
    <col min="4335" max="4335" width="6.25" style="2985" customWidth="1"/>
    <col min="4336" max="4336" width="16.125" style="2985" customWidth="1"/>
    <col min="4337" max="4337" width="8.25" style="2985" customWidth="1"/>
    <col min="4338" max="4338" width="6.75" style="2985" customWidth="1"/>
    <col min="4339" max="4339" width="11.625" style="2985" customWidth="1"/>
    <col min="4340" max="4340" width="11.375" style="2985" customWidth="1"/>
    <col min="4341" max="4341" width="11.5" style="2985" customWidth="1"/>
    <col min="4342" max="4342" width="11.25" style="2985" customWidth="1"/>
    <col min="4343" max="4343" width="14.625" style="2985" customWidth="1"/>
    <col min="4344" max="4344" width="9.625" style="2985" customWidth="1"/>
    <col min="4345" max="4345" width="10.125" style="2985" customWidth="1"/>
    <col min="4346" max="4346" width="8.625" style="2985" customWidth="1"/>
    <col min="4347" max="4347" width="10.875" style="2985" customWidth="1"/>
    <col min="4348" max="4350" width="12.25" style="2985" customWidth="1"/>
    <col min="4351" max="4351" width="13.75" style="2985" customWidth="1"/>
    <col min="4352" max="4352" width="7.875" style="2985" customWidth="1"/>
    <col min="4353" max="4353" width="10.5" style="2985" customWidth="1"/>
    <col min="4354" max="4357" width="10.875" style="2985" customWidth="1"/>
    <col min="4358" max="4358" width="10.25" style="2985" customWidth="1"/>
    <col min="4359" max="4359" width="8.625" style="2985" customWidth="1"/>
    <col min="4360" max="4360" width="8.5" style="2985" customWidth="1"/>
    <col min="4361" max="4363" width="10.5" style="2985" customWidth="1"/>
    <col min="4364" max="4584" width="9" style="2985"/>
    <col min="4585" max="4585" width="1" style="2985" customWidth="1"/>
    <col min="4586" max="4586" width="6.375" style="2985" customWidth="1"/>
    <col min="4587" max="4587" width="12.25" style="2985" customWidth="1"/>
    <col min="4588" max="4588" width="10.5" style="2985" customWidth="1"/>
    <col min="4589" max="4589" width="8.875" style="2985" customWidth="1"/>
    <col min="4590" max="4590" width="5.875" style="2985" customWidth="1"/>
    <col min="4591" max="4591" width="6.25" style="2985" customWidth="1"/>
    <col min="4592" max="4592" width="16.125" style="2985" customWidth="1"/>
    <col min="4593" max="4593" width="8.25" style="2985" customWidth="1"/>
    <col min="4594" max="4594" width="6.75" style="2985" customWidth="1"/>
    <col min="4595" max="4595" width="11.625" style="2985" customWidth="1"/>
    <col min="4596" max="4596" width="11.375" style="2985" customWidth="1"/>
    <col min="4597" max="4597" width="11.5" style="2985" customWidth="1"/>
    <col min="4598" max="4598" width="11.25" style="2985" customWidth="1"/>
    <col min="4599" max="4599" width="14.625" style="2985" customWidth="1"/>
    <col min="4600" max="4600" width="9.625" style="2985" customWidth="1"/>
    <col min="4601" max="4601" width="10.125" style="2985" customWidth="1"/>
    <col min="4602" max="4602" width="8.625" style="2985" customWidth="1"/>
    <col min="4603" max="4603" width="10.875" style="2985" customWidth="1"/>
    <col min="4604" max="4606" width="12.25" style="2985" customWidth="1"/>
    <col min="4607" max="4607" width="13.75" style="2985" customWidth="1"/>
    <col min="4608" max="4608" width="7.875" style="2985" customWidth="1"/>
    <col min="4609" max="4609" width="10.5" style="2985" customWidth="1"/>
    <col min="4610" max="4613" width="10.875" style="2985" customWidth="1"/>
    <col min="4614" max="4614" width="10.25" style="2985" customWidth="1"/>
    <col min="4615" max="4615" width="8.625" style="2985" customWidth="1"/>
    <col min="4616" max="4616" width="8.5" style="2985" customWidth="1"/>
    <col min="4617" max="4619" width="10.5" style="2985" customWidth="1"/>
    <col min="4620" max="4840" width="9" style="2985"/>
    <col min="4841" max="4841" width="1" style="2985" customWidth="1"/>
    <col min="4842" max="4842" width="6.375" style="2985" customWidth="1"/>
    <col min="4843" max="4843" width="12.25" style="2985" customWidth="1"/>
    <col min="4844" max="4844" width="10.5" style="2985" customWidth="1"/>
    <col min="4845" max="4845" width="8.875" style="2985" customWidth="1"/>
    <col min="4846" max="4846" width="5.875" style="2985" customWidth="1"/>
    <col min="4847" max="4847" width="6.25" style="2985" customWidth="1"/>
    <col min="4848" max="4848" width="16.125" style="2985" customWidth="1"/>
    <col min="4849" max="4849" width="8.25" style="2985" customWidth="1"/>
    <col min="4850" max="4850" width="6.75" style="2985" customWidth="1"/>
    <col min="4851" max="4851" width="11.625" style="2985" customWidth="1"/>
    <col min="4852" max="4852" width="11.375" style="2985" customWidth="1"/>
    <col min="4853" max="4853" width="11.5" style="2985" customWidth="1"/>
    <col min="4854" max="4854" width="11.25" style="2985" customWidth="1"/>
    <col min="4855" max="4855" width="14.625" style="2985" customWidth="1"/>
    <col min="4856" max="4856" width="9.625" style="2985" customWidth="1"/>
    <col min="4857" max="4857" width="10.125" style="2985" customWidth="1"/>
    <col min="4858" max="4858" width="8.625" style="2985" customWidth="1"/>
    <col min="4859" max="4859" width="10.875" style="2985" customWidth="1"/>
    <col min="4860" max="4862" width="12.25" style="2985" customWidth="1"/>
    <col min="4863" max="4863" width="13.75" style="2985" customWidth="1"/>
    <col min="4864" max="4864" width="7.875" style="2985" customWidth="1"/>
    <col min="4865" max="4865" width="10.5" style="2985" customWidth="1"/>
    <col min="4866" max="4869" width="10.875" style="2985" customWidth="1"/>
    <col min="4870" max="4870" width="10.25" style="2985" customWidth="1"/>
    <col min="4871" max="4871" width="8.625" style="2985" customWidth="1"/>
    <col min="4872" max="4872" width="8.5" style="2985" customWidth="1"/>
    <col min="4873" max="4875" width="10.5" style="2985" customWidth="1"/>
    <col min="4876" max="5096" width="9" style="2985"/>
    <col min="5097" max="5097" width="1" style="2985" customWidth="1"/>
    <col min="5098" max="5098" width="6.375" style="2985" customWidth="1"/>
    <col min="5099" max="5099" width="12.25" style="2985" customWidth="1"/>
    <col min="5100" max="5100" width="10.5" style="2985" customWidth="1"/>
    <col min="5101" max="5101" width="8.875" style="2985" customWidth="1"/>
    <col min="5102" max="5102" width="5.875" style="2985" customWidth="1"/>
    <col min="5103" max="5103" width="6.25" style="2985" customWidth="1"/>
    <col min="5104" max="5104" width="16.125" style="2985" customWidth="1"/>
    <col min="5105" max="5105" width="8.25" style="2985" customWidth="1"/>
    <col min="5106" max="5106" width="6.75" style="2985" customWidth="1"/>
    <col min="5107" max="5107" width="11.625" style="2985" customWidth="1"/>
    <col min="5108" max="5108" width="11.375" style="2985" customWidth="1"/>
    <col min="5109" max="5109" width="11.5" style="2985" customWidth="1"/>
    <col min="5110" max="5110" width="11.25" style="2985" customWidth="1"/>
    <col min="5111" max="5111" width="14.625" style="2985" customWidth="1"/>
    <col min="5112" max="5112" width="9.625" style="2985" customWidth="1"/>
    <col min="5113" max="5113" width="10.125" style="2985" customWidth="1"/>
    <col min="5114" max="5114" width="8.625" style="2985" customWidth="1"/>
    <col min="5115" max="5115" width="10.875" style="2985" customWidth="1"/>
    <col min="5116" max="5118" width="12.25" style="2985" customWidth="1"/>
    <col min="5119" max="5119" width="13.75" style="2985" customWidth="1"/>
    <col min="5120" max="5120" width="7.875" style="2985" customWidth="1"/>
    <col min="5121" max="5121" width="10.5" style="2985" customWidth="1"/>
    <col min="5122" max="5125" width="10.875" style="2985" customWidth="1"/>
    <col min="5126" max="5126" width="10.25" style="2985" customWidth="1"/>
    <col min="5127" max="5127" width="8.625" style="2985" customWidth="1"/>
    <col min="5128" max="5128" width="8.5" style="2985" customWidth="1"/>
    <col min="5129" max="5131" width="10.5" style="2985" customWidth="1"/>
    <col min="5132" max="5352" width="9" style="2985"/>
    <col min="5353" max="5353" width="1" style="2985" customWidth="1"/>
    <col min="5354" max="5354" width="6.375" style="2985" customWidth="1"/>
    <col min="5355" max="5355" width="12.25" style="2985" customWidth="1"/>
    <col min="5356" max="5356" width="10.5" style="2985" customWidth="1"/>
    <col min="5357" max="5357" width="8.875" style="2985" customWidth="1"/>
    <col min="5358" max="5358" width="5.875" style="2985" customWidth="1"/>
    <col min="5359" max="5359" width="6.25" style="2985" customWidth="1"/>
    <col min="5360" max="5360" width="16.125" style="2985" customWidth="1"/>
    <col min="5361" max="5361" width="8.25" style="2985" customWidth="1"/>
    <col min="5362" max="5362" width="6.75" style="2985" customWidth="1"/>
    <col min="5363" max="5363" width="11.625" style="2985" customWidth="1"/>
    <col min="5364" max="5364" width="11.375" style="2985" customWidth="1"/>
    <col min="5365" max="5365" width="11.5" style="2985" customWidth="1"/>
    <col min="5366" max="5366" width="11.25" style="2985" customWidth="1"/>
    <col min="5367" max="5367" width="14.625" style="2985" customWidth="1"/>
    <col min="5368" max="5368" width="9.625" style="2985" customWidth="1"/>
    <col min="5369" max="5369" width="10.125" style="2985" customWidth="1"/>
    <col min="5370" max="5370" width="8.625" style="2985" customWidth="1"/>
    <col min="5371" max="5371" width="10.875" style="2985" customWidth="1"/>
    <col min="5372" max="5374" width="12.25" style="2985" customWidth="1"/>
    <col min="5375" max="5375" width="13.75" style="2985" customWidth="1"/>
    <col min="5376" max="5376" width="7.875" style="2985" customWidth="1"/>
    <col min="5377" max="5377" width="10.5" style="2985" customWidth="1"/>
    <col min="5378" max="5381" width="10.875" style="2985" customWidth="1"/>
    <col min="5382" max="5382" width="10.25" style="2985" customWidth="1"/>
    <col min="5383" max="5383" width="8.625" style="2985" customWidth="1"/>
    <col min="5384" max="5384" width="8.5" style="2985" customWidth="1"/>
    <col min="5385" max="5387" width="10.5" style="2985" customWidth="1"/>
    <col min="5388" max="5608" width="9" style="2985"/>
    <col min="5609" max="5609" width="1" style="2985" customWidth="1"/>
    <col min="5610" max="5610" width="6.375" style="2985" customWidth="1"/>
    <col min="5611" max="5611" width="12.25" style="2985" customWidth="1"/>
    <col min="5612" max="5612" width="10.5" style="2985" customWidth="1"/>
    <col min="5613" max="5613" width="8.875" style="2985" customWidth="1"/>
    <col min="5614" max="5614" width="5.875" style="2985" customWidth="1"/>
    <col min="5615" max="5615" width="6.25" style="2985" customWidth="1"/>
    <col min="5616" max="5616" width="16.125" style="2985" customWidth="1"/>
    <col min="5617" max="5617" width="8.25" style="2985" customWidth="1"/>
    <col min="5618" max="5618" width="6.75" style="2985" customWidth="1"/>
    <col min="5619" max="5619" width="11.625" style="2985" customWidth="1"/>
    <col min="5620" max="5620" width="11.375" style="2985" customWidth="1"/>
    <col min="5621" max="5621" width="11.5" style="2985" customWidth="1"/>
    <col min="5622" max="5622" width="11.25" style="2985" customWidth="1"/>
    <col min="5623" max="5623" width="14.625" style="2985" customWidth="1"/>
    <col min="5624" max="5624" width="9.625" style="2985" customWidth="1"/>
    <col min="5625" max="5625" width="10.125" style="2985" customWidth="1"/>
    <col min="5626" max="5626" width="8.625" style="2985" customWidth="1"/>
    <col min="5627" max="5627" width="10.875" style="2985" customWidth="1"/>
    <col min="5628" max="5630" width="12.25" style="2985" customWidth="1"/>
    <col min="5631" max="5631" width="13.75" style="2985" customWidth="1"/>
    <col min="5632" max="5632" width="7.875" style="2985" customWidth="1"/>
    <col min="5633" max="5633" width="10.5" style="2985" customWidth="1"/>
    <col min="5634" max="5637" width="10.875" style="2985" customWidth="1"/>
    <col min="5638" max="5638" width="10.25" style="2985" customWidth="1"/>
    <col min="5639" max="5639" width="8.625" style="2985" customWidth="1"/>
    <col min="5640" max="5640" width="8.5" style="2985" customWidth="1"/>
    <col min="5641" max="5643" width="10.5" style="2985" customWidth="1"/>
    <col min="5644" max="5864" width="9" style="2985"/>
    <col min="5865" max="5865" width="1" style="2985" customWidth="1"/>
    <col min="5866" max="5866" width="6.375" style="2985" customWidth="1"/>
    <col min="5867" max="5867" width="12.25" style="2985" customWidth="1"/>
    <col min="5868" max="5868" width="10.5" style="2985" customWidth="1"/>
    <col min="5869" max="5869" width="8.875" style="2985" customWidth="1"/>
    <col min="5870" max="5870" width="5.875" style="2985" customWidth="1"/>
    <col min="5871" max="5871" width="6.25" style="2985" customWidth="1"/>
    <col min="5872" max="5872" width="16.125" style="2985" customWidth="1"/>
    <col min="5873" max="5873" width="8.25" style="2985" customWidth="1"/>
    <col min="5874" max="5874" width="6.75" style="2985" customWidth="1"/>
    <col min="5875" max="5875" width="11.625" style="2985" customWidth="1"/>
    <col min="5876" max="5876" width="11.375" style="2985" customWidth="1"/>
    <col min="5877" max="5877" width="11.5" style="2985" customWidth="1"/>
    <col min="5878" max="5878" width="11.25" style="2985" customWidth="1"/>
    <col min="5879" max="5879" width="14.625" style="2985" customWidth="1"/>
    <col min="5880" max="5880" width="9.625" style="2985" customWidth="1"/>
    <col min="5881" max="5881" width="10.125" style="2985" customWidth="1"/>
    <col min="5882" max="5882" width="8.625" style="2985" customWidth="1"/>
    <col min="5883" max="5883" width="10.875" style="2985" customWidth="1"/>
    <col min="5884" max="5886" width="12.25" style="2985" customWidth="1"/>
    <col min="5887" max="5887" width="13.75" style="2985" customWidth="1"/>
    <col min="5888" max="5888" width="7.875" style="2985" customWidth="1"/>
    <col min="5889" max="5889" width="10.5" style="2985" customWidth="1"/>
    <col min="5890" max="5893" width="10.875" style="2985" customWidth="1"/>
    <col min="5894" max="5894" width="10.25" style="2985" customWidth="1"/>
    <col min="5895" max="5895" width="8.625" style="2985" customWidth="1"/>
    <col min="5896" max="5896" width="8.5" style="2985" customWidth="1"/>
    <col min="5897" max="5899" width="10.5" style="2985" customWidth="1"/>
    <col min="5900" max="6120" width="9" style="2985"/>
    <col min="6121" max="6121" width="1" style="2985" customWidth="1"/>
    <col min="6122" max="6122" width="6.375" style="2985" customWidth="1"/>
    <col min="6123" max="6123" width="12.25" style="2985" customWidth="1"/>
    <col min="6124" max="6124" width="10.5" style="2985" customWidth="1"/>
    <col min="6125" max="6125" width="8.875" style="2985" customWidth="1"/>
    <col min="6126" max="6126" width="5.875" style="2985" customWidth="1"/>
    <col min="6127" max="6127" width="6.25" style="2985" customWidth="1"/>
    <col min="6128" max="6128" width="16.125" style="2985" customWidth="1"/>
    <col min="6129" max="6129" width="8.25" style="2985" customWidth="1"/>
    <col min="6130" max="6130" width="6.75" style="2985" customWidth="1"/>
    <col min="6131" max="6131" width="11.625" style="2985" customWidth="1"/>
    <col min="6132" max="6132" width="11.375" style="2985" customWidth="1"/>
    <col min="6133" max="6133" width="11.5" style="2985" customWidth="1"/>
    <col min="6134" max="6134" width="11.25" style="2985" customWidth="1"/>
    <col min="6135" max="6135" width="14.625" style="2985" customWidth="1"/>
    <col min="6136" max="6136" width="9.625" style="2985" customWidth="1"/>
    <col min="6137" max="6137" width="10.125" style="2985" customWidth="1"/>
    <col min="6138" max="6138" width="8.625" style="2985" customWidth="1"/>
    <col min="6139" max="6139" width="10.875" style="2985" customWidth="1"/>
    <col min="6140" max="6142" width="12.25" style="2985" customWidth="1"/>
    <col min="6143" max="6143" width="13.75" style="2985" customWidth="1"/>
    <col min="6144" max="6144" width="7.875" style="2985" customWidth="1"/>
    <col min="6145" max="6145" width="10.5" style="2985" customWidth="1"/>
    <col min="6146" max="6149" width="10.875" style="2985" customWidth="1"/>
    <col min="6150" max="6150" width="10.25" style="2985" customWidth="1"/>
    <col min="6151" max="6151" width="8.625" style="2985" customWidth="1"/>
    <col min="6152" max="6152" width="8.5" style="2985" customWidth="1"/>
    <col min="6153" max="6155" width="10.5" style="2985" customWidth="1"/>
    <col min="6156" max="6376" width="9" style="2985"/>
    <col min="6377" max="6377" width="1" style="2985" customWidth="1"/>
    <col min="6378" max="6378" width="6.375" style="2985" customWidth="1"/>
    <col min="6379" max="6379" width="12.25" style="2985" customWidth="1"/>
    <col min="6380" max="6380" width="10.5" style="2985" customWidth="1"/>
    <col min="6381" max="6381" width="8.875" style="2985" customWidth="1"/>
    <col min="6382" max="6382" width="5.875" style="2985" customWidth="1"/>
    <col min="6383" max="6383" width="6.25" style="2985" customWidth="1"/>
    <col min="6384" max="6384" width="16.125" style="2985" customWidth="1"/>
    <col min="6385" max="6385" width="8.25" style="2985" customWidth="1"/>
    <col min="6386" max="6386" width="6.75" style="2985" customWidth="1"/>
    <col min="6387" max="6387" width="11.625" style="2985" customWidth="1"/>
    <col min="6388" max="6388" width="11.375" style="2985" customWidth="1"/>
    <col min="6389" max="6389" width="11.5" style="2985" customWidth="1"/>
    <col min="6390" max="6390" width="11.25" style="2985" customWidth="1"/>
    <col min="6391" max="6391" width="14.625" style="2985" customWidth="1"/>
    <col min="6392" max="6392" width="9.625" style="2985" customWidth="1"/>
    <col min="6393" max="6393" width="10.125" style="2985" customWidth="1"/>
    <col min="6394" max="6394" width="8.625" style="2985" customWidth="1"/>
    <col min="6395" max="6395" width="10.875" style="2985" customWidth="1"/>
    <col min="6396" max="6398" width="12.25" style="2985" customWidth="1"/>
    <col min="6399" max="6399" width="13.75" style="2985" customWidth="1"/>
    <col min="6400" max="6400" width="7.875" style="2985" customWidth="1"/>
    <col min="6401" max="6401" width="10.5" style="2985" customWidth="1"/>
    <col min="6402" max="6405" width="10.875" style="2985" customWidth="1"/>
    <col min="6406" max="6406" width="10.25" style="2985" customWidth="1"/>
    <col min="6407" max="6407" width="8.625" style="2985" customWidth="1"/>
    <col min="6408" max="6408" width="8.5" style="2985" customWidth="1"/>
    <col min="6409" max="6411" width="10.5" style="2985" customWidth="1"/>
    <col min="6412" max="6632" width="9" style="2985"/>
    <col min="6633" max="6633" width="1" style="2985" customWidth="1"/>
    <col min="6634" max="6634" width="6.375" style="2985" customWidth="1"/>
    <col min="6635" max="6635" width="12.25" style="2985" customWidth="1"/>
    <col min="6636" max="6636" width="10.5" style="2985" customWidth="1"/>
    <col min="6637" max="6637" width="8.875" style="2985" customWidth="1"/>
    <col min="6638" max="6638" width="5.875" style="2985" customWidth="1"/>
    <col min="6639" max="6639" width="6.25" style="2985" customWidth="1"/>
    <col min="6640" max="6640" width="16.125" style="2985" customWidth="1"/>
    <col min="6641" max="6641" width="8.25" style="2985" customWidth="1"/>
    <col min="6642" max="6642" width="6.75" style="2985" customWidth="1"/>
    <col min="6643" max="6643" width="11.625" style="2985" customWidth="1"/>
    <col min="6644" max="6644" width="11.375" style="2985" customWidth="1"/>
    <col min="6645" max="6645" width="11.5" style="2985" customWidth="1"/>
    <col min="6646" max="6646" width="11.25" style="2985" customWidth="1"/>
    <col min="6647" max="6647" width="14.625" style="2985" customWidth="1"/>
    <col min="6648" max="6648" width="9.625" style="2985" customWidth="1"/>
    <col min="6649" max="6649" width="10.125" style="2985" customWidth="1"/>
    <col min="6650" max="6650" width="8.625" style="2985" customWidth="1"/>
    <col min="6651" max="6651" width="10.875" style="2985" customWidth="1"/>
    <col min="6652" max="6654" width="12.25" style="2985" customWidth="1"/>
    <col min="6655" max="6655" width="13.75" style="2985" customWidth="1"/>
    <col min="6656" max="6656" width="7.875" style="2985" customWidth="1"/>
    <col min="6657" max="6657" width="10.5" style="2985" customWidth="1"/>
    <col min="6658" max="6661" width="10.875" style="2985" customWidth="1"/>
    <col min="6662" max="6662" width="10.25" style="2985" customWidth="1"/>
    <col min="6663" max="6663" width="8.625" style="2985" customWidth="1"/>
    <col min="6664" max="6664" width="8.5" style="2985" customWidth="1"/>
    <col min="6665" max="6667" width="10.5" style="2985" customWidth="1"/>
    <col min="6668" max="6888" width="9" style="2985"/>
    <col min="6889" max="6889" width="1" style="2985" customWidth="1"/>
    <col min="6890" max="6890" width="6.375" style="2985" customWidth="1"/>
    <col min="6891" max="6891" width="12.25" style="2985" customWidth="1"/>
    <col min="6892" max="6892" width="10.5" style="2985" customWidth="1"/>
    <col min="6893" max="6893" width="8.875" style="2985" customWidth="1"/>
    <col min="6894" max="6894" width="5.875" style="2985" customWidth="1"/>
    <col min="6895" max="6895" width="6.25" style="2985" customWidth="1"/>
    <col min="6896" max="6896" width="16.125" style="2985" customWidth="1"/>
    <col min="6897" max="6897" width="8.25" style="2985" customWidth="1"/>
    <col min="6898" max="6898" width="6.75" style="2985" customWidth="1"/>
    <col min="6899" max="6899" width="11.625" style="2985" customWidth="1"/>
    <col min="6900" max="6900" width="11.375" style="2985" customWidth="1"/>
    <col min="6901" max="6901" width="11.5" style="2985" customWidth="1"/>
    <col min="6902" max="6902" width="11.25" style="2985" customWidth="1"/>
    <col min="6903" max="6903" width="14.625" style="2985" customWidth="1"/>
    <col min="6904" max="6904" width="9.625" style="2985" customWidth="1"/>
    <col min="6905" max="6905" width="10.125" style="2985" customWidth="1"/>
    <col min="6906" max="6906" width="8.625" style="2985" customWidth="1"/>
    <col min="6907" max="6907" width="10.875" style="2985" customWidth="1"/>
    <col min="6908" max="6910" width="12.25" style="2985" customWidth="1"/>
    <col min="6911" max="6911" width="13.75" style="2985" customWidth="1"/>
    <col min="6912" max="6912" width="7.875" style="2985" customWidth="1"/>
    <col min="6913" max="6913" width="10.5" style="2985" customWidth="1"/>
    <col min="6914" max="6917" width="10.875" style="2985" customWidth="1"/>
    <col min="6918" max="6918" width="10.25" style="2985" customWidth="1"/>
    <col min="6919" max="6919" width="8.625" style="2985" customWidth="1"/>
    <col min="6920" max="6920" width="8.5" style="2985" customWidth="1"/>
    <col min="6921" max="6923" width="10.5" style="2985" customWidth="1"/>
    <col min="6924" max="7144" width="9" style="2985"/>
    <col min="7145" max="7145" width="1" style="2985" customWidth="1"/>
    <col min="7146" max="7146" width="6.375" style="2985" customWidth="1"/>
    <col min="7147" max="7147" width="12.25" style="2985" customWidth="1"/>
    <col min="7148" max="7148" width="10.5" style="2985" customWidth="1"/>
    <col min="7149" max="7149" width="8.875" style="2985" customWidth="1"/>
    <col min="7150" max="7150" width="5.875" style="2985" customWidth="1"/>
    <col min="7151" max="7151" width="6.25" style="2985" customWidth="1"/>
    <col min="7152" max="7152" width="16.125" style="2985" customWidth="1"/>
    <col min="7153" max="7153" width="8.25" style="2985" customWidth="1"/>
    <col min="7154" max="7154" width="6.75" style="2985" customWidth="1"/>
    <col min="7155" max="7155" width="11.625" style="2985" customWidth="1"/>
    <col min="7156" max="7156" width="11.375" style="2985" customWidth="1"/>
    <col min="7157" max="7157" width="11.5" style="2985" customWidth="1"/>
    <col min="7158" max="7158" width="11.25" style="2985" customWidth="1"/>
    <col min="7159" max="7159" width="14.625" style="2985" customWidth="1"/>
    <col min="7160" max="7160" width="9.625" style="2985" customWidth="1"/>
    <col min="7161" max="7161" width="10.125" style="2985" customWidth="1"/>
    <col min="7162" max="7162" width="8.625" style="2985" customWidth="1"/>
    <col min="7163" max="7163" width="10.875" style="2985" customWidth="1"/>
    <col min="7164" max="7166" width="12.25" style="2985" customWidth="1"/>
    <col min="7167" max="7167" width="13.75" style="2985" customWidth="1"/>
    <col min="7168" max="7168" width="7.875" style="2985" customWidth="1"/>
    <col min="7169" max="7169" width="10.5" style="2985" customWidth="1"/>
    <col min="7170" max="7173" width="10.875" style="2985" customWidth="1"/>
    <col min="7174" max="7174" width="10.25" style="2985" customWidth="1"/>
    <col min="7175" max="7175" width="8.625" style="2985" customWidth="1"/>
    <col min="7176" max="7176" width="8.5" style="2985" customWidth="1"/>
    <col min="7177" max="7179" width="10.5" style="2985" customWidth="1"/>
    <col min="7180" max="7400" width="9" style="2985"/>
    <col min="7401" max="7401" width="1" style="2985" customWidth="1"/>
    <col min="7402" max="7402" width="6.375" style="2985" customWidth="1"/>
    <col min="7403" max="7403" width="12.25" style="2985" customWidth="1"/>
    <col min="7404" max="7404" width="10.5" style="2985" customWidth="1"/>
    <col min="7405" max="7405" width="8.875" style="2985" customWidth="1"/>
    <col min="7406" max="7406" width="5.875" style="2985" customWidth="1"/>
    <col min="7407" max="7407" width="6.25" style="2985" customWidth="1"/>
    <col min="7408" max="7408" width="16.125" style="2985" customWidth="1"/>
    <col min="7409" max="7409" width="8.25" style="2985" customWidth="1"/>
    <col min="7410" max="7410" width="6.75" style="2985" customWidth="1"/>
    <col min="7411" max="7411" width="11.625" style="2985" customWidth="1"/>
    <col min="7412" max="7412" width="11.375" style="2985" customWidth="1"/>
    <col min="7413" max="7413" width="11.5" style="2985" customWidth="1"/>
    <col min="7414" max="7414" width="11.25" style="2985" customWidth="1"/>
    <col min="7415" max="7415" width="14.625" style="2985" customWidth="1"/>
    <col min="7416" max="7416" width="9.625" style="2985" customWidth="1"/>
    <col min="7417" max="7417" width="10.125" style="2985" customWidth="1"/>
    <col min="7418" max="7418" width="8.625" style="2985" customWidth="1"/>
    <col min="7419" max="7419" width="10.875" style="2985" customWidth="1"/>
    <col min="7420" max="7422" width="12.25" style="2985" customWidth="1"/>
    <col min="7423" max="7423" width="13.75" style="2985" customWidth="1"/>
    <col min="7424" max="7424" width="7.875" style="2985" customWidth="1"/>
    <col min="7425" max="7425" width="10.5" style="2985" customWidth="1"/>
    <col min="7426" max="7429" width="10.875" style="2985" customWidth="1"/>
    <col min="7430" max="7430" width="10.25" style="2985" customWidth="1"/>
    <col min="7431" max="7431" width="8.625" style="2985" customWidth="1"/>
    <col min="7432" max="7432" width="8.5" style="2985" customWidth="1"/>
    <col min="7433" max="7435" width="10.5" style="2985" customWidth="1"/>
    <col min="7436" max="7656" width="9" style="2985"/>
    <col min="7657" max="7657" width="1" style="2985" customWidth="1"/>
    <col min="7658" max="7658" width="6.375" style="2985" customWidth="1"/>
    <col min="7659" max="7659" width="12.25" style="2985" customWidth="1"/>
    <col min="7660" max="7660" width="10.5" style="2985" customWidth="1"/>
    <col min="7661" max="7661" width="8.875" style="2985" customWidth="1"/>
    <col min="7662" max="7662" width="5.875" style="2985" customWidth="1"/>
    <col min="7663" max="7663" width="6.25" style="2985" customWidth="1"/>
    <col min="7664" max="7664" width="16.125" style="2985" customWidth="1"/>
    <col min="7665" max="7665" width="8.25" style="2985" customWidth="1"/>
    <col min="7666" max="7666" width="6.75" style="2985" customWidth="1"/>
    <col min="7667" max="7667" width="11.625" style="2985" customWidth="1"/>
    <col min="7668" max="7668" width="11.375" style="2985" customWidth="1"/>
    <col min="7669" max="7669" width="11.5" style="2985" customWidth="1"/>
    <col min="7670" max="7670" width="11.25" style="2985" customWidth="1"/>
    <col min="7671" max="7671" width="14.625" style="2985" customWidth="1"/>
    <col min="7672" max="7672" width="9.625" style="2985" customWidth="1"/>
    <col min="7673" max="7673" width="10.125" style="2985" customWidth="1"/>
    <col min="7674" max="7674" width="8.625" style="2985" customWidth="1"/>
    <col min="7675" max="7675" width="10.875" style="2985" customWidth="1"/>
    <col min="7676" max="7678" width="12.25" style="2985" customWidth="1"/>
    <col min="7679" max="7679" width="13.75" style="2985" customWidth="1"/>
    <col min="7680" max="7680" width="7.875" style="2985" customWidth="1"/>
    <col min="7681" max="7681" width="10.5" style="2985" customWidth="1"/>
    <col min="7682" max="7685" width="10.875" style="2985" customWidth="1"/>
    <col min="7686" max="7686" width="10.25" style="2985" customWidth="1"/>
    <col min="7687" max="7687" width="8.625" style="2985" customWidth="1"/>
    <col min="7688" max="7688" width="8.5" style="2985" customWidth="1"/>
    <col min="7689" max="7691" width="10.5" style="2985" customWidth="1"/>
    <col min="7692" max="7912" width="9" style="2985"/>
    <col min="7913" max="7913" width="1" style="2985" customWidth="1"/>
    <col min="7914" max="7914" width="6.375" style="2985" customWidth="1"/>
    <col min="7915" max="7915" width="12.25" style="2985" customWidth="1"/>
    <col min="7916" max="7916" width="10.5" style="2985" customWidth="1"/>
    <col min="7917" max="7917" width="8.875" style="2985" customWidth="1"/>
    <col min="7918" max="7918" width="5.875" style="2985" customWidth="1"/>
    <col min="7919" max="7919" width="6.25" style="2985" customWidth="1"/>
    <col min="7920" max="7920" width="16.125" style="2985" customWidth="1"/>
    <col min="7921" max="7921" width="8.25" style="2985" customWidth="1"/>
    <col min="7922" max="7922" width="6.75" style="2985" customWidth="1"/>
    <col min="7923" max="7923" width="11.625" style="2985" customWidth="1"/>
    <col min="7924" max="7924" width="11.375" style="2985" customWidth="1"/>
    <col min="7925" max="7925" width="11.5" style="2985" customWidth="1"/>
    <col min="7926" max="7926" width="11.25" style="2985" customWidth="1"/>
    <col min="7927" max="7927" width="14.625" style="2985" customWidth="1"/>
    <col min="7928" max="7928" width="9.625" style="2985" customWidth="1"/>
    <col min="7929" max="7929" width="10.125" style="2985" customWidth="1"/>
    <col min="7930" max="7930" width="8.625" style="2985" customWidth="1"/>
    <col min="7931" max="7931" width="10.875" style="2985" customWidth="1"/>
    <col min="7932" max="7934" width="12.25" style="2985" customWidth="1"/>
    <col min="7935" max="7935" width="13.75" style="2985" customWidth="1"/>
    <col min="7936" max="7936" width="7.875" style="2985" customWidth="1"/>
    <col min="7937" max="7937" width="10.5" style="2985" customWidth="1"/>
    <col min="7938" max="7941" width="10.875" style="2985" customWidth="1"/>
    <col min="7942" max="7942" width="10.25" style="2985" customWidth="1"/>
    <col min="7943" max="7943" width="8.625" style="2985" customWidth="1"/>
    <col min="7944" max="7944" width="8.5" style="2985" customWidth="1"/>
    <col min="7945" max="7947" width="10.5" style="2985" customWidth="1"/>
    <col min="7948" max="8168" width="9" style="2985"/>
    <col min="8169" max="8169" width="1" style="2985" customWidth="1"/>
    <col min="8170" max="8170" width="6.375" style="2985" customWidth="1"/>
    <col min="8171" max="8171" width="12.25" style="2985" customWidth="1"/>
    <col min="8172" max="8172" width="10.5" style="2985" customWidth="1"/>
    <col min="8173" max="8173" width="8.875" style="2985" customWidth="1"/>
    <col min="8174" max="8174" width="5.875" style="2985" customWidth="1"/>
    <col min="8175" max="8175" width="6.25" style="2985" customWidth="1"/>
    <col min="8176" max="8176" width="16.125" style="2985" customWidth="1"/>
    <col min="8177" max="8177" width="8.25" style="2985" customWidth="1"/>
    <col min="8178" max="8178" width="6.75" style="2985" customWidth="1"/>
    <col min="8179" max="8179" width="11.625" style="2985" customWidth="1"/>
    <col min="8180" max="8180" width="11.375" style="2985" customWidth="1"/>
    <col min="8181" max="8181" width="11.5" style="2985" customWidth="1"/>
    <col min="8182" max="8182" width="11.25" style="2985" customWidth="1"/>
    <col min="8183" max="8183" width="14.625" style="2985" customWidth="1"/>
    <col min="8184" max="8184" width="9.625" style="2985" customWidth="1"/>
    <col min="8185" max="8185" width="10.125" style="2985" customWidth="1"/>
    <col min="8186" max="8186" width="8.625" style="2985" customWidth="1"/>
    <col min="8187" max="8187" width="10.875" style="2985" customWidth="1"/>
    <col min="8188" max="8190" width="12.25" style="2985" customWidth="1"/>
    <col min="8191" max="8191" width="13.75" style="2985" customWidth="1"/>
    <col min="8192" max="8192" width="7.875" style="2985" customWidth="1"/>
    <col min="8193" max="8193" width="10.5" style="2985" customWidth="1"/>
    <col min="8194" max="8197" width="10.875" style="2985" customWidth="1"/>
    <col min="8198" max="8198" width="10.25" style="2985" customWidth="1"/>
    <col min="8199" max="8199" width="8.625" style="2985" customWidth="1"/>
    <col min="8200" max="8200" width="8.5" style="2985" customWidth="1"/>
    <col min="8201" max="8203" width="10.5" style="2985" customWidth="1"/>
    <col min="8204" max="8424" width="9" style="2985"/>
    <col min="8425" max="8425" width="1" style="2985" customWidth="1"/>
    <col min="8426" max="8426" width="6.375" style="2985" customWidth="1"/>
    <col min="8427" max="8427" width="12.25" style="2985" customWidth="1"/>
    <col min="8428" max="8428" width="10.5" style="2985" customWidth="1"/>
    <col min="8429" max="8429" width="8.875" style="2985" customWidth="1"/>
    <col min="8430" max="8430" width="5.875" style="2985" customWidth="1"/>
    <col min="8431" max="8431" width="6.25" style="2985" customWidth="1"/>
    <col min="8432" max="8432" width="16.125" style="2985" customWidth="1"/>
    <col min="8433" max="8433" width="8.25" style="2985" customWidth="1"/>
    <col min="8434" max="8434" width="6.75" style="2985" customWidth="1"/>
    <col min="8435" max="8435" width="11.625" style="2985" customWidth="1"/>
    <col min="8436" max="8436" width="11.375" style="2985" customWidth="1"/>
    <col min="8437" max="8437" width="11.5" style="2985" customWidth="1"/>
    <col min="8438" max="8438" width="11.25" style="2985" customWidth="1"/>
    <col min="8439" max="8439" width="14.625" style="2985" customWidth="1"/>
    <col min="8440" max="8440" width="9.625" style="2985" customWidth="1"/>
    <col min="8441" max="8441" width="10.125" style="2985" customWidth="1"/>
    <col min="8442" max="8442" width="8.625" style="2985" customWidth="1"/>
    <col min="8443" max="8443" width="10.875" style="2985" customWidth="1"/>
    <col min="8444" max="8446" width="12.25" style="2985" customWidth="1"/>
    <col min="8447" max="8447" width="13.75" style="2985" customWidth="1"/>
    <col min="8448" max="8448" width="7.875" style="2985" customWidth="1"/>
    <col min="8449" max="8449" width="10.5" style="2985" customWidth="1"/>
    <col min="8450" max="8453" width="10.875" style="2985" customWidth="1"/>
    <col min="8454" max="8454" width="10.25" style="2985" customWidth="1"/>
    <col min="8455" max="8455" width="8.625" style="2985" customWidth="1"/>
    <col min="8456" max="8456" width="8.5" style="2985" customWidth="1"/>
    <col min="8457" max="8459" width="10.5" style="2985" customWidth="1"/>
    <col min="8460" max="8680" width="9" style="2985"/>
    <col min="8681" max="8681" width="1" style="2985" customWidth="1"/>
    <col min="8682" max="8682" width="6.375" style="2985" customWidth="1"/>
    <col min="8683" max="8683" width="12.25" style="2985" customWidth="1"/>
    <col min="8684" max="8684" width="10.5" style="2985" customWidth="1"/>
    <col min="8685" max="8685" width="8.875" style="2985" customWidth="1"/>
    <col min="8686" max="8686" width="5.875" style="2985" customWidth="1"/>
    <col min="8687" max="8687" width="6.25" style="2985" customWidth="1"/>
    <col min="8688" max="8688" width="16.125" style="2985" customWidth="1"/>
    <col min="8689" max="8689" width="8.25" style="2985" customWidth="1"/>
    <col min="8690" max="8690" width="6.75" style="2985" customWidth="1"/>
    <col min="8691" max="8691" width="11.625" style="2985" customWidth="1"/>
    <col min="8692" max="8692" width="11.375" style="2985" customWidth="1"/>
    <col min="8693" max="8693" width="11.5" style="2985" customWidth="1"/>
    <col min="8694" max="8694" width="11.25" style="2985" customWidth="1"/>
    <col min="8695" max="8695" width="14.625" style="2985" customWidth="1"/>
    <col min="8696" max="8696" width="9.625" style="2985" customWidth="1"/>
    <col min="8697" max="8697" width="10.125" style="2985" customWidth="1"/>
    <col min="8698" max="8698" width="8.625" style="2985" customWidth="1"/>
    <col min="8699" max="8699" width="10.875" style="2985" customWidth="1"/>
    <col min="8700" max="8702" width="12.25" style="2985" customWidth="1"/>
    <col min="8703" max="8703" width="13.75" style="2985" customWidth="1"/>
    <col min="8704" max="8704" width="7.875" style="2985" customWidth="1"/>
    <col min="8705" max="8705" width="10.5" style="2985" customWidth="1"/>
    <col min="8706" max="8709" width="10.875" style="2985" customWidth="1"/>
    <col min="8710" max="8710" width="10.25" style="2985" customWidth="1"/>
    <col min="8711" max="8711" width="8.625" style="2985" customWidth="1"/>
    <col min="8712" max="8712" width="8.5" style="2985" customWidth="1"/>
    <col min="8713" max="8715" width="10.5" style="2985" customWidth="1"/>
    <col min="8716" max="8936" width="9" style="2985"/>
    <col min="8937" max="8937" width="1" style="2985" customWidth="1"/>
    <col min="8938" max="8938" width="6.375" style="2985" customWidth="1"/>
    <col min="8939" max="8939" width="12.25" style="2985" customWidth="1"/>
    <col min="8940" max="8940" width="10.5" style="2985" customWidth="1"/>
    <col min="8941" max="8941" width="8.875" style="2985" customWidth="1"/>
    <col min="8942" max="8942" width="5.875" style="2985" customWidth="1"/>
    <col min="8943" max="8943" width="6.25" style="2985" customWidth="1"/>
    <col min="8944" max="8944" width="16.125" style="2985" customWidth="1"/>
    <col min="8945" max="8945" width="8.25" style="2985" customWidth="1"/>
    <col min="8946" max="8946" width="6.75" style="2985" customWidth="1"/>
    <col min="8947" max="8947" width="11.625" style="2985" customWidth="1"/>
    <col min="8948" max="8948" width="11.375" style="2985" customWidth="1"/>
    <col min="8949" max="8949" width="11.5" style="2985" customWidth="1"/>
    <col min="8950" max="8950" width="11.25" style="2985" customWidth="1"/>
    <col min="8951" max="8951" width="14.625" style="2985" customWidth="1"/>
    <col min="8952" max="8952" width="9.625" style="2985" customWidth="1"/>
    <col min="8953" max="8953" width="10.125" style="2985" customWidth="1"/>
    <col min="8954" max="8954" width="8.625" style="2985" customWidth="1"/>
    <col min="8955" max="8955" width="10.875" style="2985" customWidth="1"/>
    <col min="8956" max="8958" width="12.25" style="2985" customWidth="1"/>
    <col min="8959" max="8959" width="13.75" style="2985" customWidth="1"/>
    <col min="8960" max="8960" width="7.875" style="2985" customWidth="1"/>
    <col min="8961" max="8961" width="10.5" style="2985" customWidth="1"/>
    <col min="8962" max="8965" width="10.875" style="2985" customWidth="1"/>
    <col min="8966" max="8966" width="10.25" style="2985" customWidth="1"/>
    <col min="8967" max="8967" width="8.625" style="2985" customWidth="1"/>
    <col min="8968" max="8968" width="8.5" style="2985" customWidth="1"/>
    <col min="8969" max="8971" width="10.5" style="2985" customWidth="1"/>
    <col min="8972" max="9192" width="9" style="2985"/>
    <col min="9193" max="9193" width="1" style="2985" customWidth="1"/>
    <col min="9194" max="9194" width="6.375" style="2985" customWidth="1"/>
    <col min="9195" max="9195" width="12.25" style="2985" customWidth="1"/>
    <col min="9196" max="9196" width="10.5" style="2985" customWidth="1"/>
    <col min="9197" max="9197" width="8.875" style="2985" customWidth="1"/>
    <col min="9198" max="9198" width="5.875" style="2985" customWidth="1"/>
    <col min="9199" max="9199" width="6.25" style="2985" customWidth="1"/>
    <col min="9200" max="9200" width="16.125" style="2985" customWidth="1"/>
    <col min="9201" max="9201" width="8.25" style="2985" customWidth="1"/>
    <col min="9202" max="9202" width="6.75" style="2985" customWidth="1"/>
    <col min="9203" max="9203" width="11.625" style="2985" customWidth="1"/>
    <col min="9204" max="9204" width="11.375" style="2985" customWidth="1"/>
    <col min="9205" max="9205" width="11.5" style="2985" customWidth="1"/>
    <col min="9206" max="9206" width="11.25" style="2985" customWidth="1"/>
    <col min="9207" max="9207" width="14.625" style="2985" customWidth="1"/>
    <col min="9208" max="9208" width="9.625" style="2985" customWidth="1"/>
    <col min="9209" max="9209" width="10.125" style="2985" customWidth="1"/>
    <col min="9210" max="9210" width="8.625" style="2985" customWidth="1"/>
    <col min="9211" max="9211" width="10.875" style="2985" customWidth="1"/>
    <col min="9212" max="9214" width="12.25" style="2985" customWidth="1"/>
    <col min="9215" max="9215" width="13.75" style="2985" customWidth="1"/>
    <col min="9216" max="9216" width="7.875" style="2985" customWidth="1"/>
    <col min="9217" max="9217" width="10.5" style="2985" customWidth="1"/>
    <col min="9218" max="9221" width="10.875" style="2985" customWidth="1"/>
    <col min="9222" max="9222" width="10.25" style="2985" customWidth="1"/>
    <col min="9223" max="9223" width="8.625" style="2985" customWidth="1"/>
    <col min="9224" max="9224" width="8.5" style="2985" customWidth="1"/>
    <col min="9225" max="9227" width="10.5" style="2985" customWidth="1"/>
    <col min="9228" max="9448" width="9" style="2985"/>
    <col min="9449" max="9449" width="1" style="2985" customWidth="1"/>
    <col min="9450" max="9450" width="6.375" style="2985" customWidth="1"/>
    <col min="9451" max="9451" width="12.25" style="2985" customWidth="1"/>
    <col min="9452" max="9452" width="10.5" style="2985" customWidth="1"/>
    <col min="9453" max="9453" width="8.875" style="2985" customWidth="1"/>
    <col min="9454" max="9454" width="5.875" style="2985" customWidth="1"/>
    <col min="9455" max="9455" width="6.25" style="2985" customWidth="1"/>
    <col min="9456" max="9456" width="16.125" style="2985" customWidth="1"/>
    <col min="9457" max="9457" width="8.25" style="2985" customWidth="1"/>
    <col min="9458" max="9458" width="6.75" style="2985" customWidth="1"/>
    <col min="9459" max="9459" width="11.625" style="2985" customWidth="1"/>
    <col min="9460" max="9460" width="11.375" style="2985" customWidth="1"/>
    <col min="9461" max="9461" width="11.5" style="2985" customWidth="1"/>
    <col min="9462" max="9462" width="11.25" style="2985" customWidth="1"/>
    <col min="9463" max="9463" width="14.625" style="2985" customWidth="1"/>
    <col min="9464" max="9464" width="9.625" style="2985" customWidth="1"/>
    <col min="9465" max="9465" width="10.125" style="2985" customWidth="1"/>
    <col min="9466" max="9466" width="8.625" style="2985" customWidth="1"/>
    <col min="9467" max="9467" width="10.875" style="2985" customWidth="1"/>
    <col min="9468" max="9470" width="12.25" style="2985" customWidth="1"/>
    <col min="9471" max="9471" width="13.75" style="2985" customWidth="1"/>
    <col min="9472" max="9472" width="7.875" style="2985" customWidth="1"/>
    <col min="9473" max="9473" width="10.5" style="2985" customWidth="1"/>
    <col min="9474" max="9477" width="10.875" style="2985" customWidth="1"/>
    <col min="9478" max="9478" width="10.25" style="2985" customWidth="1"/>
    <col min="9479" max="9479" width="8.625" style="2985" customWidth="1"/>
    <col min="9480" max="9480" width="8.5" style="2985" customWidth="1"/>
    <col min="9481" max="9483" width="10.5" style="2985" customWidth="1"/>
    <col min="9484" max="9704" width="9" style="2985"/>
    <col min="9705" max="9705" width="1" style="2985" customWidth="1"/>
    <col min="9706" max="9706" width="6.375" style="2985" customWidth="1"/>
    <col min="9707" max="9707" width="12.25" style="2985" customWidth="1"/>
    <col min="9708" max="9708" width="10.5" style="2985" customWidth="1"/>
    <col min="9709" max="9709" width="8.875" style="2985" customWidth="1"/>
    <col min="9710" max="9710" width="5.875" style="2985" customWidth="1"/>
    <col min="9711" max="9711" width="6.25" style="2985" customWidth="1"/>
    <col min="9712" max="9712" width="16.125" style="2985" customWidth="1"/>
    <col min="9713" max="9713" width="8.25" style="2985" customWidth="1"/>
    <col min="9714" max="9714" width="6.75" style="2985" customWidth="1"/>
    <col min="9715" max="9715" width="11.625" style="2985" customWidth="1"/>
    <col min="9716" max="9716" width="11.375" style="2985" customWidth="1"/>
    <col min="9717" max="9717" width="11.5" style="2985" customWidth="1"/>
    <col min="9718" max="9718" width="11.25" style="2985" customWidth="1"/>
    <col min="9719" max="9719" width="14.625" style="2985" customWidth="1"/>
    <col min="9720" max="9720" width="9.625" style="2985" customWidth="1"/>
    <col min="9721" max="9721" width="10.125" style="2985" customWidth="1"/>
    <col min="9722" max="9722" width="8.625" style="2985" customWidth="1"/>
    <col min="9723" max="9723" width="10.875" style="2985" customWidth="1"/>
    <col min="9724" max="9726" width="12.25" style="2985" customWidth="1"/>
    <col min="9727" max="9727" width="13.75" style="2985" customWidth="1"/>
    <col min="9728" max="9728" width="7.875" style="2985" customWidth="1"/>
    <col min="9729" max="9729" width="10.5" style="2985" customWidth="1"/>
    <col min="9730" max="9733" width="10.875" style="2985" customWidth="1"/>
    <col min="9734" max="9734" width="10.25" style="2985" customWidth="1"/>
    <col min="9735" max="9735" width="8.625" style="2985" customWidth="1"/>
    <col min="9736" max="9736" width="8.5" style="2985" customWidth="1"/>
    <col min="9737" max="9739" width="10.5" style="2985" customWidth="1"/>
    <col min="9740" max="9960" width="9" style="2985"/>
    <col min="9961" max="9961" width="1" style="2985" customWidth="1"/>
    <col min="9962" max="9962" width="6.375" style="2985" customWidth="1"/>
    <col min="9963" max="9963" width="12.25" style="2985" customWidth="1"/>
    <col min="9964" max="9964" width="10.5" style="2985" customWidth="1"/>
    <col min="9965" max="9965" width="8.875" style="2985" customWidth="1"/>
    <col min="9966" max="9966" width="5.875" style="2985" customWidth="1"/>
    <col min="9967" max="9967" width="6.25" style="2985" customWidth="1"/>
    <col min="9968" max="9968" width="16.125" style="2985" customWidth="1"/>
    <col min="9969" max="9969" width="8.25" style="2985" customWidth="1"/>
    <col min="9970" max="9970" width="6.75" style="2985" customWidth="1"/>
    <col min="9971" max="9971" width="11.625" style="2985" customWidth="1"/>
    <col min="9972" max="9972" width="11.375" style="2985" customWidth="1"/>
    <col min="9973" max="9973" width="11.5" style="2985" customWidth="1"/>
    <col min="9974" max="9974" width="11.25" style="2985" customWidth="1"/>
    <col min="9975" max="9975" width="14.625" style="2985" customWidth="1"/>
    <col min="9976" max="9976" width="9.625" style="2985" customWidth="1"/>
    <col min="9977" max="9977" width="10.125" style="2985" customWidth="1"/>
    <col min="9978" max="9978" width="8.625" style="2985" customWidth="1"/>
    <col min="9979" max="9979" width="10.875" style="2985" customWidth="1"/>
    <col min="9980" max="9982" width="12.25" style="2985" customWidth="1"/>
    <col min="9983" max="9983" width="13.75" style="2985" customWidth="1"/>
    <col min="9984" max="9984" width="7.875" style="2985" customWidth="1"/>
    <col min="9985" max="9985" width="10.5" style="2985" customWidth="1"/>
    <col min="9986" max="9989" width="10.875" style="2985" customWidth="1"/>
    <col min="9990" max="9990" width="10.25" style="2985" customWidth="1"/>
    <col min="9991" max="9991" width="8.625" style="2985" customWidth="1"/>
    <col min="9992" max="9992" width="8.5" style="2985" customWidth="1"/>
    <col min="9993" max="9995" width="10.5" style="2985" customWidth="1"/>
    <col min="9996" max="10216" width="9" style="2985"/>
    <col min="10217" max="10217" width="1" style="2985" customWidth="1"/>
    <col min="10218" max="10218" width="6.375" style="2985" customWidth="1"/>
    <col min="10219" max="10219" width="12.25" style="2985" customWidth="1"/>
    <col min="10220" max="10220" width="10.5" style="2985" customWidth="1"/>
    <col min="10221" max="10221" width="8.875" style="2985" customWidth="1"/>
    <col min="10222" max="10222" width="5.875" style="2985" customWidth="1"/>
    <col min="10223" max="10223" width="6.25" style="2985" customWidth="1"/>
    <col min="10224" max="10224" width="16.125" style="2985" customWidth="1"/>
    <col min="10225" max="10225" width="8.25" style="2985" customWidth="1"/>
    <col min="10226" max="10226" width="6.75" style="2985" customWidth="1"/>
    <col min="10227" max="10227" width="11.625" style="2985" customWidth="1"/>
    <col min="10228" max="10228" width="11.375" style="2985" customWidth="1"/>
    <col min="10229" max="10229" width="11.5" style="2985" customWidth="1"/>
    <col min="10230" max="10230" width="11.25" style="2985" customWidth="1"/>
    <col min="10231" max="10231" width="14.625" style="2985" customWidth="1"/>
    <col min="10232" max="10232" width="9.625" style="2985" customWidth="1"/>
    <col min="10233" max="10233" width="10.125" style="2985" customWidth="1"/>
    <col min="10234" max="10234" width="8.625" style="2985" customWidth="1"/>
    <col min="10235" max="10235" width="10.875" style="2985" customWidth="1"/>
    <col min="10236" max="10238" width="12.25" style="2985" customWidth="1"/>
    <col min="10239" max="10239" width="13.75" style="2985" customWidth="1"/>
    <col min="10240" max="10240" width="7.875" style="2985" customWidth="1"/>
    <col min="10241" max="10241" width="10.5" style="2985" customWidth="1"/>
    <col min="10242" max="10245" width="10.875" style="2985" customWidth="1"/>
    <col min="10246" max="10246" width="10.25" style="2985" customWidth="1"/>
    <col min="10247" max="10247" width="8.625" style="2985" customWidth="1"/>
    <col min="10248" max="10248" width="8.5" style="2985" customWidth="1"/>
    <col min="10249" max="10251" width="10.5" style="2985" customWidth="1"/>
    <col min="10252" max="10472" width="9" style="2985"/>
    <col min="10473" max="10473" width="1" style="2985" customWidth="1"/>
    <col min="10474" max="10474" width="6.375" style="2985" customWidth="1"/>
    <col min="10475" max="10475" width="12.25" style="2985" customWidth="1"/>
    <col min="10476" max="10476" width="10.5" style="2985" customWidth="1"/>
    <col min="10477" max="10477" width="8.875" style="2985" customWidth="1"/>
    <col min="10478" max="10478" width="5.875" style="2985" customWidth="1"/>
    <col min="10479" max="10479" width="6.25" style="2985" customWidth="1"/>
    <col min="10480" max="10480" width="16.125" style="2985" customWidth="1"/>
    <col min="10481" max="10481" width="8.25" style="2985" customWidth="1"/>
    <col min="10482" max="10482" width="6.75" style="2985" customWidth="1"/>
    <col min="10483" max="10483" width="11.625" style="2985" customWidth="1"/>
    <col min="10484" max="10484" width="11.375" style="2985" customWidth="1"/>
    <col min="10485" max="10485" width="11.5" style="2985" customWidth="1"/>
    <col min="10486" max="10486" width="11.25" style="2985" customWidth="1"/>
    <col min="10487" max="10487" width="14.625" style="2985" customWidth="1"/>
    <col min="10488" max="10488" width="9.625" style="2985" customWidth="1"/>
    <col min="10489" max="10489" width="10.125" style="2985" customWidth="1"/>
    <col min="10490" max="10490" width="8.625" style="2985" customWidth="1"/>
    <col min="10491" max="10491" width="10.875" style="2985" customWidth="1"/>
    <col min="10492" max="10494" width="12.25" style="2985" customWidth="1"/>
    <col min="10495" max="10495" width="13.75" style="2985" customWidth="1"/>
    <col min="10496" max="10496" width="7.875" style="2985" customWidth="1"/>
    <col min="10497" max="10497" width="10.5" style="2985" customWidth="1"/>
    <col min="10498" max="10501" width="10.875" style="2985" customWidth="1"/>
    <col min="10502" max="10502" width="10.25" style="2985" customWidth="1"/>
    <col min="10503" max="10503" width="8.625" style="2985" customWidth="1"/>
    <col min="10504" max="10504" width="8.5" style="2985" customWidth="1"/>
    <col min="10505" max="10507" width="10.5" style="2985" customWidth="1"/>
    <col min="10508" max="10728" width="9" style="2985"/>
    <col min="10729" max="10729" width="1" style="2985" customWidth="1"/>
    <col min="10730" max="10730" width="6.375" style="2985" customWidth="1"/>
    <col min="10731" max="10731" width="12.25" style="2985" customWidth="1"/>
    <col min="10732" max="10732" width="10.5" style="2985" customWidth="1"/>
    <col min="10733" max="10733" width="8.875" style="2985" customWidth="1"/>
    <col min="10734" max="10734" width="5.875" style="2985" customWidth="1"/>
    <col min="10735" max="10735" width="6.25" style="2985" customWidth="1"/>
    <col min="10736" max="10736" width="16.125" style="2985" customWidth="1"/>
    <col min="10737" max="10737" width="8.25" style="2985" customWidth="1"/>
    <col min="10738" max="10738" width="6.75" style="2985" customWidth="1"/>
    <col min="10739" max="10739" width="11.625" style="2985" customWidth="1"/>
    <col min="10740" max="10740" width="11.375" style="2985" customWidth="1"/>
    <col min="10741" max="10741" width="11.5" style="2985" customWidth="1"/>
    <col min="10742" max="10742" width="11.25" style="2985" customWidth="1"/>
    <col min="10743" max="10743" width="14.625" style="2985" customWidth="1"/>
    <col min="10744" max="10744" width="9.625" style="2985" customWidth="1"/>
    <col min="10745" max="10745" width="10.125" style="2985" customWidth="1"/>
    <col min="10746" max="10746" width="8.625" style="2985" customWidth="1"/>
    <col min="10747" max="10747" width="10.875" style="2985" customWidth="1"/>
    <col min="10748" max="10750" width="12.25" style="2985" customWidth="1"/>
    <col min="10751" max="10751" width="13.75" style="2985" customWidth="1"/>
    <col min="10752" max="10752" width="7.875" style="2985" customWidth="1"/>
    <col min="10753" max="10753" width="10.5" style="2985" customWidth="1"/>
    <col min="10754" max="10757" width="10.875" style="2985" customWidth="1"/>
    <col min="10758" max="10758" width="10.25" style="2985" customWidth="1"/>
    <col min="10759" max="10759" width="8.625" style="2985" customWidth="1"/>
    <col min="10760" max="10760" width="8.5" style="2985" customWidth="1"/>
    <col min="10761" max="10763" width="10.5" style="2985" customWidth="1"/>
    <col min="10764" max="10984" width="9" style="2985"/>
    <col min="10985" max="10985" width="1" style="2985" customWidth="1"/>
    <col min="10986" max="10986" width="6.375" style="2985" customWidth="1"/>
    <col min="10987" max="10987" width="12.25" style="2985" customWidth="1"/>
    <col min="10988" max="10988" width="10.5" style="2985" customWidth="1"/>
    <col min="10989" max="10989" width="8.875" style="2985" customWidth="1"/>
    <col min="10990" max="10990" width="5.875" style="2985" customWidth="1"/>
    <col min="10991" max="10991" width="6.25" style="2985" customWidth="1"/>
    <col min="10992" max="10992" width="16.125" style="2985" customWidth="1"/>
    <col min="10993" max="10993" width="8.25" style="2985" customWidth="1"/>
    <col min="10994" max="10994" width="6.75" style="2985" customWidth="1"/>
    <col min="10995" max="10995" width="11.625" style="2985" customWidth="1"/>
    <col min="10996" max="10996" width="11.375" style="2985" customWidth="1"/>
    <col min="10997" max="10997" width="11.5" style="2985" customWidth="1"/>
    <col min="10998" max="10998" width="11.25" style="2985" customWidth="1"/>
    <col min="10999" max="10999" width="14.625" style="2985" customWidth="1"/>
    <col min="11000" max="11000" width="9.625" style="2985" customWidth="1"/>
    <col min="11001" max="11001" width="10.125" style="2985" customWidth="1"/>
    <col min="11002" max="11002" width="8.625" style="2985" customWidth="1"/>
    <col min="11003" max="11003" width="10.875" style="2985" customWidth="1"/>
    <col min="11004" max="11006" width="12.25" style="2985" customWidth="1"/>
    <col min="11007" max="11007" width="13.75" style="2985" customWidth="1"/>
    <col min="11008" max="11008" width="7.875" style="2985" customWidth="1"/>
    <col min="11009" max="11009" width="10.5" style="2985" customWidth="1"/>
    <col min="11010" max="11013" width="10.875" style="2985" customWidth="1"/>
    <col min="11014" max="11014" width="10.25" style="2985" customWidth="1"/>
    <col min="11015" max="11015" width="8.625" style="2985" customWidth="1"/>
    <col min="11016" max="11016" width="8.5" style="2985" customWidth="1"/>
    <col min="11017" max="11019" width="10.5" style="2985" customWidth="1"/>
    <col min="11020" max="11240" width="9" style="2985"/>
    <col min="11241" max="11241" width="1" style="2985" customWidth="1"/>
    <col min="11242" max="11242" width="6.375" style="2985" customWidth="1"/>
    <col min="11243" max="11243" width="12.25" style="2985" customWidth="1"/>
    <col min="11244" max="11244" width="10.5" style="2985" customWidth="1"/>
    <col min="11245" max="11245" width="8.875" style="2985" customWidth="1"/>
    <col min="11246" max="11246" width="5.875" style="2985" customWidth="1"/>
    <col min="11247" max="11247" width="6.25" style="2985" customWidth="1"/>
    <col min="11248" max="11248" width="16.125" style="2985" customWidth="1"/>
    <col min="11249" max="11249" width="8.25" style="2985" customWidth="1"/>
    <col min="11250" max="11250" width="6.75" style="2985" customWidth="1"/>
    <col min="11251" max="11251" width="11.625" style="2985" customWidth="1"/>
    <col min="11252" max="11252" width="11.375" style="2985" customWidth="1"/>
    <col min="11253" max="11253" width="11.5" style="2985" customWidth="1"/>
    <col min="11254" max="11254" width="11.25" style="2985" customWidth="1"/>
    <col min="11255" max="11255" width="14.625" style="2985" customWidth="1"/>
    <col min="11256" max="11256" width="9.625" style="2985" customWidth="1"/>
    <col min="11257" max="11257" width="10.125" style="2985" customWidth="1"/>
    <col min="11258" max="11258" width="8.625" style="2985" customWidth="1"/>
    <col min="11259" max="11259" width="10.875" style="2985" customWidth="1"/>
    <col min="11260" max="11262" width="12.25" style="2985" customWidth="1"/>
    <col min="11263" max="11263" width="13.75" style="2985" customWidth="1"/>
    <col min="11264" max="11264" width="7.875" style="2985" customWidth="1"/>
    <col min="11265" max="11265" width="10.5" style="2985" customWidth="1"/>
    <col min="11266" max="11269" width="10.875" style="2985" customWidth="1"/>
    <col min="11270" max="11270" width="10.25" style="2985" customWidth="1"/>
    <col min="11271" max="11271" width="8.625" style="2985" customWidth="1"/>
    <col min="11272" max="11272" width="8.5" style="2985" customWidth="1"/>
    <col min="11273" max="11275" width="10.5" style="2985" customWidth="1"/>
    <col min="11276" max="11496" width="9" style="2985"/>
    <col min="11497" max="11497" width="1" style="2985" customWidth="1"/>
    <col min="11498" max="11498" width="6.375" style="2985" customWidth="1"/>
    <col min="11499" max="11499" width="12.25" style="2985" customWidth="1"/>
    <col min="11500" max="11500" width="10.5" style="2985" customWidth="1"/>
    <col min="11501" max="11501" width="8.875" style="2985" customWidth="1"/>
    <col min="11502" max="11502" width="5.875" style="2985" customWidth="1"/>
    <col min="11503" max="11503" width="6.25" style="2985" customWidth="1"/>
    <col min="11504" max="11504" width="16.125" style="2985" customWidth="1"/>
    <col min="11505" max="11505" width="8.25" style="2985" customWidth="1"/>
    <col min="11506" max="11506" width="6.75" style="2985" customWidth="1"/>
    <col min="11507" max="11507" width="11.625" style="2985" customWidth="1"/>
    <col min="11508" max="11508" width="11.375" style="2985" customWidth="1"/>
    <col min="11509" max="11509" width="11.5" style="2985" customWidth="1"/>
    <col min="11510" max="11510" width="11.25" style="2985" customWidth="1"/>
    <col min="11511" max="11511" width="14.625" style="2985" customWidth="1"/>
    <col min="11512" max="11512" width="9.625" style="2985" customWidth="1"/>
    <col min="11513" max="11513" width="10.125" style="2985" customWidth="1"/>
    <col min="11514" max="11514" width="8.625" style="2985" customWidth="1"/>
    <col min="11515" max="11515" width="10.875" style="2985" customWidth="1"/>
    <col min="11516" max="11518" width="12.25" style="2985" customWidth="1"/>
    <col min="11519" max="11519" width="13.75" style="2985" customWidth="1"/>
    <col min="11520" max="11520" width="7.875" style="2985" customWidth="1"/>
    <col min="11521" max="11521" width="10.5" style="2985" customWidth="1"/>
    <col min="11522" max="11525" width="10.875" style="2985" customWidth="1"/>
    <col min="11526" max="11526" width="10.25" style="2985" customWidth="1"/>
    <col min="11527" max="11527" width="8.625" style="2985" customWidth="1"/>
    <col min="11528" max="11528" width="8.5" style="2985" customWidth="1"/>
    <col min="11529" max="11531" width="10.5" style="2985" customWidth="1"/>
    <col min="11532" max="11752" width="9" style="2985"/>
    <col min="11753" max="11753" width="1" style="2985" customWidth="1"/>
    <col min="11754" max="11754" width="6.375" style="2985" customWidth="1"/>
    <col min="11755" max="11755" width="12.25" style="2985" customWidth="1"/>
    <col min="11756" max="11756" width="10.5" style="2985" customWidth="1"/>
    <col min="11757" max="11757" width="8.875" style="2985" customWidth="1"/>
    <col min="11758" max="11758" width="5.875" style="2985" customWidth="1"/>
    <col min="11759" max="11759" width="6.25" style="2985" customWidth="1"/>
    <col min="11760" max="11760" width="16.125" style="2985" customWidth="1"/>
    <col min="11761" max="11761" width="8.25" style="2985" customWidth="1"/>
    <col min="11762" max="11762" width="6.75" style="2985" customWidth="1"/>
    <col min="11763" max="11763" width="11.625" style="2985" customWidth="1"/>
    <col min="11764" max="11764" width="11.375" style="2985" customWidth="1"/>
    <col min="11765" max="11765" width="11.5" style="2985" customWidth="1"/>
    <col min="11766" max="11766" width="11.25" style="2985" customWidth="1"/>
    <col min="11767" max="11767" width="14.625" style="2985" customWidth="1"/>
    <col min="11768" max="11768" width="9.625" style="2985" customWidth="1"/>
    <col min="11769" max="11769" width="10.125" style="2985" customWidth="1"/>
    <col min="11770" max="11770" width="8.625" style="2985" customWidth="1"/>
    <col min="11771" max="11771" width="10.875" style="2985" customWidth="1"/>
    <col min="11772" max="11774" width="12.25" style="2985" customWidth="1"/>
    <col min="11775" max="11775" width="13.75" style="2985" customWidth="1"/>
    <col min="11776" max="11776" width="7.875" style="2985" customWidth="1"/>
    <col min="11777" max="11777" width="10.5" style="2985" customWidth="1"/>
    <col min="11778" max="11781" width="10.875" style="2985" customWidth="1"/>
    <col min="11782" max="11782" width="10.25" style="2985" customWidth="1"/>
    <col min="11783" max="11783" width="8.625" style="2985" customWidth="1"/>
    <col min="11784" max="11784" width="8.5" style="2985" customWidth="1"/>
    <col min="11785" max="11787" width="10.5" style="2985" customWidth="1"/>
    <col min="11788" max="12008" width="9" style="2985"/>
    <col min="12009" max="12009" width="1" style="2985" customWidth="1"/>
    <col min="12010" max="12010" width="6.375" style="2985" customWidth="1"/>
    <col min="12011" max="12011" width="12.25" style="2985" customWidth="1"/>
    <col min="12012" max="12012" width="10.5" style="2985" customWidth="1"/>
    <col min="12013" max="12013" width="8.875" style="2985" customWidth="1"/>
    <col min="12014" max="12014" width="5.875" style="2985" customWidth="1"/>
    <col min="12015" max="12015" width="6.25" style="2985" customWidth="1"/>
    <col min="12016" max="12016" width="16.125" style="2985" customWidth="1"/>
    <col min="12017" max="12017" width="8.25" style="2985" customWidth="1"/>
    <col min="12018" max="12018" width="6.75" style="2985" customWidth="1"/>
    <col min="12019" max="12019" width="11.625" style="2985" customWidth="1"/>
    <col min="12020" max="12020" width="11.375" style="2985" customWidth="1"/>
    <col min="12021" max="12021" width="11.5" style="2985" customWidth="1"/>
    <col min="12022" max="12022" width="11.25" style="2985" customWidth="1"/>
    <col min="12023" max="12023" width="14.625" style="2985" customWidth="1"/>
    <col min="12024" max="12024" width="9.625" style="2985" customWidth="1"/>
    <col min="12025" max="12025" width="10.125" style="2985" customWidth="1"/>
    <col min="12026" max="12026" width="8.625" style="2985" customWidth="1"/>
    <col min="12027" max="12027" width="10.875" style="2985" customWidth="1"/>
    <col min="12028" max="12030" width="12.25" style="2985" customWidth="1"/>
    <col min="12031" max="12031" width="13.75" style="2985" customWidth="1"/>
    <col min="12032" max="12032" width="7.875" style="2985" customWidth="1"/>
    <col min="12033" max="12033" width="10.5" style="2985" customWidth="1"/>
    <col min="12034" max="12037" width="10.875" style="2985" customWidth="1"/>
    <col min="12038" max="12038" width="10.25" style="2985" customWidth="1"/>
    <col min="12039" max="12039" width="8.625" style="2985" customWidth="1"/>
    <col min="12040" max="12040" width="8.5" style="2985" customWidth="1"/>
    <col min="12041" max="12043" width="10.5" style="2985" customWidth="1"/>
    <col min="12044" max="12264" width="9" style="2985"/>
    <col min="12265" max="12265" width="1" style="2985" customWidth="1"/>
    <col min="12266" max="12266" width="6.375" style="2985" customWidth="1"/>
    <col min="12267" max="12267" width="12.25" style="2985" customWidth="1"/>
    <col min="12268" max="12268" width="10.5" style="2985" customWidth="1"/>
    <col min="12269" max="12269" width="8.875" style="2985" customWidth="1"/>
    <col min="12270" max="12270" width="5.875" style="2985" customWidth="1"/>
    <col min="12271" max="12271" width="6.25" style="2985" customWidth="1"/>
    <col min="12272" max="12272" width="16.125" style="2985" customWidth="1"/>
    <col min="12273" max="12273" width="8.25" style="2985" customWidth="1"/>
    <col min="12274" max="12274" width="6.75" style="2985" customWidth="1"/>
    <col min="12275" max="12275" width="11.625" style="2985" customWidth="1"/>
    <col min="12276" max="12276" width="11.375" style="2985" customWidth="1"/>
    <col min="12277" max="12277" width="11.5" style="2985" customWidth="1"/>
    <col min="12278" max="12278" width="11.25" style="2985" customWidth="1"/>
    <col min="12279" max="12279" width="14.625" style="2985" customWidth="1"/>
    <col min="12280" max="12280" width="9.625" style="2985" customWidth="1"/>
    <col min="12281" max="12281" width="10.125" style="2985" customWidth="1"/>
    <col min="12282" max="12282" width="8.625" style="2985" customWidth="1"/>
    <col min="12283" max="12283" width="10.875" style="2985" customWidth="1"/>
    <col min="12284" max="12286" width="12.25" style="2985" customWidth="1"/>
    <col min="12287" max="12287" width="13.75" style="2985" customWidth="1"/>
    <col min="12288" max="12288" width="7.875" style="2985" customWidth="1"/>
    <col min="12289" max="12289" width="10.5" style="2985" customWidth="1"/>
    <col min="12290" max="12293" width="10.875" style="2985" customWidth="1"/>
    <col min="12294" max="12294" width="10.25" style="2985" customWidth="1"/>
    <col min="12295" max="12295" width="8.625" style="2985" customWidth="1"/>
    <col min="12296" max="12296" width="8.5" style="2985" customWidth="1"/>
    <col min="12297" max="12299" width="10.5" style="2985" customWidth="1"/>
    <col min="12300" max="12520" width="9" style="2985"/>
    <col min="12521" max="12521" width="1" style="2985" customWidth="1"/>
    <col min="12522" max="12522" width="6.375" style="2985" customWidth="1"/>
    <col min="12523" max="12523" width="12.25" style="2985" customWidth="1"/>
    <col min="12524" max="12524" width="10.5" style="2985" customWidth="1"/>
    <col min="12525" max="12525" width="8.875" style="2985" customWidth="1"/>
    <col min="12526" max="12526" width="5.875" style="2985" customWidth="1"/>
    <col min="12527" max="12527" width="6.25" style="2985" customWidth="1"/>
    <col min="12528" max="12528" width="16.125" style="2985" customWidth="1"/>
    <col min="12529" max="12529" width="8.25" style="2985" customWidth="1"/>
    <col min="12530" max="12530" width="6.75" style="2985" customWidth="1"/>
    <col min="12531" max="12531" width="11.625" style="2985" customWidth="1"/>
    <col min="12532" max="12532" width="11.375" style="2985" customWidth="1"/>
    <col min="12533" max="12533" width="11.5" style="2985" customWidth="1"/>
    <col min="12534" max="12534" width="11.25" style="2985" customWidth="1"/>
    <col min="12535" max="12535" width="14.625" style="2985" customWidth="1"/>
    <col min="12536" max="12536" width="9.625" style="2985" customWidth="1"/>
    <col min="12537" max="12537" width="10.125" style="2985" customWidth="1"/>
    <col min="12538" max="12538" width="8.625" style="2985" customWidth="1"/>
    <col min="12539" max="12539" width="10.875" style="2985" customWidth="1"/>
    <col min="12540" max="12542" width="12.25" style="2985" customWidth="1"/>
    <col min="12543" max="12543" width="13.75" style="2985" customWidth="1"/>
    <col min="12544" max="12544" width="7.875" style="2985" customWidth="1"/>
    <col min="12545" max="12545" width="10.5" style="2985" customWidth="1"/>
    <col min="12546" max="12549" width="10.875" style="2985" customWidth="1"/>
    <col min="12550" max="12550" width="10.25" style="2985" customWidth="1"/>
    <col min="12551" max="12551" width="8.625" style="2985" customWidth="1"/>
    <col min="12552" max="12552" width="8.5" style="2985" customWidth="1"/>
    <col min="12553" max="12555" width="10.5" style="2985" customWidth="1"/>
    <col min="12556" max="12776" width="9" style="2985"/>
    <col min="12777" max="12777" width="1" style="2985" customWidth="1"/>
    <col min="12778" max="12778" width="6.375" style="2985" customWidth="1"/>
    <col min="12779" max="12779" width="12.25" style="2985" customWidth="1"/>
    <col min="12780" max="12780" width="10.5" style="2985" customWidth="1"/>
    <col min="12781" max="12781" width="8.875" style="2985" customWidth="1"/>
    <col min="12782" max="12782" width="5.875" style="2985" customWidth="1"/>
    <col min="12783" max="12783" width="6.25" style="2985" customWidth="1"/>
    <col min="12784" max="12784" width="16.125" style="2985" customWidth="1"/>
    <col min="12785" max="12785" width="8.25" style="2985" customWidth="1"/>
    <col min="12786" max="12786" width="6.75" style="2985" customWidth="1"/>
    <col min="12787" max="12787" width="11.625" style="2985" customWidth="1"/>
    <col min="12788" max="12788" width="11.375" style="2985" customWidth="1"/>
    <col min="12789" max="12789" width="11.5" style="2985" customWidth="1"/>
    <col min="12790" max="12790" width="11.25" style="2985" customWidth="1"/>
    <col min="12791" max="12791" width="14.625" style="2985" customWidth="1"/>
    <col min="12792" max="12792" width="9.625" style="2985" customWidth="1"/>
    <col min="12793" max="12793" width="10.125" style="2985" customWidth="1"/>
    <col min="12794" max="12794" width="8.625" style="2985" customWidth="1"/>
    <col min="12795" max="12795" width="10.875" style="2985" customWidth="1"/>
    <col min="12796" max="12798" width="12.25" style="2985" customWidth="1"/>
    <col min="12799" max="12799" width="13.75" style="2985" customWidth="1"/>
    <col min="12800" max="12800" width="7.875" style="2985" customWidth="1"/>
    <col min="12801" max="12801" width="10.5" style="2985" customWidth="1"/>
    <col min="12802" max="12805" width="10.875" style="2985" customWidth="1"/>
    <col min="12806" max="12806" width="10.25" style="2985" customWidth="1"/>
    <col min="12807" max="12807" width="8.625" style="2985" customWidth="1"/>
    <col min="12808" max="12808" width="8.5" style="2985" customWidth="1"/>
    <col min="12809" max="12811" width="10.5" style="2985" customWidth="1"/>
    <col min="12812" max="13032" width="9" style="2985"/>
    <col min="13033" max="13033" width="1" style="2985" customWidth="1"/>
    <col min="13034" max="13034" width="6.375" style="2985" customWidth="1"/>
    <col min="13035" max="13035" width="12.25" style="2985" customWidth="1"/>
    <col min="13036" max="13036" width="10.5" style="2985" customWidth="1"/>
    <col min="13037" max="13037" width="8.875" style="2985" customWidth="1"/>
    <col min="13038" max="13038" width="5.875" style="2985" customWidth="1"/>
    <col min="13039" max="13039" width="6.25" style="2985" customWidth="1"/>
    <col min="13040" max="13040" width="16.125" style="2985" customWidth="1"/>
    <col min="13041" max="13041" width="8.25" style="2985" customWidth="1"/>
    <col min="13042" max="13042" width="6.75" style="2985" customWidth="1"/>
    <col min="13043" max="13043" width="11.625" style="2985" customWidth="1"/>
    <col min="13044" max="13044" width="11.375" style="2985" customWidth="1"/>
    <col min="13045" max="13045" width="11.5" style="2985" customWidth="1"/>
    <col min="13046" max="13046" width="11.25" style="2985" customWidth="1"/>
    <col min="13047" max="13047" width="14.625" style="2985" customWidth="1"/>
    <col min="13048" max="13048" width="9.625" style="2985" customWidth="1"/>
    <col min="13049" max="13049" width="10.125" style="2985" customWidth="1"/>
    <col min="13050" max="13050" width="8.625" style="2985" customWidth="1"/>
    <col min="13051" max="13051" width="10.875" style="2985" customWidth="1"/>
    <col min="13052" max="13054" width="12.25" style="2985" customWidth="1"/>
    <col min="13055" max="13055" width="13.75" style="2985" customWidth="1"/>
    <col min="13056" max="13056" width="7.875" style="2985" customWidth="1"/>
    <col min="13057" max="13057" width="10.5" style="2985" customWidth="1"/>
    <col min="13058" max="13061" width="10.875" style="2985" customWidth="1"/>
    <col min="13062" max="13062" width="10.25" style="2985" customWidth="1"/>
    <col min="13063" max="13063" width="8.625" style="2985" customWidth="1"/>
    <col min="13064" max="13064" width="8.5" style="2985" customWidth="1"/>
    <col min="13065" max="13067" width="10.5" style="2985" customWidth="1"/>
    <col min="13068" max="13288" width="9" style="2985"/>
    <col min="13289" max="13289" width="1" style="2985" customWidth="1"/>
    <col min="13290" max="13290" width="6.375" style="2985" customWidth="1"/>
    <col min="13291" max="13291" width="12.25" style="2985" customWidth="1"/>
    <col min="13292" max="13292" width="10.5" style="2985" customWidth="1"/>
    <col min="13293" max="13293" width="8.875" style="2985" customWidth="1"/>
    <col min="13294" max="13294" width="5.875" style="2985" customWidth="1"/>
    <col min="13295" max="13295" width="6.25" style="2985" customWidth="1"/>
    <col min="13296" max="13296" width="16.125" style="2985" customWidth="1"/>
    <col min="13297" max="13297" width="8.25" style="2985" customWidth="1"/>
    <col min="13298" max="13298" width="6.75" style="2985" customWidth="1"/>
    <col min="13299" max="13299" width="11.625" style="2985" customWidth="1"/>
    <col min="13300" max="13300" width="11.375" style="2985" customWidth="1"/>
    <col min="13301" max="13301" width="11.5" style="2985" customWidth="1"/>
    <col min="13302" max="13302" width="11.25" style="2985" customWidth="1"/>
    <col min="13303" max="13303" width="14.625" style="2985" customWidth="1"/>
    <col min="13304" max="13304" width="9.625" style="2985" customWidth="1"/>
    <col min="13305" max="13305" width="10.125" style="2985" customWidth="1"/>
    <col min="13306" max="13306" width="8.625" style="2985" customWidth="1"/>
    <col min="13307" max="13307" width="10.875" style="2985" customWidth="1"/>
    <col min="13308" max="13310" width="12.25" style="2985" customWidth="1"/>
    <col min="13311" max="13311" width="13.75" style="2985" customWidth="1"/>
    <col min="13312" max="13312" width="7.875" style="2985" customWidth="1"/>
    <col min="13313" max="13313" width="10.5" style="2985" customWidth="1"/>
    <col min="13314" max="13317" width="10.875" style="2985" customWidth="1"/>
    <col min="13318" max="13318" width="10.25" style="2985" customWidth="1"/>
    <col min="13319" max="13319" width="8.625" style="2985" customWidth="1"/>
    <col min="13320" max="13320" width="8.5" style="2985" customWidth="1"/>
    <col min="13321" max="13323" width="10.5" style="2985" customWidth="1"/>
    <col min="13324" max="13544" width="9" style="2985"/>
    <col min="13545" max="13545" width="1" style="2985" customWidth="1"/>
    <col min="13546" max="13546" width="6.375" style="2985" customWidth="1"/>
    <col min="13547" max="13547" width="12.25" style="2985" customWidth="1"/>
    <col min="13548" max="13548" width="10.5" style="2985" customWidth="1"/>
    <col min="13549" max="13549" width="8.875" style="2985" customWidth="1"/>
    <col min="13550" max="13550" width="5.875" style="2985" customWidth="1"/>
    <col min="13551" max="13551" width="6.25" style="2985" customWidth="1"/>
    <col min="13552" max="13552" width="16.125" style="2985" customWidth="1"/>
    <col min="13553" max="13553" width="8.25" style="2985" customWidth="1"/>
    <col min="13554" max="13554" width="6.75" style="2985" customWidth="1"/>
    <col min="13555" max="13555" width="11.625" style="2985" customWidth="1"/>
    <col min="13556" max="13556" width="11.375" style="2985" customWidth="1"/>
    <col min="13557" max="13557" width="11.5" style="2985" customWidth="1"/>
    <col min="13558" max="13558" width="11.25" style="2985" customWidth="1"/>
    <col min="13559" max="13559" width="14.625" style="2985" customWidth="1"/>
    <col min="13560" max="13560" width="9.625" style="2985" customWidth="1"/>
    <col min="13561" max="13561" width="10.125" style="2985" customWidth="1"/>
    <col min="13562" max="13562" width="8.625" style="2985" customWidth="1"/>
    <col min="13563" max="13563" width="10.875" style="2985" customWidth="1"/>
    <col min="13564" max="13566" width="12.25" style="2985" customWidth="1"/>
    <col min="13567" max="13567" width="13.75" style="2985" customWidth="1"/>
    <col min="13568" max="13568" width="7.875" style="2985" customWidth="1"/>
    <col min="13569" max="13569" width="10.5" style="2985" customWidth="1"/>
    <col min="13570" max="13573" width="10.875" style="2985" customWidth="1"/>
    <col min="13574" max="13574" width="10.25" style="2985" customWidth="1"/>
    <col min="13575" max="13575" width="8.625" style="2985" customWidth="1"/>
    <col min="13576" max="13576" width="8.5" style="2985" customWidth="1"/>
    <col min="13577" max="13579" width="10.5" style="2985" customWidth="1"/>
    <col min="13580" max="13800" width="9" style="2985"/>
    <col min="13801" max="13801" width="1" style="2985" customWidth="1"/>
    <col min="13802" max="13802" width="6.375" style="2985" customWidth="1"/>
    <col min="13803" max="13803" width="12.25" style="2985" customWidth="1"/>
    <col min="13804" max="13804" width="10.5" style="2985" customWidth="1"/>
    <col min="13805" max="13805" width="8.875" style="2985" customWidth="1"/>
    <col min="13806" max="13806" width="5.875" style="2985" customWidth="1"/>
    <col min="13807" max="13807" width="6.25" style="2985" customWidth="1"/>
    <col min="13808" max="13808" width="16.125" style="2985" customWidth="1"/>
    <col min="13809" max="13809" width="8.25" style="2985" customWidth="1"/>
    <col min="13810" max="13810" width="6.75" style="2985" customWidth="1"/>
    <col min="13811" max="13811" width="11.625" style="2985" customWidth="1"/>
    <col min="13812" max="13812" width="11.375" style="2985" customWidth="1"/>
    <col min="13813" max="13813" width="11.5" style="2985" customWidth="1"/>
    <col min="13814" max="13814" width="11.25" style="2985" customWidth="1"/>
    <col min="13815" max="13815" width="14.625" style="2985" customWidth="1"/>
    <col min="13816" max="13816" width="9.625" style="2985" customWidth="1"/>
    <col min="13817" max="13817" width="10.125" style="2985" customWidth="1"/>
    <col min="13818" max="13818" width="8.625" style="2985" customWidth="1"/>
    <col min="13819" max="13819" width="10.875" style="2985" customWidth="1"/>
    <col min="13820" max="13822" width="12.25" style="2985" customWidth="1"/>
    <col min="13823" max="13823" width="13.75" style="2985" customWidth="1"/>
    <col min="13824" max="13824" width="7.875" style="2985" customWidth="1"/>
    <col min="13825" max="13825" width="10.5" style="2985" customWidth="1"/>
    <col min="13826" max="13829" width="10.875" style="2985" customWidth="1"/>
    <col min="13830" max="13830" width="10.25" style="2985" customWidth="1"/>
    <col min="13831" max="13831" width="8.625" style="2985" customWidth="1"/>
    <col min="13832" max="13832" width="8.5" style="2985" customWidth="1"/>
    <col min="13833" max="13835" width="10.5" style="2985" customWidth="1"/>
    <col min="13836" max="14056" width="9" style="2985"/>
    <col min="14057" max="14057" width="1" style="2985" customWidth="1"/>
    <col min="14058" max="14058" width="6.375" style="2985" customWidth="1"/>
    <col min="14059" max="14059" width="12.25" style="2985" customWidth="1"/>
    <col min="14060" max="14060" width="10.5" style="2985" customWidth="1"/>
    <col min="14061" max="14061" width="8.875" style="2985" customWidth="1"/>
    <col min="14062" max="14062" width="5.875" style="2985" customWidth="1"/>
    <col min="14063" max="14063" width="6.25" style="2985" customWidth="1"/>
    <col min="14064" max="14064" width="16.125" style="2985" customWidth="1"/>
    <col min="14065" max="14065" width="8.25" style="2985" customWidth="1"/>
    <col min="14066" max="14066" width="6.75" style="2985" customWidth="1"/>
    <col min="14067" max="14067" width="11.625" style="2985" customWidth="1"/>
    <col min="14068" max="14068" width="11.375" style="2985" customWidth="1"/>
    <col min="14069" max="14069" width="11.5" style="2985" customWidth="1"/>
    <col min="14070" max="14070" width="11.25" style="2985" customWidth="1"/>
    <col min="14071" max="14071" width="14.625" style="2985" customWidth="1"/>
    <col min="14072" max="14072" width="9.625" style="2985" customWidth="1"/>
    <col min="14073" max="14073" width="10.125" style="2985" customWidth="1"/>
    <col min="14074" max="14074" width="8.625" style="2985" customWidth="1"/>
    <col min="14075" max="14075" width="10.875" style="2985" customWidth="1"/>
    <col min="14076" max="14078" width="12.25" style="2985" customWidth="1"/>
    <col min="14079" max="14079" width="13.75" style="2985" customWidth="1"/>
    <col min="14080" max="14080" width="7.875" style="2985" customWidth="1"/>
    <col min="14081" max="14081" width="10.5" style="2985" customWidth="1"/>
    <col min="14082" max="14085" width="10.875" style="2985" customWidth="1"/>
    <col min="14086" max="14086" width="10.25" style="2985" customWidth="1"/>
    <col min="14087" max="14087" width="8.625" style="2985" customWidth="1"/>
    <col min="14088" max="14088" width="8.5" style="2985" customWidth="1"/>
    <col min="14089" max="14091" width="10.5" style="2985" customWidth="1"/>
    <col min="14092" max="14312" width="9" style="2985"/>
    <col min="14313" max="14313" width="1" style="2985" customWidth="1"/>
    <col min="14314" max="14314" width="6.375" style="2985" customWidth="1"/>
    <col min="14315" max="14315" width="12.25" style="2985" customWidth="1"/>
    <col min="14316" max="14316" width="10.5" style="2985" customWidth="1"/>
    <col min="14317" max="14317" width="8.875" style="2985" customWidth="1"/>
    <col min="14318" max="14318" width="5.875" style="2985" customWidth="1"/>
    <col min="14319" max="14319" width="6.25" style="2985" customWidth="1"/>
    <col min="14320" max="14320" width="16.125" style="2985" customWidth="1"/>
    <col min="14321" max="14321" width="8.25" style="2985" customWidth="1"/>
    <col min="14322" max="14322" width="6.75" style="2985" customWidth="1"/>
    <col min="14323" max="14323" width="11.625" style="2985" customWidth="1"/>
    <col min="14324" max="14324" width="11.375" style="2985" customWidth="1"/>
    <col min="14325" max="14325" width="11.5" style="2985" customWidth="1"/>
    <col min="14326" max="14326" width="11.25" style="2985" customWidth="1"/>
    <col min="14327" max="14327" width="14.625" style="2985" customWidth="1"/>
    <col min="14328" max="14328" width="9.625" style="2985" customWidth="1"/>
    <col min="14329" max="14329" width="10.125" style="2985" customWidth="1"/>
    <col min="14330" max="14330" width="8.625" style="2985" customWidth="1"/>
    <col min="14331" max="14331" width="10.875" style="2985" customWidth="1"/>
    <col min="14332" max="14334" width="12.25" style="2985" customWidth="1"/>
    <col min="14335" max="14335" width="13.75" style="2985" customWidth="1"/>
    <col min="14336" max="14336" width="7.875" style="2985" customWidth="1"/>
    <col min="14337" max="14337" width="10.5" style="2985" customWidth="1"/>
    <col min="14338" max="14341" width="10.875" style="2985" customWidth="1"/>
    <col min="14342" max="14342" width="10.25" style="2985" customWidth="1"/>
    <col min="14343" max="14343" width="8.625" style="2985" customWidth="1"/>
    <col min="14344" max="14344" width="8.5" style="2985" customWidth="1"/>
    <col min="14345" max="14347" width="10.5" style="2985" customWidth="1"/>
    <col min="14348" max="14568" width="9" style="2985"/>
    <col min="14569" max="14569" width="1" style="2985" customWidth="1"/>
    <col min="14570" max="14570" width="6.375" style="2985" customWidth="1"/>
    <col min="14571" max="14571" width="12.25" style="2985" customWidth="1"/>
    <col min="14572" max="14572" width="10.5" style="2985" customWidth="1"/>
    <col min="14573" max="14573" width="8.875" style="2985" customWidth="1"/>
    <col min="14574" max="14574" width="5.875" style="2985" customWidth="1"/>
    <col min="14575" max="14575" width="6.25" style="2985" customWidth="1"/>
    <col min="14576" max="14576" width="16.125" style="2985" customWidth="1"/>
    <col min="14577" max="14577" width="8.25" style="2985" customWidth="1"/>
    <col min="14578" max="14578" width="6.75" style="2985" customWidth="1"/>
    <col min="14579" max="14579" width="11.625" style="2985" customWidth="1"/>
    <col min="14580" max="14580" width="11.375" style="2985" customWidth="1"/>
    <col min="14581" max="14581" width="11.5" style="2985" customWidth="1"/>
    <col min="14582" max="14582" width="11.25" style="2985" customWidth="1"/>
    <col min="14583" max="14583" width="14.625" style="2985" customWidth="1"/>
    <col min="14584" max="14584" width="9.625" style="2985" customWidth="1"/>
    <col min="14585" max="14585" width="10.125" style="2985" customWidth="1"/>
    <col min="14586" max="14586" width="8.625" style="2985" customWidth="1"/>
    <col min="14587" max="14587" width="10.875" style="2985" customWidth="1"/>
    <col min="14588" max="14590" width="12.25" style="2985" customWidth="1"/>
    <col min="14591" max="14591" width="13.75" style="2985" customWidth="1"/>
    <col min="14592" max="14592" width="7.875" style="2985" customWidth="1"/>
    <col min="14593" max="14593" width="10.5" style="2985" customWidth="1"/>
    <col min="14594" max="14597" width="10.875" style="2985" customWidth="1"/>
    <col min="14598" max="14598" width="10.25" style="2985" customWidth="1"/>
    <col min="14599" max="14599" width="8.625" style="2985" customWidth="1"/>
    <col min="14600" max="14600" width="8.5" style="2985" customWidth="1"/>
    <col min="14601" max="14603" width="10.5" style="2985" customWidth="1"/>
    <col min="14604" max="14824" width="9" style="2985"/>
    <col min="14825" max="14825" width="1" style="2985" customWidth="1"/>
    <col min="14826" max="14826" width="6.375" style="2985" customWidth="1"/>
    <col min="14827" max="14827" width="12.25" style="2985" customWidth="1"/>
    <col min="14828" max="14828" width="10.5" style="2985" customWidth="1"/>
    <col min="14829" max="14829" width="8.875" style="2985" customWidth="1"/>
    <col min="14830" max="14830" width="5.875" style="2985" customWidth="1"/>
    <col min="14831" max="14831" width="6.25" style="2985" customWidth="1"/>
    <col min="14832" max="14832" width="16.125" style="2985" customWidth="1"/>
    <col min="14833" max="14833" width="8.25" style="2985" customWidth="1"/>
    <col min="14834" max="14834" width="6.75" style="2985" customWidth="1"/>
    <col min="14835" max="14835" width="11.625" style="2985" customWidth="1"/>
    <col min="14836" max="14836" width="11.375" style="2985" customWidth="1"/>
    <col min="14837" max="14837" width="11.5" style="2985" customWidth="1"/>
    <col min="14838" max="14838" width="11.25" style="2985" customWidth="1"/>
    <col min="14839" max="14839" width="14.625" style="2985" customWidth="1"/>
    <col min="14840" max="14840" width="9.625" style="2985" customWidth="1"/>
    <col min="14841" max="14841" width="10.125" style="2985" customWidth="1"/>
    <col min="14842" max="14842" width="8.625" style="2985" customWidth="1"/>
    <col min="14843" max="14843" width="10.875" style="2985" customWidth="1"/>
    <col min="14844" max="14846" width="12.25" style="2985" customWidth="1"/>
    <col min="14847" max="14847" width="13.75" style="2985" customWidth="1"/>
    <col min="14848" max="14848" width="7.875" style="2985" customWidth="1"/>
    <col min="14849" max="14849" width="10.5" style="2985" customWidth="1"/>
    <col min="14850" max="14853" width="10.875" style="2985" customWidth="1"/>
    <col min="14854" max="14854" width="10.25" style="2985" customWidth="1"/>
    <col min="14855" max="14855" width="8.625" style="2985" customWidth="1"/>
    <col min="14856" max="14856" width="8.5" style="2985" customWidth="1"/>
    <col min="14857" max="14859" width="10.5" style="2985" customWidth="1"/>
    <col min="14860" max="15080" width="9" style="2985"/>
    <col min="15081" max="15081" width="1" style="2985" customWidth="1"/>
    <col min="15082" max="15082" width="6.375" style="2985" customWidth="1"/>
    <col min="15083" max="15083" width="12.25" style="2985" customWidth="1"/>
    <col min="15084" max="15084" width="10.5" style="2985" customWidth="1"/>
    <col min="15085" max="15085" width="8.875" style="2985" customWidth="1"/>
    <col min="15086" max="15086" width="5.875" style="2985" customWidth="1"/>
    <col min="15087" max="15087" width="6.25" style="2985" customWidth="1"/>
    <col min="15088" max="15088" width="16.125" style="2985" customWidth="1"/>
    <col min="15089" max="15089" width="8.25" style="2985" customWidth="1"/>
    <col min="15090" max="15090" width="6.75" style="2985" customWidth="1"/>
    <col min="15091" max="15091" width="11.625" style="2985" customWidth="1"/>
    <col min="15092" max="15092" width="11.375" style="2985" customWidth="1"/>
    <col min="15093" max="15093" width="11.5" style="2985" customWidth="1"/>
    <col min="15094" max="15094" width="11.25" style="2985" customWidth="1"/>
    <col min="15095" max="15095" width="14.625" style="2985" customWidth="1"/>
    <col min="15096" max="15096" width="9.625" style="2985" customWidth="1"/>
    <col min="15097" max="15097" width="10.125" style="2985" customWidth="1"/>
    <col min="15098" max="15098" width="8.625" style="2985" customWidth="1"/>
    <col min="15099" max="15099" width="10.875" style="2985" customWidth="1"/>
    <col min="15100" max="15102" width="12.25" style="2985" customWidth="1"/>
    <col min="15103" max="15103" width="13.75" style="2985" customWidth="1"/>
    <col min="15104" max="15104" width="7.875" style="2985" customWidth="1"/>
    <col min="15105" max="15105" width="10.5" style="2985" customWidth="1"/>
    <col min="15106" max="15109" width="10.875" style="2985" customWidth="1"/>
    <col min="15110" max="15110" width="10.25" style="2985" customWidth="1"/>
    <col min="15111" max="15111" width="8.625" style="2985" customWidth="1"/>
    <col min="15112" max="15112" width="8.5" style="2985" customWidth="1"/>
    <col min="15113" max="15115" width="10.5" style="2985" customWidth="1"/>
    <col min="15116" max="15336" width="9" style="2985"/>
    <col min="15337" max="15337" width="1" style="2985" customWidth="1"/>
    <col min="15338" max="15338" width="6.375" style="2985" customWidth="1"/>
    <col min="15339" max="15339" width="12.25" style="2985" customWidth="1"/>
    <col min="15340" max="15340" width="10.5" style="2985" customWidth="1"/>
    <col min="15341" max="15341" width="8.875" style="2985" customWidth="1"/>
    <col min="15342" max="15342" width="5.875" style="2985" customWidth="1"/>
    <col min="15343" max="15343" width="6.25" style="2985" customWidth="1"/>
    <col min="15344" max="15344" width="16.125" style="2985" customWidth="1"/>
    <col min="15345" max="15345" width="8.25" style="2985" customWidth="1"/>
    <col min="15346" max="15346" width="6.75" style="2985" customWidth="1"/>
    <col min="15347" max="15347" width="11.625" style="2985" customWidth="1"/>
    <col min="15348" max="15348" width="11.375" style="2985" customWidth="1"/>
    <col min="15349" max="15349" width="11.5" style="2985" customWidth="1"/>
    <col min="15350" max="15350" width="11.25" style="2985" customWidth="1"/>
    <col min="15351" max="15351" width="14.625" style="2985" customWidth="1"/>
    <col min="15352" max="15352" width="9.625" style="2985" customWidth="1"/>
    <col min="15353" max="15353" width="10.125" style="2985" customWidth="1"/>
    <col min="15354" max="15354" width="8.625" style="2985" customWidth="1"/>
    <col min="15355" max="15355" width="10.875" style="2985" customWidth="1"/>
    <col min="15356" max="15358" width="12.25" style="2985" customWidth="1"/>
    <col min="15359" max="15359" width="13.75" style="2985" customWidth="1"/>
    <col min="15360" max="15360" width="7.875" style="2985" customWidth="1"/>
    <col min="15361" max="15361" width="10.5" style="2985" customWidth="1"/>
    <col min="15362" max="15365" width="10.875" style="2985" customWidth="1"/>
    <col min="15366" max="15366" width="10.25" style="2985" customWidth="1"/>
    <col min="15367" max="15367" width="8.625" style="2985" customWidth="1"/>
    <col min="15368" max="15368" width="8.5" style="2985" customWidth="1"/>
    <col min="15369" max="15371" width="10.5" style="2985" customWidth="1"/>
    <col min="15372" max="15592" width="9" style="2985"/>
    <col min="15593" max="15593" width="1" style="2985" customWidth="1"/>
    <col min="15594" max="15594" width="6.375" style="2985" customWidth="1"/>
    <col min="15595" max="15595" width="12.25" style="2985" customWidth="1"/>
    <col min="15596" max="15596" width="10.5" style="2985" customWidth="1"/>
    <col min="15597" max="15597" width="8.875" style="2985" customWidth="1"/>
    <col min="15598" max="15598" width="5.875" style="2985" customWidth="1"/>
    <col min="15599" max="15599" width="6.25" style="2985" customWidth="1"/>
    <col min="15600" max="15600" width="16.125" style="2985" customWidth="1"/>
    <col min="15601" max="15601" width="8.25" style="2985" customWidth="1"/>
    <col min="15602" max="15602" width="6.75" style="2985" customWidth="1"/>
    <col min="15603" max="15603" width="11.625" style="2985" customWidth="1"/>
    <col min="15604" max="15604" width="11.375" style="2985" customWidth="1"/>
    <col min="15605" max="15605" width="11.5" style="2985" customWidth="1"/>
    <col min="15606" max="15606" width="11.25" style="2985" customWidth="1"/>
    <col min="15607" max="15607" width="14.625" style="2985" customWidth="1"/>
    <col min="15608" max="15608" width="9.625" style="2985" customWidth="1"/>
    <col min="15609" max="15609" width="10.125" style="2985" customWidth="1"/>
    <col min="15610" max="15610" width="8.625" style="2985" customWidth="1"/>
    <col min="15611" max="15611" width="10.875" style="2985" customWidth="1"/>
    <col min="15612" max="15614" width="12.25" style="2985" customWidth="1"/>
    <col min="15615" max="15615" width="13.75" style="2985" customWidth="1"/>
    <col min="15616" max="15616" width="7.875" style="2985" customWidth="1"/>
    <col min="15617" max="15617" width="10.5" style="2985" customWidth="1"/>
    <col min="15618" max="15621" width="10.875" style="2985" customWidth="1"/>
    <col min="15622" max="15622" width="10.25" style="2985" customWidth="1"/>
    <col min="15623" max="15623" width="8.625" style="2985" customWidth="1"/>
    <col min="15624" max="15624" width="8.5" style="2985" customWidth="1"/>
    <col min="15625" max="15627" width="10.5" style="2985" customWidth="1"/>
    <col min="15628" max="15848" width="9" style="2985"/>
    <col min="15849" max="15849" width="1" style="2985" customWidth="1"/>
    <col min="15850" max="15850" width="6.375" style="2985" customWidth="1"/>
    <col min="15851" max="15851" width="12.25" style="2985" customWidth="1"/>
    <col min="15852" max="15852" width="10.5" style="2985" customWidth="1"/>
    <col min="15853" max="15853" width="8.875" style="2985" customWidth="1"/>
    <col min="15854" max="15854" width="5.875" style="2985" customWidth="1"/>
    <col min="15855" max="15855" width="6.25" style="2985" customWidth="1"/>
    <col min="15856" max="15856" width="16.125" style="2985" customWidth="1"/>
    <col min="15857" max="15857" width="8.25" style="2985" customWidth="1"/>
    <col min="15858" max="15858" width="6.75" style="2985" customWidth="1"/>
    <col min="15859" max="15859" width="11.625" style="2985" customWidth="1"/>
    <col min="15860" max="15860" width="11.375" style="2985" customWidth="1"/>
    <col min="15861" max="15861" width="11.5" style="2985" customWidth="1"/>
    <col min="15862" max="15862" width="11.25" style="2985" customWidth="1"/>
    <col min="15863" max="15863" width="14.625" style="2985" customWidth="1"/>
    <col min="15864" max="15864" width="9.625" style="2985" customWidth="1"/>
    <col min="15865" max="15865" width="10.125" style="2985" customWidth="1"/>
    <col min="15866" max="15866" width="8.625" style="2985" customWidth="1"/>
    <col min="15867" max="15867" width="10.875" style="2985" customWidth="1"/>
    <col min="15868" max="15870" width="12.25" style="2985" customWidth="1"/>
    <col min="15871" max="15871" width="13.75" style="2985" customWidth="1"/>
    <col min="15872" max="15872" width="7.875" style="2985" customWidth="1"/>
    <col min="15873" max="15873" width="10.5" style="2985" customWidth="1"/>
    <col min="15874" max="15877" width="10.875" style="2985" customWidth="1"/>
    <col min="15878" max="15878" width="10.25" style="2985" customWidth="1"/>
    <col min="15879" max="15879" width="8.625" style="2985" customWidth="1"/>
    <col min="15880" max="15880" width="8.5" style="2985" customWidth="1"/>
    <col min="15881" max="15883" width="10.5" style="2985" customWidth="1"/>
    <col min="15884" max="16104" width="9" style="2985"/>
    <col min="16105" max="16105" width="1" style="2985" customWidth="1"/>
    <col min="16106" max="16106" width="6.375" style="2985" customWidth="1"/>
    <col min="16107" max="16107" width="12.25" style="2985" customWidth="1"/>
    <col min="16108" max="16108" width="10.5" style="2985" customWidth="1"/>
    <col min="16109" max="16109" width="8.875" style="2985" customWidth="1"/>
    <col min="16110" max="16110" width="5.875" style="2985" customWidth="1"/>
    <col min="16111" max="16111" width="6.25" style="2985" customWidth="1"/>
    <col min="16112" max="16112" width="16.125" style="2985" customWidth="1"/>
    <col min="16113" max="16113" width="8.25" style="2985" customWidth="1"/>
    <col min="16114" max="16114" width="6.75" style="2985" customWidth="1"/>
    <col min="16115" max="16115" width="11.625" style="2985" customWidth="1"/>
    <col min="16116" max="16116" width="11.375" style="2985" customWidth="1"/>
    <col min="16117" max="16117" width="11.5" style="2985" customWidth="1"/>
    <col min="16118" max="16118" width="11.25" style="2985" customWidth="1"/>
    <col min="16119" max="16119" width="14.625" style="2985" customWidth="1"/>
    <col min="16120" max="16120" width="9.625" style="2985" customWidth="1"/>
    <col min="16121" max="16121" width="10.125" style="2985" customWidth="1"/>
    <col min="16122" max="16122" width="8.625" style="2985" customWidth="1"/>
    <col min="16123" max="16123" width="10.875" style="2985" customWidth="1"/>
    <col min="16124" max="16126" width="12.25" style="2985" customWidth="1"/>
    <col min="16127" max="16127" width="13.75" style="2985" customWidth="1"/>
    <col min="16128" max="16128" width="7.875" style="2985" customWidth="1"/>
    <col min="16129" max="16129" width="10.5" style="2985" customWidth="1"/>
    <col min="16130" max="16133" width="10.875" style="2985" customWidth="1"/>
    <col min="16134" max="16134" width="10.25" style="2985" customWidth="1"/>
    <col min="16135" max="16135" width="8.625" style="2985" customWidth="1"/>
    <col min="16136" max="16136" width="8.5" style="2985" customWidth="1"/>
    <col min="16137" max="16139" width="10.5" style="2985" customWidth="1"/>
    <col min="16140" max="16384" width="9" style="2985"/>
  </cols>
  <sheetData>
    <row r="1" spans="2:12" ht="32.1" customHeight="1">
      <c r="B1" s="3130" t="s">
        <v>3471</v>
      </c>
      <c r="C1" s="3130"/>
      <c r="D1" s="3130"/>
      <c r="E1" s="3130"/>
      <c r="F1" s="3130"/>
      <c r="G1" s="3130"/>
      <c r="H1" s="3130"/>
      <c r="I1" s="3130"/>
      <c r="J1" s="3130"/>
      <c r="K1" s="3130"/>
    </row>
    <row r="2" spans="2:12" ht="18" customHeight="1">
      <c r="B2" s="2986" t="s">
        <v>3472</v>
      </c>
      <c r="C2" s="2986" t="s">
        <v>3473</v>
      </c>
      <c r="D2" s="2986" t="s">
        <v>3474</v>
      </c>
      <c r="E2" s="2986" t="s">
        <v>3475</v>
      </c>
      <c r="F2" s="2986" t="s">
        <v>3476</v>
      </c>
      <c r="G2" s="2986" t="s">
        <v>3477</v>
      </c>
      <c r="H2" s="2986" t="s">
        <v>3478</v>
      </c>
      <c r="I2" s="2986" t="s">
        <v>3479</v>
      </c>
      <c r="J2" s="2986" t="s">
        <v>3480</v>
      </c>
      <c r="K2" s="2986" t="s">
        <v>3481</v>
      </c>
      <c r="L2" s="3041" t="s">
        <v>5513</v>
      </c>
    </row>
    <row r="3" spans="2:12" ht="18" customHeight="1">
      <c r="B3" s="2986">
        <v>1409</v>
      </c>
      <c r="C3" s="2987" t="s">
        <v>3482</v>
      </c>
      <c r="D3" s="2987" t="s">
        <v>3483</v>
      </c>
      <c r="E3" s="2987" t="s">
        <v>4915</v>
      </c>
      <c r="F3" s="2987">
        <v>1</v>
      </c>
      <c r="G3" s="2987">
        <v>101</v>
      </c>
      <c r="H3" s="2987" t="s">
        <v>4916</v>
      </c>
      <c r="I3" s="2987" t="s">
        <v>3486</v>
      </c>
      <c r="J3" s="2987" t="s">
        <v>3487</v>
      </c>
      <c r="K3" s="2988">
        <v>129.22999999999999</v>
      </c>
    </row>
    <row r="4" spans="2:12" ht="18" customHeight="1">
      <c r="B4" s="2986">
        <v>1410</v>
      </c>
      <c r="C4" s="2987" t="s">
        <v>3482</v>
      </c>
      <c r="D4" s="2987" t="s">
        <v>3483</v>
      </c>
      <c r="E4" s="2987" t="s">
        <v>4915</v>
      </c>
      <c r="F4" s="2987">
        <v>1</v>
      </c>
      <c r="G4" s="2987">
        <v>102</v>
      </c>
      <c r="H4" s="2987" t="s">
        <v>4917</v>
      </c>
      <c r="I4" s="2987" t="s">
        <v>3486</v>
      </c>
      <c r="J4" s="2987" t="s">
        <v>3487</v>
      </c>
      <c r="K4" s="2988">
        <v>129.22999999999999</v>
      </c>
    </row>
    <row r="5" spans="2:12" ht="18" customHeight="1">
      <c r="B5" s="2986">
        <v>1411</v>
      </c>
      <c r="C5" s="2987" t="s">
        <v>3482</v>
      </c>
      <c r="D5" s="2987" t="s">
        <v>3483</v>
      </c>
      <c r="E5" s="2987" t="s">
        <v>4915</v>
      </c>
      <c r="F5" s="2987">
        <v>1</v>
      </c>
      <c r="G5" s="2987">
        <v>201</v>
      </c>
      <c r="H5" s="2987" t="s">
        <v>4918</v>
      </c>
      <c r="I5" s="2987" t="s">
        <v>3486</v>
      </c>
      <c r="J5" s="2987" t="s">
        <v>3490</v>
      </c>
      <c r="K5" s="2988">
        <v>134.74</v>
      </c>
    </row>
    <row r="6" spans="2:12" ht="18" customHeight="1">
      <c r="B6" s="2986">
        <v>1412</v>
      </c>
      <c r="C6" s="2987" t="s">
        <v>3482</v>
      </c>
      <c r="D6" s="2987" t="s">
        <v>3483</v>
      </c>
      <c r="E6" s="2987" t="s">
        <v>4915</v>
      </c>
      <c r="F6" s="2987">
        <v>1</v>
      </c>
      <c r="G6" s="2987">
        <v>202</v>
      </c>
      <c r="H6" s="2987" t="s">
        <v>4919</v>
      </c>
      <c r="I6" s="2987" t="s">
        <v>3486</v>
      </c>
      <c r="J6" s="2987" t="s">
        <v>3490</v>
      </c>
      <c r="K6" s="2988">
        <v>134.74</v>
      </c>
    </row>
    <row r="7" spans="2:12" ht="18" customHeight="1">
      <c r="B7" s="2986">
        <v>1413</v>
      </c>
      <c r="C7" s="2987" t="s">
        <v>3482</v>
      </c>
      <c r="D7" s="2987" t="s">
        <v>3483</v>
      </c>
      <c r="E7" s="2987" t="s">
        <v>4915</v>
      </c>
      <c r="F7" s="2987">
        <v>1</v>
      </c>
      <c r="G7" s="2987">
        <v>301</v>
      </c>
      <c r="H7" s="2987" t="s">
        <v>4920</v>
      </c>
      <c r="I7" s="2987" t="s">
        <v>3486</v>
      </c>
      <c r="J7" s="2987" t="s">
        <v>3493</v>
      </c>
      <c r="K7" s="2988">
        <v>129.1</v>
      </c>
    </row>
    <row r="8" spans="2:12" ht="18" customHeight="1">
      <c r="B8" s="2986">
        <v>1414</v>
      </c>
      <c r="C8" s="2987" t="s">
        <v>3482</v>
      </c>
      <c r="D8" s="2987" t="s">
        <v>3483</v>
      </c>
      <c r="E8" s="2987" t="s">
        <v>4915</v>
      </c>
      <c r="F8" s="2987">
        <v>1</v>
      </c>
      <c r="G8" s="2987">
        <v>302</v>
      </c>
      <c r="H8" s="2987" t="s">
        <v>4921</v>
      </c>
      <c r="I8" s="2987" t="s">
        <v>3486</v>
      </c>
      <c r="J8" s="2987" t="s">
        <v>3493</v>
      </c>
      <c r="K8" s="2988">
        <v>129.1</v>
      </c>
    </row>
    <row r="9" spans="2:12" ht="18" customHeight="1">
      <c r="B9" s="2986">
        <v>1415</v>
      </c>
      <c r="C9" s="2987" t="s">
        <v>3482</v>
      </c>
      <c r="D9" s="2987" t="s">
        <v>3483</v>
      </c>
      <c r="E9" s="2987" t="s">
        <v>4915</v>
      </c>
      <c r="F9" s="2987">
        <v>1</v>
      </c>
      <c r="G9" s="2987">
        <v>401</v>
      </c>
      <c r="H9" s="2987" t="s">
        <v>4922</v>
      </c>
      <c r="I9" s="2987" t="s">
        <v>3486</v>
      </c>
      <c r="J9" s="2987" t="s">
        <v>3496</v>
      </c>
      <c r="K9" s="2988">
        <v>129.1</v>
      </c>
    </row>
    <row r="10" spans="2:12" ht="18" customHeight="1">
      <c r="B10" s="2986">
        <v>1416</v>
      </c>
      <c r="C10" s="2987" t="s">
        <v>3482</v>
      </c>
      <c r="D10" s="2987" t="s">
        <v>3483</v>
      </c>
      <c r="E10" s="2987" t="s">
        <v>4915</v>
      </c>
      <c r="F10" s="2987">
        <v>1</v>
      </c>
      <c r="G10" s="2987">
        <v>402</v>
      </c>
      <c r="H10" s="2987" t="s">
        <v>4923</v>
      </c>
      <c r="I10" s="2987" t="s">
        <v>3486</v>
      </c>
      <c r="J10" s="2987" t="s">
        <v>3496</v>
      </c>
      <c r="K10" s="2988">
        <v>129.1</v>
      </c>
    </row>
    <row r="11" spans="2:12" ht="18" customHeight="1">
      <c r="B11" s="2986">
        <v>1417</v>
      </c>
      <c r="C11" s="2987" t="s">
        <v>3482</v>
      </c>
      <c r="D11" s="2987" t="s">
        <v>3483</v>
      </c>
      <c r="E11" s="2987" t="s">
        <v>4915</v>
      </c>
      <c r="F11" s="2987">
        <v>1</v>
      </c>
      <c r="G11" s="2987">
        <v>501</v>
      </c>
      <c r="H11" s="2987" t="s">
        <v>4924</v>
      </c>
      <c r="I11" s="2987" t="s">
        <v>3486</v>
      </c>
      <c r="J11" s="2987" t="s">
        <v>3496</v>
      </c>
      <c r="K11" s="2988">
        <v>129.1</v>
      </c>
    </row>
    <row r="12" spans="2:12" ht="18" customHeight="1">
      <c r="B12" s="2986">
        <v>1418</v>
      </c>
      <c r="C12" s="2987" t="s">
        <v>3482</v>
      </c>
      <c r="D12" s="2987" t="s">
        <v>3483</v>
      </c>
      <c r="E12" s="2987" t="s">
        <v>4915</v>
      </c>
      <c r="F12" s="2987">
        <v>1</v>
      </c>
      <c r="G12" s="2987">
        <v>502</v>
      </c>
      <c r="H12" s="2987" t="s">
        <v>4925</v>
      </c>
      <c r="I12" s="2987" t="s">
        <v>3486</v>
      </c>
      <c r="J12" s="2987" t="s">
        <v>3496</v>
      </c>
      <c r="K12" s="2988">
        <v>129.1</v>
      </c>
    </row>
    <row r="13" spans="2:12" ht="18" customHeight="1">
      <c r="B13" s="2986">
        <v>1419</v>
      </c>
      <c r="C13" s="2987" t="s">
        <v>3482</v>
      </c>
      <c r="D13" s="2987" t="s">
        <v>3483</v>
      </c>
      <c r="E13" s="2987" t="s">
        <v>4915</v>
      </c>
      <c r="F13" s="2987">
        <v>1</v>
      </c>
      <c r="G13" s="2987">
        <v>601</v>
      </c>
      <c r="H13" s="2987" t="s">
        <v>4926</v>
      </c>
      <c r="I13" s="2987" t="s">
        <v>3486</v>
      </c>
      <c r="J13" s="2987" t="s">
        <v>3501</v>
      </c>
      <c r="K13" s="2988">
        <v>133.38999999999999</v>
      </c>
    </row>
    <row r="14" spans="2:12" ht="18" customHeight="1">
      <c r="B14" s="2986">
        <v>1420</v>
      </c>
      <c r="C14" s="2987" t="s">
        <v>3482</v>
      </c>
      <c r="D14" s="2987" t="s">
        <v>3483</v>
      </c>
      <c r="E14" s="2987" t="s">
        <v>4915</v>
      </c>
      <c r="F14" s="2987">
        <v>1</v>
      </c>
      <c r="G14" s="2987">
        <v>602</v>
      </c>
      <c r="H14" s="2987" t="s">
        <v>4927</v>
      </c>
      <c r="I14" s="2987" t="s">
        <v>3486</v>
      </c>
      <c r="J14" s="2987" t="s">
        <v>3501</v>
      </c>
      <c r="K14" s="2988">
        <v>133.38999999999999</v>
      </c>
    </row>
    <row r="15" spans="2:12" ht="18" customHeight="1">
      <c r="B15" s="2986">
        <v>1421</v>
      </c>
      <c r="C15" s="2987" t="s">
        <v>3482</v>
      </c>
      <c r="D15" s="2987" t="s">
        <v>3483</v>
      </c>
      <c r="E15" s="2987" t="s">
        <v>4915</v>
      </c>
      <c r="F15" s="2987">
        <v>2</v>
      </c>
      <c r="G15" s="2987">
        <v>101</v>
      </c>
      <c r="H15" s="2987" t="s">
        <v>4928</v>
      </c>
      <c r="I15" s="2987" t="s">
        <v>3486</v>
      </c>
      <c r="J15" s="2987" t="s">
        <v>3487</v>
      </c>
      <c r="K15" s="2988">
        <v>129.22999999999999</v>
      </c>
    </row>
    <row r="16" spans="2:12" ht="18" customHeight="1">
      <c r="B16" s="2986">
        <v>1422</v>
      </c>
      <c r="C16" s="2987" t="s">
        <v>3482</v>
      </c>
      <c r="D16" s="2987" t="s">
        <v>3483</v>
      </c>
      <c r="E16" s="2987" t="s">
        <v>4915</v>
      </c>
      <c r="F16" s="2987">
        <v>2</v>
      </c>
      <c r="G16" s="2987">
        <v>102</v>
      </c>
      <c r="H16" s="2987" t="s">
        <v>4929</v>
      </c>
      <c r="I16" s="2987" t="s">
        <v>3486</v>
      </c>
      <c r="J16" s="2987" t="s">
        <v>3487</v>
      </c>
      <c r="K16" s="2988">
        <v>129.22999999999999</v>
      </c>
    </row>
    <row r="17" spans="2:11" ht="18" customHeight="1">
      <c r="B17" s="2986">
        <v>1423</v>
      </c>
      <c r="C17" s="2987" t="s">
        <v>3482</v>
      </c>
      <c r="D17" s="2987" t="s">
        <v>3483</v>
      </c>
      <c r="E17" s="2987" t="s">
        <v>4915</v>
      </c>
      <c r="F17" s="2987">
        <v>2</v>
      </c>
      <c r="G17" s="2987">
        <v>201</v>
      </c>
      <c r="H17" s="2987" t="s">
        <v>4930</v>
      </c>
      <c r="I17" s="2987" t="s">
        <v>3486</v>
      </c>
      <c r="J17" s="2987" t="s">
        <v>3490</v>
      </c>
      <c r="K17" s="2988">
        <v>134.74</v>
      </c>
    </row>
    <row r="18" spans="2:11" ht="18" customHeight="1">
      <c r="B18" s="2986">
        <v>1424</v>
      </c>
      <c r="C18" s="2987" t="s">
        <v>3482</v>
      </c>
      <c r="D18" s="2987" t="s">
        <v>3483</v>
      </c>
      <c r="E18" s="2987" t="s">
        <v>4915</v>
      </c>
      <c r="F18" s="2987">
        <v>2</v>
      </c>
      <c r="G18" s="2987">
        <v>202</v>
      </c>
      <c r="H18" s="2987" t="s">
        <v>4931</v>
      </c>
      <c r="I18" s="2987" t="s">
        <v>3486</v>
      </c>
      <c r="J18" s="2987" t="s">
        <v>3490</v>
      </c>
      <c r="K18" s="2988">
        <v>134.74</v>
      </c>
    </row>
    <row r="19" spans="2:11" ht="18" customHeight="1">
      <c r="B19" s="2986">
        <v>1425</v>
      </c>
      <c r="C19" s="2987" t="s">
        <v>3482</v>
      </c>
      <c r="D19" s="2987" t="s">
        <v>3483</v>
      </c>
      <c r="E19" s="2987" t="s">
        <v>4915</v>
      </c>
      <c r="F19" s="2987">
        <v>2</v>
      </c>
      <c r="G19" s="2987">
        <v>301</v>
      </c>
      <c r="H19" s="2987" t="s">
        <v>4932</v>
      </c>
      <c r="I19" s="2987" t="s">
        <v>3486</v>
      </c>
      <c r="J19" s="2987" t="s">
        <v>3493</v>
      </c>
      <c r="K19" s="2988">
        <v>129.1</v>
      </c>
    </row>
    <row r="20" spans="2:11" ht="18" customHeight="1">
      <c r="B20" s="2986">
        <v>1426</v>
      </c>
      <c r="C20" s="2987" t="s">
        <v>3482</v>
      </c>
      <c r="D20" s="2987" t="s">
        <v>3483</v>
      </c>
      <c r="E20" s="2987" t="s">
        <v>4915</v>
      </c>
      <c r="F20" s="2987">
        <v>2</v>
      </c>
      <c r="G20" s="2987">
        <v>302</v>
      </c>
      <c r="H20" s="2987" t="s">
        <v>4933</v>
      </c>
      <c r="I20" s="2987" t="s">
        <v>3486</v>
      </c>
      <c r="J20" s="2987" t="s">
        <v>3493</v>
      </c>
      <c r="K20" s="2988">
        <v>129.1</v>
      </c>
    </row>
    <row r="21" spans="2:11" ht="18" customHeight="1">
      <c r="B21" s="2986">
        <v>1427</v>
      </c>
      <c r="C21" s="2987" t="s">
        <v>3482</v>
      </c>
      <c r="D21" s="2987" t="s">
        <v>3483</v>
      </c>
      <c r="E21" s="2987" t="s">
        <v>4915</v>
      </c>
      <c r="F21" s="2987">
        <v>2</v>
      </c>
      <c r="G21" s="2987">
        <v>401</v>
      </c>
      <c r="H21" s="2987" t="s">
        <v>4934</v>
      </c>
      <c r="I21" s="2987" t="s">
        <v>3486</v>
      </c>
      <c r="J21" s="2987" t="s">
        <v>3496</v>
      </c>
      <c r="K21" s="2988">
        <v>129.1</v>
      </c>
    </row>
    <row r="22" spans="2:11" ht="18" customHeight="1">
      <c r="B22" s="2986">
        <v>1428</v>
      </c>
      <c r="C22" s="2987" t="s">
        <v>3482</v>
      </c>
      <c r="D22" s="2987" t="s">
        <v>3483</v>
      </c>
      <c r="E22" s="2987" t="s">
        <v>4915</v>
      </c>
      <c r="F22" s="2987">
        <v>2</v>
      </c>
      <c r="G22" s="2987">
        <v>402</v>
      </c>
      <c r="H22" s="2987" t="s">
        <v>4935</v>
      </c>
      <c r="I22" s="2987" t="s">
        <v>3486</v>
      </c>
      <c r="J22" s="2987" t="s">
        <v>3496</v>
      </c>
      <c r="K22" s="2988">
        <v>129.1</v>
      </c>
    </row>
    <row r="23" spans="2:11" ht="18" customHeight="1">
      <c r="B23" s="2986">
        <v>1429</v>
      </c>
      <c r="C23" s="2987" t="s">
        <v>3482</v>
      </c>
      <c r="D23" s="2987" t="s">
        <v>3483</v>
      </c>
      <c r="E23" s="2987" t="s">
        <v>4915</v>
      </c>
      <c r="F23" s="2987">
        <v>2</v>
      </c>
      <c r="G23" s="2987">
        <v>501</v>
      </c>
      <c r="H23" s="2987" t="s">
        <v>4936</v>
      </c>
      <c r="I23" s="2987" t="s">
        <v>3486</v>
      </c>
      <c r="J23" s="2987" t="s">
        <v>3496</v>
      </c>
      <c r="K23" s="2988">
        <v>129.1</v>
      </c>
    </row>
    <row r="24" spans="2:11" ht="18" customHeight="1">
      <c r="B24" s="2986">
        <v>1430</v>
      </c>
      <c r="C24" s="2987" t="s">
        <v>3482</v>
      </c>
      <c r="D24" s="2987" t="s">
        <v>3483</v>
      </c>
      <c r="E24" s="2987" t="s">
        <v>4915</v>
      </c>
      <c r="F24" s="2987">
        <v>2</v>
      </c>
      <c r="G24" s="2987">
        <v>502</v>
      </c>
      <c r="H24" s="2987" t="s">
        <v>4937</v>
      </c>
      <c r="I24" s="2987" t="s">
        <v>3486</v>
      </c>
      <c r="J24" s="2987" t="s">
        <v>3496</v>
      </c>
      <c r="K24" s="2988">
        <v>129.1</v>
      </c>
    </row>
    <row r="25" spans="2:11" ht="18" customHeight="1">
      <c r="B25" s="2986">
        <v>1431</v>
      </c>
      <c r="C25" s="2987" t="s">
        <v>3482</v>
      </c>
      <c r="D25" s="2987" t="s">
        <v>3483</v>
      </c>
      <c r="E25" s="2987" t="s">
        <v>4915</v>
      </c>
      <c r="F25" s="2987">
        <v>2</v>
      </c>
      <c r="G25" s="2987">
        <v>601</v>
      </c>
      <c r="H25" s="2987" t="s">
        <v>4938</v>
      </c>
      <c r="I25" s="2987" t="s">
        <v>3486</v>
      </c>
      <c r="J25" s="2987" t="s">
        <v>3501</v>
      </c>
      <c r="K25" s="2988">
        <v>133.38999999999999</v>
      </c>
    </row>
    <row r="26" spans="2:11" ht="18" customHeight="1">
      <c r="B26" s="2986">
        <v>1432</v>
      </c>
      <c r="C26" s="2987" t="s">
        <v>3482</v>
      </c>
      <c r="D26" s="2987" t="s">
        <v>3483</v>
      </c>
      <c r="E26" s="2987" t="s">
        <v>4915</v>
      </c>
      <c r="F26" s="2987">
        <v>2</v>
      </c>
      <c r="G26" s="2987">
        <v>602</v>
      </c>
      <c r="H26" s="2987" t="s">
        <v>4939</v>
      </c>
      <c r="I26" s="2987" t="s">
        <v>3486</v>
      </c>
      <c r="J26" s="2987" t="s">
        <v>3501</v>
      </c>
      <c r="K26" s="2988">
        <v>133.38999999999999</v>
      </c>
    </row>
    <row r="27" spans="2:11" s="3021" customFormat="1" ht="18" customHeight="1">
      <c r="B27" s="3018"/>
      <c r="C27" s="3019"/>
      <c r="D27" s="3019"/>
      <c r="E27" s="3019"/>
      <c r="F27" s="3019"/>
      <c r="G27" s="3019"/>
      <c r="H27" s="3019"/>
      <c r="I27" s="3019"/>
      <c r="J27" s="3019"/>
      <c r="K27" s="3020">
        <f>SUM(K3:K26)</f>
        <v>3138.639999999999</v>
      </c>
    </row>
    <row r="28" spans="2:11" ht="18" customHeight="1">
      <c r="B28" s="2986">
        <v>1</v>
      </c>
      <c r="C28" s="2987" t="s">
        <v>3482</v>
      </c>
      <c r="D28" s="2987" t="s">
        <v>3483</v>
      </c>
      <c r="E28" s="2987" t="s">
        <v>3484</v>
      </c>
      <c r="F28" s="2987">
        <v>1</v>
      </c>
      <c r="G28" s="2987">
        <v>101</v>
      </c>
      <c r="H28" s="2987" t="s">
        <v>3485</v>
      </c>
      <c r="I28" s="2987" t="s">
        <v>3486</v>
      </c>
      <c r="J28" s="2987" t="s">
        <v>3487</v>
      </c>
      <c r="K28" s="2988">
        <v>129.22999999999999</v>
      </c>
    </row>
    <row r="29" spans="2:11" ht="18" customHeight="1">
      <c r="B29" s="2986">
        <v>2</v>
      </c>
      <c r="C29" s="2987" t="s">
        <v>3482</v>
      </c>
      <c r="D29" s="2987" t="s">
        <v>3483</v>
      </c>
      <c r="E29" s="2987" t="s">
        <v>3484</v>
      </c>
      <c r="F29" s="2987">
        <v>1</v>
      </c>
      <c r="G29" s="2987">
        <v>102</v>
      </c>
      <c r="H29" s="2987" t="s">
        <v>3488</v>
      </c>
      <c r="I29" s="2987" t="s">
        <v>3486</v>
      </c>
      <c r="J29" s="2987" t="s">
        <v>3487</v>
      </c>
      <c r="K29" s="2988">
        <v>129.22999999999999</v>
      </c>
    </row>
    <row r="30" spans="2:11" ht="18" customHeight="1">
      <c r="B30" s="2986">
        <v>3</v>
      </c>
      <c r="C30" s="2987" t="s">
        <v>3482</v>
      </c>
      <c r="D30" s="2987" t="s">
        <v>3483</v>
      </c>
      <c r="E30" s="2987" t="s">
        <v>3484</v>
      </c>
      <c r="F30" s="2987">
        <v>1</v>
      </c>
      <c r="G30" s="2987">
        <v>201</v>
      </c>
      <c r="H30" s="2987" t="s">
        <v>3489</v>
      </c>
      <c r="I30" s="2987" t="s">
        <v>3486</v>
      </c>
      <c r="J30" s="2987" t="s">
        <v>3490</v>
      </c>
      <c r="K30" s="2988">
        <v>134.74</v>
      </c>
    </row>
    <row r="31" spans="2:11" ht="18" customHeight="1">
      <c r="B31" s="2986">
        <v>4</v>
      </c>
      <c r="C31" s="2987" t="s">
        <v>3482</v>
      </c>
      <c r="D31" s="2987" t="s">
        <v>3483</v>
      </c>
      <c r="E31" s="2987" t="s">
        <v>3484</v>
      </c>
      <c r="F31" s="2987">
        <v>1</v>
      </c>
      <c r="G31" s="2987">
        <v>202</v>
      </c>
      <c r="H31" s="2987" t="s">
        <v>3491</v>
      </c>
      <c r="I31" s="2987" t="s">
        <v>3486</v>
      </c>
      <c r="J31" s="2987" t="s">
        <v>3490</v>
      </c>
      <c r="K31" s="2988">
        <v>134.74</v>
      </c>
    </row>
    <row r="32" spans="2:11" ht="18" customHeight="1">
      <c r="B32" s="2986">
        <v>5</v>
      </c>
      <c r="C32" s="2987" t="s">
        <v>3482</v>
      </c>
      <c r="D32" s="2987" t="s">
        <v>3483</v>
      </c>
      <c r="E32" s="2987" t="s">
        <v>3484</v>
      </c>
      <c r="F32" s="2987">
        <v>1</v>
      </c>
      <c r="G32" s="2987">
        <v>301</v>
      </c>
      <c r="H32" s="2987" t="s">
        <v>3492</v>
      </c>
      <c r="I32" s="2987" t="s">
        <v>3486</v>
      </c>
      <c r="J32" s="2987" t="s">
        <v>3493</v>
      </c>
      <c r="K32" s="2988">
        <v>129.1</v>
      </c>
    </row>
    <row r="33" spans="2:11" ht="18" customHeight="1">
      <c r="B33" s="2986">
        <v>6</v>
      </c>
      <c r="C33" s="2987" t="s">
        <v>3482</v>
      </c>
      <c r="D33" s="2987" t="s">
        <v>3483</v>
      </c>
      <c r="E33" s="2987" t="s">
        <v>3484</v>
      </c>
      <c r="F33" s="2987">
        <v>1</v>
      </c>
      <c r="G33" s="2987">
        <v>302</v>
      </c>
      <c r="H33" s="2987" t="s">
        <v>3494</v>
      </c>
      <c r="I33" s="2987" t="s">
        <v>3486</v>
      </c>
      <c r="J33" s="2987" t="s">
        <v>3493</v>
      </c>
      <c r="K33" s="2988">
        <v>129.1</v>
      </c>
    </row>
    <row r="34" spans="2:11" ht="18" customHeight="1">
      <c r="B34" s="2986">
        <v>7</v>
      </c>
      <c r="C34" s="2987" t="s">
        <v>3482</v>
      </c>
      <c r="D34" s="2987" t="s">
        <v>3483</v>
      </c>
      <c r="E34" s="2987" t="s">
        <v>3484</v>
      </c>
      <c r="F34" s="2987">
        <v>1</v>
      </c>
      <c r="G34" s="2987">
        <v>401</v>
      </c>
      <c r="H34" s="2987" t="s">
        <v>3495</v>
      </c>
      <c r="I34" s="2987" t="s">
        <v>3486</v>
      </c>
      <c r="J34" s="2987" t="s">
        <v>3496</v>
      </c>
      <c r="K34" s="2988">
        <v>129.1</v>
      </c>
    </row>
    <row r="35" spans="2:11" ht="18" customHeight="1">
      <c r="B35" s="2986">
        <v>8</v>
      </c>
      <c r="C35" s="2987" t="s">
        <v>3482</v>
      </c>
      <c r="D35" s="2987" t="s">
        <v>3483</v>
      </c>
      <c r="E35" s="2987" t="s">
        <v>3484</v>
      </c>
      <c r="F35" s="2987">
        <v>1</v>
      </c>
      <c r="G35" s="2987">
        <v>402</v>
      </c>
      <c r="H35" s="2987" t="s">
        <v>3497</v>
      </c>
      <c r="I35" s="2987" t="s">
        <v>3486</v>
      </c>
      <c r="J35" s="2987" t="s">
        <v>3496</v>
      </c>
      <c r="K35" s="2988">
        <v>129.1</v>
      </c>
    </row>
    <row r="36" spans="2:11" ht="18" customHeight="1">
      <c r="B36" s="2986">
        <v>9</v>
      </c>
      <c r="C36" s="2987" t="s">
        <v>3482</v>
      </c>
      <c r="D36" s="2987" t="s">
        <v>3483</v>
      </c>
      <c r="E36" s="2987" t="s">
        <v>3484</v>
      </c>
      <c r="F36" s="2987">
        <v>1</v>
      </c>
      <c r="G36" s="2987">
        <v>501</v>
      </c>
      <c r="H36" s="2987" t="s">
        <v>3498</v>
      </c>
      <c r="I36" s="2987" t="s">
        <v>3486</v>
      </c>
      <c r="J36" s="2987" t="s">
        <v>3496</v>
      </c>
      <c r="K36" s="2988">
        <v>129.1</v>
      </c>
    </row>
    <row r="37" spans="2:11" ht="18" customHeight="1">
      <c r="B37" s="2986">
        <v>10</v>
      </c>
      <c r="C37" s="2987" t="s">
        <v>3482</v>
      </c>
      <c r="D37" s="2987" t="s">
        <v>3483</v>
      </c>
      <c r="E37" s="2987" t="s">
        <v>3484</v>
      </c>
      <c r="F37" s="2987">
        <v>1</v>
      </c>
      <c r="G37" s="2987">
        <v>502</v>
      </c>
      <c r="H37" s="2987" t="s">
        <v>3499</v>
      </c>
      <c r="I37" s="2987" t="s">
        <v>3486</v>
      </c>
      <c r="J37" s="2987" t="s">
        <v>3496</v>
      </c>
      <c r="K37" s="2988">
        <v>129.1</v>
      </c>
    </row>
    <row r="38" spans="2:11" ht="18" customHeight="1">
      <c r="B38" s="2986">
        <v>11</v>
      </c>
      <c r="C38" s="2987" t="s">
        <v>3482</v>
      </c>
      <c r="D38" s="2987" t="s">
        <v>3483</v>
      </c>
      <c r="E38" s="2987" t="s">
        <v>3484</v>
      </c>
      <c r="F38" s="2987">
        <v>1</v>
      </c>
      <c r="G38" s="2987">
        <v>601</v>
      </c>
      <c r="H38" s="2987" t="s">
        <v>3500</v>
      </c>
      <c r="I38" s="2987" t="s">
        <v>3486</v>
      </c>
      <c r="J38" s="2987" t="s">
        <v>3501</v>
      </c>
      <c r="K38" s="2988">
        <v>133.38999999999999</v>
      </c>
    </row>
    <row r="39" spans="2:11" ht="18" customHeight="1">
      <c r="B39" s="2986">
        <v>12</v>
      </c>
      <c r="C39" s="2987" t="s">
        <v>3482</v>
      </c>
      <c r="D39" s="2987" t="s">
        <v>3483</v>
      </c>
      <c r="E39" s="2987" t="s">
        <v>3484</v>
      </c>
      <c r="F39" s="2987">
        <v>1</v>
      </c>
      <c r="G39" s="2987">
        <v>602</v>
      </c>
      <c r="H39" s="2987" t="s">
        <v>3502</v>
      </c>
      <c r="I39" s="2987" t="s">
        <v>3486</v>
      </c>
      <c r="J39" s="2987" t="s">
        <v>3501</v>
      </c>
      <c r="K39" s="2988">
        <v>133.38999999999999</v>
      </c>
    </row>
    <row r="40" spans="2:11" ht="18" customHeight="1">
      <c r="B40" s="2986">
        <v>13</v>
      </c>
      <c r="C40" s="2987" t="s">
        <v>3482</v>
      </c>
      <c r="D40" s="2987" t="s">
        <v>3483</v>
      </c>
      <c r="E40" s="2987" t="s">
        <v>3484</v>
      </c>
      <c r="F40" s="2987">
        <v>2</v>
      </c>
      <c r="G40" s="2987">
        <v>101</v>
      </c>
      <c r="H40" s="2987" t="s">
        <v>3503</v>
      </c>
      <c r="I40" s="2987" t="s">
        <v>3486</v>
      </c>
      <c r="J40" s="2987" t="s">
        <v>3487</v>
      </c>
      <c r="K40" s="2988">
        <v>129.22999999999999</v>
      </c>
    </row>
    <row r="41" spans="2:11" ht="18" customHeight="1">
      <c r="B41" s="2986">
        <v>14</v>
      </c>
      <c r="C41" s="2987" t="s">
        <v>3482</v>
      </c>
      <c r="D41" s="2987" t="s">
        <v>3483</v>
      </c>
      <c r="E41" s="2987" t="s">
        <v>3484</v>
      </c>
      <c r="F41" s="2987">
        <v>2</v>
      </c>
      <c r="G41" s="2987">
        <v>102</v>
      </c>
      <c r="H41" s="2987" t="s">
        <v>3504</v>
      </c>
      <c r="I41" s="2987" t="s">
        <v>3486</v>
      </c>
      <c r="J41" s="2987" t="s">
        <v>3487</v>
      </c>
      <c r="K41" s="2988">
        <v>129.22999999999999</v>
      </c>
    </row>
    <row r="42" spans="2:11" ht="18" customHeight="1">
      <c r="B42" s="2986">
        <v>15</v>
      </c>
      <c r="C42" s="2987" t="s">
        <v>3482</v>
      </c>
      <c r="D42" s="2987" t="s">
        <v>3483</v>
      </c>
      <c r="E42" s="2987" t="s">
        <v>3484</v>
      </c>
      <c r="F42" s="2987">
        <v>2</v>
      </c>
      <c r="G42" s="2987">
        <v>201</v>
      </c>
      <c r="H42" s="2987" t="s">
        <v>3505</v>
      </c>
      <c r="I42" s="2987" t="s">
        <v>3486</v>
      </c>
      <c r="J42" s="2987" t="s">
        <v>3490</v>
      </c>
      <c r="K42" s="2988">
        <v>134.74</v>
      </c>
    </row>
    <row r="43" spans="2:11" ht="18" customHeight="1">
      <c r="B43" s="2986">
        <v>16</v>
      </c>
      <c r="C43" s="2987" t="s">
        <v>3482</v>
      </c>
      <c r="D43" s="2987" t="s">
        <v>3483</v>
      </c>
      <c r="E43" s="2987" t="s">
        <v>3484</v>
      </c>
      <c r="F43" s="2987">
        <v>2</v>
      </c>
      <c r="G43" s="2987">
        <v>202</v>
      </c>
      <c r="H43" s="2987" t="s">
        <v>3506</v>
      </c>
      <c r="I43" s="2987" t="s">
        <v>3486</v>
      </c>
      <c r="J43" s="2987" t="s">
        <v>3490</v>
      </c>
      <c r="K43" s="2988">
        <v>134.74</v>
      </c>
    </row>
    <row r="44" spans="2:11" ht="18" customHeight="1">
      <c r="B44" s="2986">
        <v>17</v>
      </c>
      <c r="C44" s="2987" t="s">
        <v>3482</v>
      </c>
      <c r="D44" s="2987" t="s">
        <v>3483</v>
      </c>
      <c r="E44" s="2987" t="s">
        <v>3484</v>
      </c>
      <c r="F44" s="2987">
        <v>2</v>
      </c>
      <c r="G44" s="2987">
        <v>301</v>
      </c>
      <c r="H44" s="2987" t="s">
        <v>3507</v>
      </c>
      <c r="I44" s="2987" t="s">
        <v>3486</v>
      </c>
      <c r="J44" s="2987" t="s">
        <v>3493</v>
      </c>
      <c r="K44" s="2988">
        <v>129.1</v>
      </c>
    </row>
    <row r="45" spans="2:11" ht="18" customHeight="1">
      <c r="B45" s="2986">
        <v>18</v>
      </c>
      <c r="C45" s="2987" t="s">
        <v>3482</v>
      </c>
      <c r="D45" s="2987" t="s">
        <v>3483</v>
      </c>
      <c r="E45" s="2987" t="s">
        <v>3484</v>
      </c>
      <c r="F45" s="2987">
        <v>2</v>
      </c>
      <c r="G45" s="2987">
        <v>302</v>
      </c>
      <c r="H45" s="2987" t="s">
        <v>3508</v>
      </c>
      <c r="I45" s="2987" t="s">
        <v>3486</v>
      </c>
      <c r="J45" s="2987" t="s">
        <v>3493</v>
      </c>
      <c r="K45" s="2988">
        <v>129.1</v>
      </c>
    </row>
    <row r="46" spans="2:11" ht="18" customHeight="1">
      <c r="B46" s="2986">
        <v>19</v>
      </c>
      <c r="C46" s="2987" t="s">
        <v>3482</v>
      </c>
      <c r="D46" s="2987" t="s">
        <v>3483</v>
      </c>
      <c r="E46" s="2987" t="s">
        <v>3484</v>
      </c>
      <c r="F46" s="2987">
        <v>2</v>
      </c>
      <c r="G46" s="2987">
        <v>401</v>
      </c>
      <c r="H46" s="2987" t="s">
        <v>3509</v>
      </c>
      <c r="I46" s="2987" t="s">
        <v>3486</v>
      </c>
      <c r="J46" s="2987" t="s">
        <v>3496</v>
      </c>
      <c r="K46" s="2988">
        <v>129.1</v>
      </c>
    </row>
    <row r="47" spans="2:11" ht="18" customHeight="1">
      <c r="B47" s="2986">
        <v>20</v>
      </c>
      <c r="C47" s="2987" t="s">
        <v>3482</v>
      </c>
      <c r="D47" s="2987" t="s">
        <v>3483</v>
      </c>
      <c r="E47" s="2987" t="s">
        <v>3484</v>
      </c>
      <c r="F47" s="2987">
        <v>2</v>
      </c>
      <c r="G47" s="2987">
        <v>402</v>
      </c>
      <c r="H47" s="2987" t="s">
        <v>3510</v>
      </c>
      <c r="I47" s="2987" t="s">
        <v>3486</v>
      </c>
      <c r="J47" s="2987" t="s">
        <v>3496</v>
      </c>
      <c r="K47" s="2988">
        <v>129.1</v>
      </c>
    </row>
    <row r="48" spans="2:11" ht="18" customHeight="1">
      <c r="B48" s="2986">
        <v>21</v>
      </c>
      <c r="C48" s="2987" t="s">
        <v>3482</v>
      </c>
      <c r="D48" s="2987" t="s">
        <v>3483</v>
      </c>
      <c r="E48" s="2987" t="s">
        <v>3484</v>
      </c>
      <c r="F48" s="2987">
        <v>2</v>
      </c>
      <c r="G48" s="2987">
        <v>501</v>
      </c>
      <c r="H48" s="2987" t="s">
        <v>3511</v>
      </c>
      <c r="I48" s="2987" t="s">
        <v>3486</v>
      </c>
      <c r="J48" s="2987" t="s">
        <v>3496</v>
      </c>
      <c r="K48" s="2988">
        <v>129.1</v>
      </c>
    </row>
    <row r="49" spans="2:11" ht="18" customHeight="1">
      <c r="B49" s="2986">
        <v>22</v>
      </c>
      <c r="C49" s="2987" t="s">
        <v>3482</v>
      </c>
      <c r="D49" s="2987" t="s">
        <v>3483</v>
      </c>
      <c r="E49" s="2987" t="s">
        <v>3484</v>
      </c>
      <c r="F49" s="2987">
        <v>2</v>
      </c>
      <c r="G49" s="2987">
        <v>502</v>
      </c>
      <c r="H49" s="2987" t="s">
        <v>3512</v>
      </c>
      <c r="I49" s="2987" t="s">
        <v>3486</v>
      </c>
      <c r="J49" s="2987" t="s">
        <v>3496</v>
      </c>
      <c r="K49" s="2988">
        <v>129.1</v>
      </c>
    </row>
    <row r="50" spans="2:11" ht="18" customHeight="1">
      <c r="B50" s="2986">
        <v>23</v>
      </c>
      <c r="C50" s="2987" t="s">
        <v>3482</v>
      </c>
      <c r="D50" s="2987" t="s">
        <v>3483</v>
      </c>
      <c r="E50" s="2987" t="s">
        <v>3484</v>
      </c>
      <c r="F50" s="2987">
        <v>2</v>
      </c>
      <c r="G50" s="2987">
        <v>601</v>
      </c>
      <c r="H50" s="2987" t="s">
        <v>3513</v>
      </c>
      <c r="I50" s="2987" t="s">
        <v>3486</v>
      </c>
      <c r="J50" s="2987" t="s">
        <v>3501</v>
      </c>
      <c r="K50" s="2988">
        <v>133.38999999999999</v>
      </c>
    </row>
    <row r="51" spans="2:11" ht="18" customHeight="1">
      <c r="B51" s="2986">
        <v>24</v>
      </c>
      <c r="C51" s="2987" t="s">
        <v>3482</v>
      </c>
      <c r="D51" s="2987" t="s">
        <v>3483</v>
      </c>
      <c r="E51" s="2987" t="s">
        <v>3484</v>
      </c>
      <c r="F51" s="2987">
        <v>2</v>
      </c>
      <c r="G51" s="2987">
        <v>602</v>
      </c>
      <c r="H51" s="2987" t="s">
        <v>3514</v>
      </c>
      <c r="I51" s="2987" t="s">
        <v>3486</v>
      </c>
      <c r="J51" s="2987" t="s">
        <v>3501</v>
      </c>
      <c r="K51" s="2988">
        <v>133.38999999999999</v>
      </c>
    </row>
    <row r="52" spans="2:11" s="3021" customFormat="1" ht="18" customHeight="1">
      <c r="B52" s="3018"/>
      <c r="C52" s="3019"/>
      <c r="D52" s="3019"/>
      <c r="E52" s="3019"/>
      <c r="F52" s="3019"/>
      <c r="G52" s="3019"/>
      <c r="H52" s="3019"/>
      <c r="I52" s="3019"/>
      <c r="J52" s="3019"/>
      <c r="K52" s="3020">
        <f>SUM(K28:K51)</f>
        <v>3138.639999999999</v>
      </c>
    </row>
    <row r="53" spans="2:11" ht="18" customHeight="1">
      <c r="B53" s="2986">
        <v>25</v>
      </c>
      <c r="C53" s="2987" t="s">
        <v>3482</v>
      </c>
      <c r="D53" s="2987" t="s">
        <v>3483</v>
      </c>
      <c r="E53" s="2987" t="s">
        <v>3515</v>
      </c>
      <c r="F53" s="2987">
        <v>1</v>
      </c>
      <c r="G53" s="2987">
        <v>101</v>
      </c>
      <c r="H53" s="2987" t="s">
        <v>3516</v>
      </c>
      <c r="I53" s="2987" t="s">
        <v>3486</v>
      </c>
      <c r="J53" s="2987" t="s">
        <v>3487</v>
      </c>
      <c r="K53" s="2988">
        <v>129.22999999999999</v>
      </c>
    </row>
    <row r="54" spans="2:11" ht="18" customHeight="1">
      <c r="B54" s="2986">
        <v>26</v>
      </c>
      <c r="C54" s="2987" t="s">
        <v>3482</v>
      </c>
      <c r="D54" s="2987" t="s">
        <v>3483</v>
      </c>
      <c r="E54" s="2987" t="s">
        <v>3515</v>
      </c>
      <c r="F54" s="2987">
        <v>1</v>
      </c>
      <c r="G54" s="2987">
        <v>102</v>
      </c>
      <c r="H54" s="2987" t="s">
        <v>3517</v>
      </c>
      <c r="I54" s="2987" t="s">
        <v>3486</v>
      </c>
      <c r="J54" s="2987" t="s">
        <v>3487</v>
      </c>
      <c r="K54" s="2988">
        <v>129.22999999999999</v>
      </c>
    </row>
    <row r="55" spans="2:11" ht="18" customHeight="1">
      <c r="B55" s="2986">
        <v>27</v>
      </c>
      <c r="C55" s="2987" t="s">
        <v>3482</v>
      </c>
      <c r="D55" s="2987" t="s">
        <v>3483</v>
      </c>
      <c r="E55" s="2987" t="s">
        <v>3515</v>
      </c>
      <c r="F55" s="2987">
        <v>1</v>
      </c>
      <c r="G55" s="2987">
        <v>201</v>
      </c>
      <c r="H55" s="2987" t="s">
        <v>3518</v>
      </c>
      <c r="I55" s="2987" t="s">
        <v>3486</v>
      </c>
      <c r="J55" s="2987" t="s">
        <v>3490</v>
      </c>
      <c r="K55" s="2988">
        <v>134.74</v>
      </c>
    </row>
    <row r="56" spans="2:11" ht="18" customHeight="1">
      <c r="B56" s="2986">
        <v>28</v>
      </c>
      <c r="C56" s="2987" t="s">
        <v>3482</v>
      </c>
      <c r="D56" s="2987" t="s">
        <v>3483</v>
      </c>
      <c r="E56" s="2987" t="s">
        <v>3515</v>
      </c>
      <c r="F56" s="2987">
        <v>1</v>
      </c>
      <c r="G56" s="2987">
        <v>202</v>
      </c>
      <c r="H56" s="2987" t="s">
        <v>3519</v>
      </c>
      <c r="I56" s="2987" t="s">
        <v>3486</v>
      </c>
      <c r="J56" s="2987" t="s">
        <v>3490</v>
      </c>
      <c r="K56" s="2988">
        <v>134.74</v>
      </c>
    </row>
    <row r="57" spans="2:11" ht="18" customHeight="1">
      <c r="B57" s="2986">
        <v>29</v>
      </c>
      <c r="C57" s="2987" t="s">
        <v>3482</v>
      </c>
      <c r="D57" s="2987" t="s">
        <v>3483</v>
      </c>
      <c r="E57" s="2987" t="s">
        <v>3515</v>
      </c>
      <c r="F57" s="2987">
        <v>1</v>
      </c>
      <c r="G57" s="2987">
        <v>301</v>
      </c>
      <c r="H57" s="2987" t="s">
        <v>3520</v>
      </c>
      <c r="I57" s="2987" t="s">
        <v>3486</v>
      </c>
      <c r="J57" s="2987" t="s">
        <v>3493</v>
      </c>
      <c r="K57" s="2988">
        <v>129.1</v>
      </c>
    </row>
    <row r="58" spans="2:11" ht="18" customHeight="1">
      <c r="B58" s="2986">
        <v>30</v>
      </c>
      <c r="C58" s="2987" t="s">
        <v>3482</v>
      </c>
      <c r="D58" s="2987" t="s">
        <v>3483</v>
      </c>
      <c r="E58" s="2987" t="s">
        <v>3515</v>
      </c>
      <c r="F58" s="2987">
        <v>1</v>
      </c>
      <c r="G58" s="2987">
        <v>302</v>
      </c>
      <c r="H58" s="2987" t="s">
        <v>3521</v>
      </c>
      <c r="I58" s="2987" t="s">
        <v>3486</v>
      </c>
      <c r="J58" s="2987" t="s">
        <v>3493</v>
      </c>
      <c r="K58" s="2988">
        <v>129.1</v>
      </c>
    </row>
    <row r="59" spans="2:11" ht="18" customHeight="1">
      <c r="B59" s="2986">
        <v>31</v>
      </c>
      <c r="C59" s="2987" t="s">
        <v>3482</v>
      </c>
      <c r="D59" s="2987" t="s">
        <v>3483</v>
      </c>
      <c r="E59" s="2987" t="s">
        <v>3515</v>
      </c>
      <c r="F59" s="2987">
        <v>1</v>
      </c>
      <c r="G59" s="2987">
        <v>401</v>
      </c>
      <c r="H59" s="2987" t="s">
        <v>3522</v>
      </c>
      <c r="I59" s="2987" t="s">
        <v>3486</v>
      </c>
      <c r="J59" s="2987" t="s">
        <v>3496</v>
      </c>
      <c r="K59" s="2988">
        <v>129.1</v>
      </c>
    </row>
    <row r="60" spans="2:11" ht="18" customHeight="1">
      <c r="B60" s="2986">
        <v>32</v>
      </c>
      <c r="C60" s="2987" t="s">
        <v>3482</v>
      </c>
      <c r="D60" s="2987" t="s">
        <v>3483</v>
      </c>
      <c r="E60" s="2987" t="s">
        <v>3515</v>
      </c>
      <c r="F60" s="2987">
        <v>1</v>
      </c>
      <c r="G60" s="2987">
        <v>402</v>
      </c>
      <c r="H60" s="2987" t="s">
        <v>3523</v>
      </c>
      <c r="I60" s="2987" t="s">
        <v>3486</v>
      </c>
      <c r="J60" s="2987" t="s">
        <v>3496</v>
      </c>
      <c r="K60" s="2988">
        <v>129.1</v>
      </c>
    </row>
    <row r="61" spans="2:11" ht="18" customHeight="1">
      <c r="B61" s="2986">
        <v>33</v>
      </c>
      <c r="C61" s="2987" t="s">
        <v>3482</v>
      </c>
      <c r="D61" s="2987" t="s">
        <v>3483</v>
      </c>
      <c r="E61" s="2987" t="s">
        <v>3515</v>
      </c>
      <c r="F61" s="2987">
        <v>1</v>
      </c>
      <c r="G61" s="2987">
        <v>501</v>
      </c>
      <c r="H61" s="2987" t="s">
        <v>3524</v>
      </c>
      <c r="I61" s="2987" t="s">
        <v>3486</v>
      </c>
      <c r="J61" s="2987" t="s">
        <v>3496</v>
      </c>
      <c r="K61" s="2988">
        <v>129.1</v>
      </c>
    </row>
    <row r="62" spans="2:11" ht="18" customHeight="1">
      <c r="B62" s="2986">
        <v>34</v>
      </c>
      <c r="C62" s="2987" t="s">
        <v>3482</v>
      </c>
      <c r="D62" s="2987" t="s">
        <v>3483</v>
      </c>
      <c r="E62" s="2987" t="s">
        <v>3515</v>
      </c>
      <c r="F62" s="2987">
        <v>1</v>
      </c>
      <c r="G62" s="2987">
        <v>502</v>
      </c>
      <c r="H62" s="2987" t="s">
        <v>3525</v>
      </c>
      <c r="I62" s="2987" t="s">
        <v>3486</v>
      </c>
      <c r="J62" s="2987" t="s">
        <v>3496</v>
      </c>
      <c r="K62" s="2988">
        <v>129.1</v>
      </c>
    </row>
    <row r="63" spans="2:11" ht="18" customHeight="1">
      <c r="B63" s="2986">
        <v>35</v>
      </c>
      <c r="C63" s="2987" t="s">
        <v>3482</v>
      </c>
      <c r="D63" s="2987" t="s">
        <v>3483</v>
      </c>
      <c r="E63" s="2987" t="s">
        <v>3515</v>
      </c>
      <c r="F63" s="2987">
        <v>1</v>
      </c>
      <c r="G63" s="2987">
        <v>601</v>
      </c>
      <c r="H63" s="2987" t="s">
        <v>3526</v>
      </c>
      <c r="I63" s="2987" t="s">
        <v>3486</v>
      </c>
      <c r="J63" s="2987" t="s">
        <v>3501</v>
      </c>
      <c r="K63" s="2988">
        <v>133.38999999999999</v>
      </c>
    </row>
    <row r="64" spans="2:11" ht="18" customHeight="1">
      <c r="B64" s="2986">
        <v>36</v>
      </c>
      <c r="C64" s="2987" t="s">
        <v>3482</v>
      </c>
      <c r="D64" s="2987" t="s">
        <v>3483</v>
      </c>
      <c r="E64" s="2987" t="s">
        <v>3515</v>
      </c>
      <c r="F64" s="2987">
        <v>1</v>
      </c>
      <c r="G64" s="2987">
        <v>602</v>
      </c>
      <c r="H64" s="2987" t="s">
        <v>3527</v>
      </c>
      <c r="I64" s="2987" t="s">
        <v>3486</v>
      </c>
      <c r="J64" s="2987" t="s">
        <v>3501</v>
      </c>
      <c r="K64" s="2988">
        <v>133.38999999999999</v>
      </c>
    </row>
    <row r="65" spans="2:11" ht="18" customHeight="1">
      <c r="B65" s="2986">
        <v>37</v>
      </c>
      <c r="C65" s="2987" t="s">
        <v>3482</v>
      </c>
      <c r="D65" s="2987" t="s">
        <v>3483</v>
      </c>
      <c r="E65" s="2987" t="s">
        <v>3515</v>
      </c>
      <c r="F65" s="2987">
        <v>2</v>
      </c>
      <c r="G65" s="2987">
        <v>101</v>
      </c>
      <c r="H65" s="2987" t="s">
        <v>3528</v>
      </c>
      <c r="I65" s="2987" t="s">
        <v>3486</v>
      </c>
      <c r="J65" s="2987" t="s">
        <v>3487</v>
      </c>
      <c r="K65" s="2988">
        <v>129.22999999999999</v>
      </c>
    </row>
    <row r="66" spans="2:11" ht="18" customHeight="1">
      <c r="B66" s="2986">
        <v>38</v>
      </c>
      <c r="C66" s="2987" t="s">
        <v>3482</v>
      </c>
      <c r="D66" s="2987" t="s">
        <v>3483</v>
      </c>
      <c r="E66" s="2987" t="s">
        <v>3515</v>
      </c>
      <c r="F66" s="2987">
        <v>2</v>
      </c>
      <c r="G66" s="2987">
        <v>102</v>
      </c>
      <c r="H66" s="2987" t="s">
        <v>3529</v>
      </c>
      <c r="I66" s="2987" t="s">
        <v>3486</v>
      </c>
      <c r="J66" s="2987" t="s">
        <v>3487</v>
      </c>
      <c r="K66" s="2988">
        <v>129.22999999999999</v>
      </c>
    </row>
    <row r="67" spans="2:11" ht="18" customHeight="1">
      <c r="B67" s="2986">
        <v>39</v>
      </c>
      <c r="C67" s="2987" t="s">
        <v>3482</v>
      </c>
      <c r="D67" s="2987" t="s">
        <v>3483</v>
      </c>
      <c r="E67" s="2987" t="s">
        <v>3515</v>
      </c>
      <c r="F67" s="2987">
        <v>2</v>
      </c>
      <c r="G67" s="2987">
        <v>201</v>
      </c>
      <c r="H67" s="2987" t="s">
        <v>3530</v>
      </c>
      <c r="I67" s="2987" t="s">
        <v>3486</v>
      </c>
      <c r="J67" s="2987" t="s">
        <v>3490</v>
      </c>
      <c r="K67" s="2988">
        <v>134.74</v>
      </c>
    </row>
    <row r="68" spans="2:11" ht="18" customHeight="1">
      <c r="B68" s="2986">
        <v>40</v>
      </c>
      <c r="C68" s="2987" t="s">
        <v>3482</v>
      </c>
      <c r="D68" s="2987" t="s">
        <v>3483</v>
      </c>
      <c r="E68" s="2987" t="s">
        <v>3515</v>
      </c>
      <c r="F68" s="2987">
        <v>2</v>
      </c>
      <c r="G68" s="2987">
        <v>202</v>
      </c>
      <c r="H68" s="2987" t="s">
        <v>3531</v>
      </c>
      <c r="I68" s="2987" t="s">
        <v>3486</v>
      </c>
      <c r="J68" s="2987" t="s">
        <v>3490</v>
      </c>
      <c r="K68" s="2988">
        <v>134.74</v>
      </c>
    </row>
    <row r="69" spans="2:11" ht="18" customHeight="1">
      <c r="B69" s="2986">
        <v>41</v>
      </c>
      <c r="C69" s="2987" t="s">
        <v>3482</v>
      </c>
      <c r="D69" s="2987" t="s">
        <v>3483</v>
      </c>
      <c r="E69" s="2987" t="s">
        <v>3515</v>
      </c>
      <c r="F69" s="2987">
        <v>2</v>
      </c>
      <c r="G69" s="2987">
        <v>301</v>
      </c>
      <c r="H69" s="2987" t="s">
        <v>3532</v>
      </c>
      <c r="I69" s="2987" t="s">
        <v>3486</v>
      </c>
      <c r="J69" s="2987" t="s">
        <v>3493</v>
      </c>
      <c r="K69" s="2988">
        <v>129.1</v>
      </c>
    </row>
    <row r="70" spans="2:11" ht="18" customHeight="1">
      <c r="B70" s="2986">
        <v>42</v>
      </c>
      <c r="C70" s="2987" t="s">
        <v>3482</v>
      </c>
      <c r="D70" s="2987" t="s">
        <v>3483</v>
      </c>
      <c r="E70" s="2987" t="s">
        <v>3515</v>
      </c>
      <c r="F70" s="2987">
        <v>2</v>
      </c>
      <c r="G70" s="2987">
        <v>302</v>
      </c>
      <c r="H70" s="2987" t="s">
        <v>3533</v>
      </c>
      <c r="I70" s="2987" t="s">
        <v>3486</v>
      </c>
      <c r="J70" s="2987" t="s">
        <v>3493</v>
      </c>
      <c r="K70" s="2988">
        <v>129.1</v>
      </c>
    </row>
    <row r="71" spans="2:11" ht="18" customHeight="1">
      <c r="B71" s="2986">
        <v>43</v>
      </c>
      <c r="C71" s="2987" t="s">
        <v>3482</v>
      </c>
      <c r="D71" s="2987" t="s">
        <v>3483</v>
      </c>
      <c r="E71" s="2987" t="s">
        <v>3515</v>
      </c>
      <c r="F71" s="2987">
        <v>2</v>
      </c>
      <c r="G71" s="2987">
        <v>401</v>
      </c>
      <c r="H71" s="2987" t="s">
        <v>3534</v>
      </c>
      <c r="I71" s="2987" t="s">
        <v>3486</v>
      </c>
      <c r="J71" s="2987" t="s">
        <v>3496</v>
      </c>
      <c r="K71" s="2988">
        <v>129.1</v>
      </c>
    </row>
    <row r="72" spans="2:11" ht="18" customHeight="1">
      <c r="B72" s="2986">
        <v>44</v>
      </c>
      <c r="C72" s="2987" t="s">
        <v>3482</v>
      </c>
      <c r="D72" s="2987" t="s">
        <v>3483</v>
      </c>
      <c r="E72" s="2987" t="s">
        <v>3515</v>
      </c>
      <c r="F72" s="2987">
        <v>2</v>
      </c>
      <c r="G72" s="2987">
        <v>402</v>
      </c>
      <c r="H72" s="2987" t="s">
        <v>3535</v>
      </c>
      <c r="I72" s="2987" t="s">
        <v>3486</v>
      </c>
      <c r="J72" s="2987" t="s">
        <v>3496</v>
      </c>
      <c r="K72" s="2988">
        <v>129.1</v>
      </c>
    </row>
    <row r="73" spans="2:11" ht="18" customHeight="1">
      <c r="B73" s="2986">
        <v>45</v>
      </c>
      <c r="C73" s="2987" t="s">
        <v>3482</v>
      </c>
      <c r="D73" s="2987" t="s">
        <v>3483</v>
      </c>
      <c r="E73" s="2987" t="s">
        <v>3515</v>
      </c>
      <c r="F73" s="2987">
        <v>2</v>
      </c>
      <c r="G73" s="2987">
        <v>501</v>
      </c>
      <c r="H73" s="2987" t="s">
        <v>3536</v>
      </c>
      <c r="I73" s="2987" t="s">
        <v>3486</v>
      </c>
      <c r="J73" s="2987" t="s">
        <v>3496</v>
      </c>
      <c r="K73" s="2988">
        <v>129.1</v>
      </c>
    </row>
    <row r="74" spans="2:11" ht="18" customHeight="1">
      <c r="B74" s="2986">
        <v>46</v>
      </c>
      <c r="C74" s="2987" t="s">
        <v>3482</v>
      </c>
      <c r="D74" s="2987" t="s">
        <v>3483</v>
      </c>
      <c r="E74" s="2987" t="s">
        <v>3515</v>
      </c>
      <c r="F74" s="2987">
        <v>2</v>
      </c>
      <c r="G74" s="2987">
        <v>502</v>
      </c>
      <c r="H74" s="2987" t="s">
        <v>3537</v>
      </c>
      <c r="I74" s="2987" t="s">
        <v>3486</v>
      </c>
      <c r="J74" s="2987" t="s">
        <v>3496</v>
      </c>
      <c r="K74" s="2988">
        <v>129.1</v>
      </c>
    </row>
    <row r="75" spans="2:11" ht="18" customHeight="1">
      <c r="B75" s="2986">
        <v>47</v>
      </c>
      <c r="C75" s="2987" t="s">
        <v>3482</v>
      </c>
      <c r="D75" s="2987" t="s">
        <v>3483</v>
      </c>
      <c r="E75" s="2987" t="s">
        <v>3515</v>
      </c>
      <c r="F75" s="2987">
        <v>2</v>
      </c>
      <c r="G75" s="2987">
        <v>601</v>
      </c>
      <c r="H75" s="2987" t="s">
        <v>3538</v>
      </c>
      <c r="I75" s="2987" t="s">
        <v>3486</v>
      </c>
      <c r="J75" s="2987" t="s">
        <v>3501</v>
      </c>
      <c r="K75" s="2988">
        <v>133.38999999999999</v>
      </c>
    </row>
    <row r="76" spans="2:11" ht="18" customHeight="1">
      <c r="B76" s="2986">
        <v>48</v>
      </c>
      <c r="C76" s="2987" t="s">
        <v>3482</v>
      </c>
      <c r="D76" s="2987" t="s">
        <v>3483</v>
      </c>
      <c r="E76" s="2987" t="s">
        <v>3515</v>
      </c>
      <c r="F76" s="2987">
        <v>2</v>
      </c>
      <c r="G76" s="2987">
        <v>602</v>
      </c>
      <c r="H76" s="2987" t="s">
        <v>3539</v>
      </c>
      <c r="I76" s="2987" t="s">
        <v>3486</v>
      </c>
      <c r="J76" s="2987" t="s">
        <v>3501</v>
      </c>
      <c r="K76" s="2988">
        <v>133.38999999999999</v>
      </c>
    </row>
    <row r="77" spans="2:11" s="3021" customFormat="1" ht="18" customHeight="1">
      <c r="B77" s="3018"/>
      <c r="C77" s="3019"/>
      <c r="D77" s="3019"/>
      <c r="E77" s="3019"/>
      <c r="F77" s="3019"/>
      <c r="G77" s="3019"/>
      <c r="H77" s="3019"/>
      <c r="I77" s="3019"/>
      <c r="J77" s="3019"/>
      <c r="K77" s="3020">
        <f>SUM(K53:K76)</f>
        <v>3138.639999999999</v>
      </c>
    </row>
    <row r="78" spans="2:11" ht="18" customHeight="1">
      <c r="B78" s="2986">
        <v>49</v>
      </c>
      <c r="C78" s="2987" t="s">
        <v>3482</v>
      </c>
      <c r="D78" s="2987" t="s">
        <v>3483</v>
      </c>
      <c r="E78" s="2987" t="s">
        <v>3540</v>
      </c>
      <c r="F78" s="2987">
        <v>1</v>
      </c>
      <c r="G78" s="2987">
        <v>101</v>
      </c>
      <c r="H78" s="2987" t="s">
        <v>3541</v>
      </c>
      <c r="I78" s="2987" t="s">
        <v>3486</v>
      </c>
      <c r="J78" s="2987" t="s">
        <v>3487</v>
      </c>
      <c r="K78" s="2988">
        <v>129.22999999999999</v>
      </c>
    </row>
    <row r="79" spans="2:11" ht="18" customHeight="1">
      <c r="B79" s="2986">
        <v>50</v>
      </c>
      <c r="C79" s="2987" t="s">
        <v>3482</v>
      </c>
      <c r="D79" s="2987" t="s">
        <v>3483</v>
      </c>
      <c r="E79" s="2987" t="s">
        <v>3540</v>
      </c>
      <c r="F79" s="2987">
        <v>1</v>
      </c>
      <c r="G79" s="2987">
        <v>102</v>
      </c>
      <c r="H79" s="2987" t="s">
        <v>3542</v>
      </c>
      <c r="I79" s="2987" t="s">
        <v>3486</v>
      </c>
      <c r="J79" s="2987" t="s">
        <v>3487</v>
      </c>
      <c r="K79" s="2988">
        <v>129.22999999999999</v>
      </c>
    </row>
    <row r="80" spans="2:11" ht="18" customHeight="1">
      <c r="B80" s="2986">
        <v>51</v>
      </c>
      <c r="C80" s="2987" t="s">
        <v>3482</v>
      </c>
      <c r="D80" s="2987" t="s">
        <v>3483</v>
      </c>
      <c r="E80" s="2987" t="s">
        <v>3540</v>
      </c>
      <c r="F80" s="2987">
        <v>1</v>
      </c>
      <c r="G80" s="2987">
        <v>201</v>
      </c>
      <c r="H80" s="2987" t="s">
        <v>3543</v>
      </c>
      <c r="I80" s="2987" t="s">
        <v>3486</v>
      </c>
      <c r="J80" s="2987" t="s">
        <v>3490</v>
      </c>
      <c r="K80" s="2988">
        <v>134.74</v>
      </c>
    </row>
    <row r="81" spans="2:11" ht="18" customHeight="1">
      <c r="B81" s="2986">
        <v>52</v>
      </c>
      <c r="C81" s="2987" t="s">
        <v>3482</v>
      </c>
      <c r="D81" s="2987" t="s">
        <v>3483</v>
      </c>
      <c r="E81" s="2987" t="s">
        <v>3540</v>
      </c>
      <c r="F81" s="2987">
        <v>1</v>
      </c>
      <c r="G81" s="2987">
        <v>202</v>
      </c>
      <c r="H81" s="2987" t="s">
        <v>3544</v>
      </c>
      <c r="I81" s="2987" t="s">
        <v>3486</v>
      </c>
      <c r="J81" s="2987" t="s">
        <v>3490</v>
      </c>
      <c r="K81" s="2988">
        <v>134.74</v>
      </c>
    </row>
    <row r="82" spans="2:11" ht="18" customHeight="1">
      <c r="B82" s="2986">
        <v>53</v>
      </c>
      <c r="C82" s="2987" t="s">
        <v>3482</v>
      </c>
      <c r="D82" s="2987" t="s">
        <v>3483</v>
      </c>
      <c r="E82" s="2987" t="s">
        <v>3540</v>
      </c>
      <c r="F82" s="2987">
        <v>1</v>
      </c>
      <c r="G82" s="2987">
        <v>301</v>
      </c>
      <c r="H82" s="2987" t="s">
        <v>3545</v>
      </c>
      <c r="I82" s="2987" t="s">
        <v>3486</v>
      </c>
      <c r="J82" s="2987" t="s">
        <v>3493</v>
      </c>
      <c r="K82" s="2988">
        <v>129.1</v>
      </c>
    </row>
    <row r="83" spans="2:11" ht="18" customHeight="1">
      <c r="B83" s="2986">
        <v>54</v>
      </c>
      <c r="C83" s="2987" t="s">
        <v>3482</v>
      </c>
      <c r="D83" s="2987" t="s">
        <v>3483</v>
      </c>
      <c r="E83" s="2987" t="s">
        <v>3540</v>
      </c>
      <c r="F83" s="2987">
        <v>1</v>
      </c>
      <c r="G83" s="2987">
        <v>302</v>
      </c>
      <c r="H83" s="2987" t="s">
        <v>3546</v>
      </c>
      <c r="I83" s="2987" t="s">
        <v>3486</v>
      </c>
      <c r="J83" s="2987" t="s">
        <v>3493</v>
      </c>
      <c r="K83" s="2988">
        <v>129.1</v>
      </c>
    </row>
    <row r="84" spans="2:11" ht="18" customHeight="1">
      <c r="B84" s="2986">
        <v>55</v>
      </c>
      <c r="C84" s="2987" t="s">
        <v>3482</v>
      </c>
      <c r="D84" s="2987" t="s">
        <v>3483</v>
      </c>
      <c r="E84" s="2987" t="s">
        <v>3540</v>
      </c>
      <c r="F84" s="2987">
        <v>1</v>
      </c>
      <c r="G84" s="2987">
        <v>401</v>
      </c>
      <c r="H84" s="2987" t="s">
        <v>3547</v>
      </c>
      <c r="I84" s="2987" t="s">
        <v>3486</v>
      </c>
      <c r="J84" s="2987" t="s">
        <v>3496</v>
      </c>
      <c r="K84" s="2988">
        <v>129.1</v>
      </c>
    </row>
    <row r="85" spans="2:11" ht="18" customHeight="1">
      <c r="B85" s="2986">
        <v>56</v>
      </c>
      <c r="C85" s="2987" t="s">
        <v>3482</v>
      </c>
      <c r="D85" s="2987" t="s">
        <v>3483</v>
      </c>
      <c r="E85" s="2987" t="s">
        <v>3540</v>
      </c>
      <c r="F85" s="2987">
        <v>1</v>
      </c>
      <c r="G85" s="2987">
        <v>402</v>
      </c>
      <c r="H85" s="2987" t="s">
        <v>3548</v>
      </c>
      <c r="I85" s="2987" t="s">
        <v>3486</v>
      </c>
      <c r="J85" s="2987" t="s">
        <v>3496</v>
      </c>
      <c r="K85" s="2988">
        <v>129.1</v>
      </c>
    </row>
    <row r="86" spans="2:11" ht="18" customHeight="1">
      <c r="B86" s="2986">
        <v>57</v>
      </c>
      <c r="C86" s="2987" t="s">
        <v>3482</v>
      </c>
      <c r="D86" s="2987" t="s">
        <v>3483</v>
      </c>
      <c r="E86" s="2987" t="s">
        <v>3540</v>
      </c>
      <c r="F86" s="2987">
        <v>1</v>
      </c>
      <c r="G86" s="2987">
        <v>501</v>
      </c>
      <c r="H86" s="2987" t="s">
        <v>3549</v>
      </c>
      <c r="I86" s="2987" t="s">
        <v>3486</v>
      </c>
      <c r="J86" s="2987" t="s">
        <v>3496</v>
      </c>
      <c r="K86" s="2988">
        <v>129.1</v>
      </c>
    </row>
    <row r="87" spans="2:11" ht="18" customHeight="1">
      <c r="B87" s="2986">
        <v>58</v>
      </c>
      <c r="C87" s="2987" t="s">
        <v>3482</v>
      </c>
      <c r="D87" s="2987" t="s">
        <v>3483</v>
      </c>
      <c r="E87" s="2987" t="s">
        <v>3540</v>
      </c>
      <c r="F87" s="2987">
        <v>1</v>
      </c>
      <c r="G87" s="2987">
        <v>502</v>
      </c>
      <c r="H87" s="2987" t="s">
        <v>3550</v>
      </c>
      <c r="I87" s="2987" t="s">
        <v>3486</v>
      </c>
      <c r="J87" s="2987" t="s">
        <v>3496</v>
      </c>
      <c r="K87" s="2988">
        <v>129.1</v>
      </c>
    </row>
    <row r="88" spans="2:11" ht="18" customHeight="1">
      <c r="B88" s="2986">
        <v>59</v>
      </c>
      <c r="C88" s="2987" t="s">
        <v>3482</v>
      </c>
      <c r="D88" s="2987" t="s">
        <v>3483</v>
      </c>
      <c r="E88" s="2987" t="s">
        <v>3540</v>
      </c>
      <c r="F88" s="2987">
        <v>1</v>
      </c>
      <c r="G88" s="2987">
        <v>601</v>
      </c>
      <c r="H88" s="2987" t="s">
        <v>3551</v>
      </c>
      <c r="I88" s="2987" t="s">
        <v>3486</v>
      </c>
      <c r="J88" s="2987" t="s">
        <v>3501</v>
      </c>
      <c r="K88" s="2988">
        <v>133.38999999999999</v>
      </c>
    </row>
    <row r="89" spans="2:11" ht="18" customHeight="1">
      <c r="B89" s="2986">
        <v>60</v>
      </c>
      <c r="C89" s="2987" t="s">
        <v>3482</v>
      </c>
      <c r="D89" s="2987" t="s">
        <v>3483</v>
      </c>
      <c r="E89" s="2987" t="s">
        <v>3540</v>
      </c>
      <c r="F89" s="2987">
        <v>1</v>
      </c>
      <c r="G89" s="2987">
        <v>602</v>
      </c>
      <c r="H89" s="2987" t="s">
        <v>3552</v>
      </c>
      <c r="I89" s="2987" t="s">
        <v>3486</v>
      </c>
      <c r="J89" s="2987" t="s">
        <v>3501</v>
      </c>
      <c r="K89" s="2988">
        <v>133.38999999999999</v>
      </c>
    </row>
    <row r="90" spans="2:11" ht="18" customHeight="1">
      <c r="B90" s="2986">
        <v>61</v>
      </c>
      <c r="C90" s="2987" t="s">
        <v>3482</v>
      </c>
      <c r="D90" s="2987" t="s">
        <v>3483</v>
      </c>
      <c r="E90" s="2987" t="s">
        <v>3540</v>
      </c>
      <c r="F90" s="2987">
        <v>2</v>
      </c>
      <c r="G90" s="2987">
        <v>101</v>
      </c>
      <c r="H90" s="2987" t="s">
        <v>3553</v>
      </c>
      <c r="I90" s="2987" t="s">
        <v>3486</v>
      </c>
      <c r="J90" s="2987" t="s">
        <v>3487</v>
      </c>
      <c r="K90" s="2988">
        <v>129.22999999999999</v>
      </c>
    </row>
    <row r="91" spans="2:11" ht="18" customHeight="1">
      <c r="B91" s="2986">
        <v>62</v>
      </c>
      <c r="C91" s="2987" t="s">
        <v>3482</v>
      </c>
      <c r="D91" s="2987" t="s">
        <v>3483</v>
      </c>
      <c r="E91" s="2987" t="s">
        <v>3540</v>
      </c>
      <c r="F91" s="2987">
        <v>2</v>
      </c>
      <c r="G91" s="2987">
        <v>102</v>
      </c>
      <c r="H91" s="2987" t="s">
        <v>3554</v>
      </c>
      <c r="I91" s="2987" t="s">
        <v>3486</v>
      </c>
      <c r="J91" s="2987" t="s">
        <v>3487</v>
      </c>
      <c r="K91" s="2988">
        <v>129.22999999999999</v>
      </c>
    </row>
    <row r="92" spans="2:11" ht="18" customHeight="1">
      <c r="B92" s="2986">
        <v>63</v>
      </c>
      <c r="C92" s="2987" t="s">
        <v>3482</v>
      </c>
      <c r="D92" s="2987" t="s">
        <v>3483</v>
      </c>
      <c r="E92" s="2987" t="s">
        <v>3540</v>
      </c>
      <c r="F92" s="2987">
        <v>2</v>
      </c>
      <c r="G92" s="2987">
        <v>201</v>
      </c>
      <c r="H92" s="2987" t="s">
        <v>3555</v>
      </c>
      <c r="I92" s="2987" t="s">
        <v>3486</v>
      </c>
      <c r="J92" s="2987" t="s">
        <v>3490</v>
      </c>
      <c r="K92" s="2988">
        <v>134.74</v>
      </c>
    </row>
    <row r="93" spans="2:11" ht="18" customHeight="1">
      <c r="B93" s="2986">
        <v>64</v>
      </c>
      <c r="C93" s="2987" t="s">
        <v>3482</v>
      </c>
      <c r="D93" s="2987" t="s">
        <v>3483</v>
      </c>
      <c r="E93" s="2987" t="s">
        <v>3540</v>
      </c>
      <c r="F93" s="2987">
        <v>2</v>
      </c>
      <c r="G93" s="2987">
        <v>202</v>
      </c>
      <c r="H93" s="2987" t="s">
        <v>3556</v>
      </c>
      <c r="I93" s="2987" t="s">
        <v>3486</v>
      </c>
      <c r="J93" s="2987" t="s">
        <v>3490</v>
      </c>
      <c r="K93" s="2988">
        <v>134.74</v>
      </c>
    </row>
    <row r="94" spans="2:11" ht="18" customHeight="1">
      <c r="B94" s="2986">
        <v>65</v>
      </c>
      <c r="C94" s="2987" t="s">
        <v>3482</v>
      </c>
      <c r="D94" s="2987" t="s">
        <v>3483</v>
      </c>
      <c r="E94" s="2987" t="s">
        <v>3540</v>
      </c>
      <c r="F94" s="2987">
        <v>2</v>
      </c>
      <c r="G94" s="2987">
        <v>301</v>
      </c>
      <c r="H94" s="2987" t="s">
        <v>3557</v>
      </c>
      <c r="I94" s="2987" t="s">
        <v>3486</v>
      </c>
      <c r="J94" s="2987" t="s">
        <v>3493</v>
      </c>
      <c r="K94" s="2988">
        <v>129.1</v>
      </c>
    </row>
    <row r="95" spans="2:11" ht="18" customHeight="1">
      <c r="B95" s="2986">
        <v>66</v>
      </c>
      <c r="C95" s="2987" t="s">
        <v>3482</v>
      </c>
      <c r="D95" s="2987" t="s">
        <v>3483</v>
      </c>
      <c r="E95" s="2987" t="s">
        <v>3540</v>
      </c>
      <c r="F95" s="2987">
        <v>2</v>
      </c>
      <c r="G95" s="2987">
        <v>302</v>
      </c>
      <c r="H95" s="2987" t="s">
        <v>3558</v>
      </c>
      <c r="I95" s="2987" t="s">
        <v>3486</v>
      </c>
      <c r="J95" s="2987" t="s">
        <v>3493</v>
      </c>
      <c r="K95" s="2988">
        <v>129.1</v>
      </c>
    </row>
    <row r="96" spans="2:11" ht="18" customHeight="1">
      <c r="B96" s="2986">
        <v>67</v>
      </c>
      <c r="C96" s="2987" t="s">
        <v>3482</v>
      </c>
      <c r="D96" s="2987" t="s">
        <v>3483</v>
      </c>
      <c r="E96" s="2987" t="s">
        <v>3540</v>
      </c>
      <c r="F96" s="2987">
        <v>2</v>
      </c>
      <c r="G96" s="2987">
        <v>401</v>
      </c>
      <c r="H96" s="2987" t="s">
        <v>3559</v>
      </c>
      <c r="I96" s="2987" t="s">
        <v>3486</v>
      </c>
      <c r="J96" s="2987" t="s">
        <v>3496</v>
      </c>
      <c r="K96" s="2988">
        <v>129.1</v>
      </c>
    </row>
    <row r="97" spans="2:11" ht="18" customHeight="1">
      <c r="B97" s="2986">
        <v>68</v>
      </c>
      <c r="C97" s="2987" t="s">
        <v>3482</v>
      </c>
      <c r="D97" s="2987" t="s">
        <v>3483</v>
      </c>
      <c r="E97" s="2987" t="s">
        <v>3540</v>
      </c>
      <c r="F97" s="2987">
        <v>2</v>
      </c>
      <c r="G97" s="2987">
        <v>402</v>
      </c>
      <c r="H97" s="2987" t="s">
        <v>3560</v>
      </c>
      <c r="I97" s="2987" t="s">
        <v>3486</v>
      </c>
      <c r="J97" s="2987" t="s">
        <v>3496</v>
      </c>
      <c r="K97" s="2988">
        <v>129.1</v>
      </c>
    </row>
    <row r="98" spans="2:11" ht="18" customHeight="1">
      <c r="B98" s="2986">
        <v>69</v>
      </c>
      <c r="C98" s="2987" t="s">
        <v>3482</v>
      </c>
      <c r="D98" s="2987" t="s">
        <v>3483</v>
      </c>
      <c r="E98" s="2987" t="s">
        <v>3540</v>
      </c>
      <c r="F98" s="2987">
        <v>2</v>
      </c>
      <c r="G98" s="2987">
        <v>501</v>
      </c>
      <c r="H98" s="2987" t="s">
        <v>3561</v>
      </c>
      <c r="I98" s="2987" t="s">
        <v>3486</v>
      </c>
      <c r="J98" s="2987" t="s">
        <v>3496</v>
      </c>
      <c r="K98" s="2988">
        <v>129.1</v>
      </c>
    </row>
    <row r="99" spans="2:11" ht="18" customHeight="1">
      <c r="B99" s="2986">
        <v>70</v>
      </c>
      <c r="C99" s="2987" t="s">
        <v>3482</v>
      </c>
      <c r="D99" s="2987" t="s">
        <v>3483</v>
      </c>
      <c r="E99" s="2987" t="s">
        <v>3540</v>
      </c>
      <c r="F99" s="2987">
        <v>2</v>
      </c>
      <c r="G99" s="2987">
        <v>502</v>
      </c>
      <c r="H99" s="2987" t="s">
        <v>3562</v>
      </c>
      <c r="I99" s="2987" t="s">
        <v>3486</v>
      </c>
      <c r="J99" s="2987" t="s">
        <v>3496</v>
      </c>
      <c r="K99" s="2988">
        <v>129.1</v>
      </c>
    </row>
    <row r="100" spans="2:11" ht="18" customHeight="1">
      <c r="B100" s="2986">
        <v>71</v>
      </c>
      <c r="C100" s="2987" t="s">
        <v>3482</v>
      </c>
      <c r="D100" s="2987" t="s">
        <v>3483</v>
      </c>
      <c r="E100" s="2987" t="s">
        <v>3540</v>
      </c>
      <c r="F100" s="2987">
        <v>2</v>
      </c>
      <c r="G100" s="2987">
        <v>601</v>
      </c>
      <c r="H100" s="2987" t="s">
        <v>3563</v>
      </c>
      <c r="I100" s="2987" t="s">
        <v>3486</v>
      </c>
      <c r="J100" s="2987" t="s">
        <v>3501</v>
      </c>
      <c r="K100" s="2988">
        <v>133.38999999999999</v>
      </c>
    </row>
    <row r="101" spans="2:11" ht="18" customHeight="1">
      <c r="B101" s="2986">
        <v>72</v>
      </c>
      <c r="C101" s="2987" t="s">
        <v>3482</v>
      </c>
      <c r="D101" s="2987" t="s">
        <v>3483</v>
      </c>
      <c r="E101" s="2987" t="s">
        <v>3540</v>
      </c>
      <c r="F101" s="2987">
        <v>2</v>
      </c>
      <c r="G101" s="2987">
        <v>602</v>
      </c>
      <c r="H101" s="2987" t="s">
        <v>3564</v>
      </c>
      <c r="I101" s="2987" t="s">
        <v>3486</v>
      </c>
      <c r="J101" s="2987" t="s">
        <v>3501</v>
      </c>
      <c r="K101" s="2988">
        <v>133.38999999999999</v>
      </c>
    </row>
    <row r="102" spans="2:11" s="3021" customFormat="1" ht="18" customHeight="1">
      <c r="B102" s="3018"/>
      <c r="C102" s="3019"/>
      <c r="D102" s="3019"/>
      <c r="E102" s="3019"/>
      <c r="F102" s="3019"/>
      <c r="G102" s="3019"/>
      <c r="H102" s="3019"/>
      <c r="I102" s="3019"/>
      <c r="J102" s="3019"/>
      <c r="K102" s="3020">
        <f>SUM(K78:K101)</f>
        <v>3138.639999999999</v>
      </c>
    </row>
    <row r="103" spans="2:11" ht="18" customHeight="1">
      <c r="B103" s="2986">
        <v>73</v>
      </c>
      <c r="C103" s="2987" t="s">
        <v>3482</v>
      </c>
      <c r="D103" s="2987" t="s">
        <v>3483</v>
      </c>
      <c r="E103" s="2987" t="s">
        <v>3565</v>
      </c>
      <c r="F103" s="2987">
        <v>1</v>
      </c>
      <c r="G103" s="2987">
        <v>101</v>
      </c>
      <c r="H103" s="2987" t="s">
        <v>3566</v>
      </c>
      <c r="I103" s="2987" t="s">
        <v>3486</v>
      </c>
      <c r="J103" s="2987" t="s">
        <v>3487</v>
      </c>
      <c r="K103" s="2988">
        <v>128.79</v>
      </c>
    </row>
    <row r="104" spans="2:11" ht="18" customHeight="1">
      <c r="B104" s="2986">
        <v>74</v>
      </c>
      <c r="C104" s="2987" t="s">
        <v>3482</v>
      </c>
      <c r="D104" s="2987" t="s">
        <v>3483</v>
      </c>
      <c r="E104" s="2987" t="s">
        <v>3565</v>
      </c>
      <c r="F104" s="2987">
        <v>1</v>
      </c>
      <c r="G104" s="2987">
        <v>102</v>
      </c>
      <c r="H104" s="2987" t="s">
        <v>3567</v>
      </c>
      <c r="I104" s="2987" t="s">
        <v>3486</v>
      </c>
      <c r="J104" s="2987" t="s">
        <v>3487</v>
      </c>
      <c r="K104" s="2988">
        <v>128.79</v>
      </c>
    </row>
    <row r="105" spans="2:11" ht="18" customHeight="1">
      <c r="B105" s="2986">
        <v>75</v>
      </c>
      <c r="C105" s="2987" t="s">
        <v>3482</v>
      </c>
      <c r="D105" s="2987" t="s">
        <v>3483</v>
      </c>
      <c r="E105" s="2987" t="s">
        <v>3565</v>
      </c>
      <c r="F105" s="2987">
        <v>1</v>
      </c>
      <c r="G105" s="2987">
        <v>201</v>
      </c>
      <c r="H105" s="2987" t="s">
        <v>3568</v>
      </c>
      <c r="I105" s="2987" t="s">
        <v>3486</v>
      </c>
      <c r="J105" s="2987" t="s">
        <v>3490</v>
      </c>
      <c r="K105" s="2988">
        <v>134.27000000000001</v>
      </c>
    </row>
    <row r="106" spans="2:11" ht="18" customHeight="1">
      <c r="B106" s="2986">
        <v>76</v>
      </c>
      <c r="C106" s="2987" t="s">
        <v>3482</v>
      </c>
      <c r="D106" s="2987" t="s">
        <v>3483</v>
      </c>
      <c r="E106" s="2987" t="s">
        <v>3565</v>
      </c>
      <c r="F106" s="2987">
        <v>1</v>
      </c>
      <c r="G106" s="2987">
        <v>202</v>
      </c>
      <c r="H106" s="2987" t="s">
        <v>3569</v>
      </c>
      <c r="I106" s="2987" t="s">
        <v>3486</v>
      </c>
      <c r="J106" s="2987" t="s">
        <v>3490</v>
      </c>
      <c r="K106" s="2988">
        <v>134.27000000000001</v>
      </c>
    </row>
    <row r="107" spans="2:11" ht="18" customHeight="1">
      <c r="B107" s="2986">
        <v>77</v>
      </c>
      <c r="C107" s="2987" t="s">
        <v>3482</v>
      </c>
      <c r="D107" s="2987" t="s">
        <v>3483</v>
      </c>
      <c r="E107" s="2987" t="s">
        <v>3565</v>
      </c>
      <c r="F107" s="2987">
        <v>1</v>
      </c>
      <c r="G107" s="2987">
        <v>301</v>
      </c>
      <c r="H107" s="2987" t="s">
        <v>3570</v>
      </c>
      <c r="I107" s="2987" t="s">
        <v>3486</v>
      </c>
      <c r="J107" s="2987" t="s">
        <v>3493</v>
      </c>
      <c r="K107" s="2988">
        <v>128.66</v>
      </c>
    </row>
    <row r="108" spans="2:11" ht="18" customHeight="1">
      <c r="B108" s="2986">
        <v>78</v>
      </c>
      <c r="C108" s="2987" t="s">
        <v>3482</v>
      </c>
      <c r="D108" s="2987" t="s">
        <v>3483</v>
      </c>
      <c r="E108" s="2987" t="s">
        <v>3565</v>
      </c>
      <c r="F108" s="2987">
        <v>1</v>
      </c>
      <c r="G108" s="2987">
        <v>302</v>
      </c>
      <c r="H108" s="2987" t="s">
        <v>3571</v>
      </c>
      <c r="I108" s="2987" t="s">
        <v>3486</v>
      </c>
      <c r="J108" s="2987" t="s">
        <v>3493</v>
      </c>
      <c r="K108" s="2988">
        <v>128.66</v>
      </c>
    </row>
    <row r="109" spans="2:11" ht="18" customHeight="1">
      <c r="B109" s="2986">
        <v>79</v>
      </c>
      <c r="C109" s="2987" t="s">
        <v>3482</v>
      </c>
      <c r="D109" s="2987" t="s">
        <v>3483</v>
      </c>
      <c r="E109" s="2987" t="s">
        <v>3565</v>
      </c>
      <c r="F109" s="2987">
        <v>1</v>
      </c>
      <c r="G109" s="2987">
        <v>401</v>
      </c>
      <c r="H109" s="2987" t="s">
        <v>3572</v>
      </c>
      <c r="I109" s="2987" t="s">
        <v>3486</v>
      </c>
      <c r="J109" s="2987" t="s">
        <v>3496</v>
      </c>
      <c r="K109" s="2988">
        <v>128.66</v>
      </c>
    </row>
    <row r="110" spans="2:11" ht="18" customHeight="1">
      <c r="B110" s="2986">
        <v>80</v>
      </c>
      <c r="C110" s="2987" t="s">
        <v>3482</v>
      </c>
      <c r="D110" s="2987" t="s">
        <v>3483</v>
      </c>
      <c r="E110" s="2987" t="s">
        <v>3565</v>
      </c>
      <c r="F110" s="2987">
        <v>1</v>
      </c>
      <c r="G110" s="2987">
        <v>402</v>
      </c>
      <c r="H110" s="2987" t="s">
        <v>3573</v>
      </c>
      <c r="I110" s="2987" t="s">
        <v>3486</v>
      </c>
      <c r="J110" s="2987" t="s">
        <v>3496</v>
      </c>
      <c r="K110" s="2988">
        <v>128.66</v>
      </c>
    </row>
    <row r="111" spans="2:11" ht="18" customHeight="1">
      <c r="B111" s="2986">
        <v>81</v>
      </c>
      <c r="C111" s="2987" t="s">
        <v>3482</v>
      </c>
      <c r="D111" s="2987" t="s">
        <v>3483</v>
      </c>
      <c r="E111" s="2987" t="s">
        <v>3565</v>
      </c>
      <c r="F111" s="2987">
        <v>1</v>
      </c>
      <c r="G111" s="2987">
        <v>501</v>
      </c>
      <c r="H111" s="2987" t="s">
        <v>3574</v>
      </c>
      <c r="I111" s="2987" t="s">
        <v>3486</v>
      </c>
      <c r="J111" s="2987" t="s">
        <v>3496</v>
      </c>
      <c r="K111" s="2988">
        <v>128.66</v>
      </c>
    </row>
    <row r="112" spans="2:11" ht="18" customHeight="1">
      <c r="B112" s="2986">
        <v>82</v>
      </c>
      <c r="C112" s="2987" t="s">
        <v>3482</v>
      </c>
      <c r="D112" s="2987" t="s">
        <v>3483</v>
      </c>
      <c r="E112" s="2987" t="s">
        <v>3565</v>
      </c>
      <c r="F112" s="2987">
        <v>1</v>
      </c>
      <c r="G112" s="2987">
        <v>502</v>
      </c>
      <c r="H112" s="2987" t="s">
        <v>3575</v>
      </c>
      <c r="I112" s="2987" t="s">
        <v>3486</v>
      </c>
      <c r="J112" s="2987" t="s">
        <v>3496</v>
      </c>
      <c r="K112" s="2988">
        <v>128.66</v>
      </c>
    </row>
    <row r="113" spans="2:11" ht="18" customHeight="1">
      <c r="B113" s="2986">
        <v>83</v>
      </c>
      <c r="C113" s="2987" t="s">
        <v>3482</v>
      </c>
      <c r="D113" s="2987" t="s">
        <v>3483</v>
      </c>
      <c r="E113" s="2987" t="s">
        <v>3565</v>
      </c>
      <c r="F113" s="2987">
        <v>1</v>
      </c>
      <c r="G113" s="2987">
        <v>601</v>
      </c>
      <c r="H113" s="2987" t="s">
        <v>3576</v>
      </c>
      <c r="I113" s="2987" t="s">
        <v>3486</v>
      </c>
      <c r="J113" s="2987" t="s">
        <v>3496</v>
      </c>
      <c r="K113" s="2988">
        <v>128.66</v>
      </c>
    </row>
    <row r="114" spans="2:11" ht="18" customHeight="1">
      <c r="B114" s="2986">
        <v>84</v>
      </c>
      <c r="C114" s="2987" t="s">
        <v>3482</v>
      </c>
      <c r="D114" s="2987" t="s">
        <v>3483</v>
      </c>
      <c r="E114" s="2987" t="s">
        <v>3565</v>
      </c>
      <c r="F114" s="2987">
        <v>1</v>
      </c>
      <c r="G114" s="2987">
        <v>602</v>
      </c>
      <c r="H114" s="2987" t="s">
        <v>3577</v>
      </c>
      <c r="I114" s="2987" t="s">
        <v>3486</v>
      </c>
      <c r="J114" s="2987" t="s">
        <v>3496</v>
      </c>
      <c r="K114" s="2988">
        <v>128.66</v>
      </c>
    </row>
    <row r="115" spans="2:11" ht="18" customHeight="1">
      <c r="B115" s="2986">
        <v>85</v>
      </c>
      <c r="C115" s="2987" t="s">
        <v>3482</v>
      </c>
      <c r="D115" s="2987" t="s">
        <v>3483</v>
      </c>
      <c r="E115" s="2987" t="s">
        <v>3565</v>
      </c>
      <c r="F115" s="2987">
        <v>1</v>
      </c>
      <c r="G115" s="2987">
        <v>701</v>
      </c>
      <c r="H115" s="2987" t="s">
        <v>3578</v>
      </c>
      <c r="I115" s="2987" t="s">
        <v>3486</v>
      </c>
      <c r="J115" s="2987" t="s">
        <v>3501</v>
      </c>
      <c r="K115" s="2988">
        <v>132.93</v>
      </c>
    </row>
    <row r="116" spans="2:11" ht="18" customHeight="1">
      <c r="B116" s="2986">
        <v>86</v>
      </c>
      <c r="C116" s="2987" t="s">
        <v>3482</v>
      </c>
      <c r="D116" s="2987" t="s">
        <v>3483</v>
      </c>
      <c r="E116" s="2987" t="s">
        <v>3565</v>
      </c>
      <c r="F116" s="2987">
        <v>1</v>
      </c>
      <c r="G116" s="2987">
        <v>702</v>
      </c>
      <c r="H116" s="2987" t="s">
        <v>3579</v>
      </c>
      <c r="I116" s="2987" t="s">
        <v>3486</v>
      </c>
      <c r="J116" s="2987" t="s">
        <v>3501</v>
      </c>
      <c r="K116" s="2988">
        <v>132.93</v>
      </c>
    </row>
    <row r="117" spans="2:11" ht="18" customHeight="1">
      <c r="B117" s="2986">
        <v>87</v>
      </c>
      <c r="C117" s="2987" t="s">
        <v>3482</v>
      </c>
      <c r="D117" s="2987" t="s">
        <v>3483</v>
      </c>
      <c r="E117" s="2987" t="s">
        <v>3565</v>
      </c>
      <c r="F117" s="2987">
        <v>2</v>
      </c>
      <c r="G117" s="2987">
        <v>101</v>
      </c>
      <c r="H117" s="2987" t="s">
        <v>3580</v>
      </c>
      <c r="I117" s="2987" t="s">
        <v>3486</v>
      </c>
      <c r="J117" s="2987" t="s">
        <v>3487</v>
      </c>
      <c r="K117" s="2988">
        <v>128.79</v>
      </c>
    </row>
    <row r="118" spans="2:11" ht="18" customHeight="1">
      <c r="B118" s="2986">
        <v>88</v>
      </c>
      <c r="C118" s="2987" t="s">
        <v>3482</v>
      </c>
      <c r="D118" s="2987" t="s">
        <v>3483</v>
      </c>
      <c r="E118" s="2987" t="s">
        <v>3565</v>
      </c>
      <c r="F118" s="2987">
        <v>2</v>
      </c>
      <c r="G118" s="2987">
        <v>102</v>
      </c>
      <c r="H118" s="2987" t="s">
        <v>3581</v>
      </c>
      <c r="I118" s="2987" t="s">
        <v>3486</v>
      </c>
      <c r="J118" s="2987" t="s">
        <v>3487</v>
      </c>
      <c r="K118" s="2988">
        <v>128.79</v>
      </c>
    </row>
    <row r="119" spans="2:11" ht="18" customHeight="1">
      <c r="B119" s="2986">
        <v>89</v>
      </c>
      <c r="C119" s="2987" t="s">
        <v>3482</v>
      </c>
      <c r="D119" s="2987" t="s">
        <v>3483</v>
      </c>
      <c r="E119" s="2987" t="s">
        <v>3565</v>
      </c>
      <c r="F119" s="2987">
        <v>2</v>
      </c>
      <c r="G119" s="2987">
        <v>201</v>
      </c>
      <c r="H119" s="2987" t="s">
        <v>3582</v>
      </c>
      <c r="I119" s="2987" t="s">
        <v>3486</v>
      </c>
      <c r="J119" s="2987" t="s">
        <v>3490</v>
      </c>
      <c r="K119" s="2988">
        <v>134.27000000000001</v>
      </c>
    </row>
    <row r="120" spans="2:11" ht="18" customHeight="1">
      <c r="B120" s="2986">
        <v>90</v>
      </c>
      <c r="C120" s="2987" t="s">
        <v>3482</v>
      </c>
      <c r="D120" s="2987" t="s">
        <v>3483</v>
      </c>
      <c r="E120" s="2987" t="s">
        <v>3565</v>
      </c>
      <c r="F120" s="2987">
        <v>2</v>
      </c>
      <c r="G120" s="2987">
        <v>202</v>
      </c>
      <c r="H120" s="2987" t="s">
        <v>3583</v>
      </c>
      <c r="I120" s="2987" t="s">
        <v>3486</v>
      </c>
      <c r="J120" s="2987" t="s">
        <v>3490</v>
      </c>
      <c r="K120" s="2988">
        <v>134.27000000000001</v>
      </c>
    </row>
    <row r="121" spans="2:11" ht="18" customHeight="1">
      <c r="B121" s="2986">
        <v>91</v>
      </c>
      <c r="C121" s="2987" t="s">
        <v>3482</v>
      </c>
      <c r="D121" s="2987" t="s">
        <v>3483</v>
      </c>
      <c r="E121" s="2987" t="s">
        <v>3565</v>
      </c>
      <c r="F121" s="2987">
        <v>2</v>
      </c>
      <c r="G121" s="2987">
        <v>301</v>
      </c>
      <c r="H121" s="2987" t="s">
        <v>3584</v>
      </c>
      <c r="I121" s="2987" t="s">
        <v>3486</v>
      </c>
      <c r="J121" s="2987" t="s">
        <v>3493</v>
      </c>
      <c r="K121" s="2988">
        <v>128.66</v>
      </c>
    </row>
    <row r="122" spans="2:11" ht="18" customHeight="1">
      <c r="B122" s="2986">
        <v>92</v>
      </c>
      <c r="C122" s="2987" t="s">
        <v>3482</v>
      </c>
      <c r="D122" s="2987" t="s">
        <v>3483</v>
      </c>
      <c r="E122" s="2987" t="s">
        <v>3565</v>
      </c>
      <c r="F122" s="2987">
        <v>2</v>
      </c>
      <c r="G122" s="2987">
        <v>302</v>
      </c>
      <c r="H122" s="2987" t="s">
        <v>3585</v>
      </c>
      <c r="I122" s="2987" t="s">
        <v>3486</v>
      </c>
      <c r="J122" s="2987" t="s">
        <v>3493</v>
      </c>
      <c r="K122" s="2988">
        <v>128.66</v>
      </c>
    </row>
    <row r="123" spans="2:11" ht="18" customHeight="1">
      <c r="B123" s="2986">
        <v>93</v>
      </c>
      <c r="C123" s="2987" t="s">
        <v>3482</v>
      </c>
      <c r="D123" s="2987" t="s">
        <v>3483</v>
      </c>
      <c r="E123" s="2987" t="s">
        <v>3565</v>
      </c>
      <c r="F123" s="2987">
        <v>2</v>
      </c>
      <c r="G123" s="2987">
        <v>401</v>
      </c>
      <c r="H123" s="2987" t="s">
        <v>3586</v>
      </c>
      <c r="I123" s="2987" t="s">
        <v>3486</v>
      </c>
      <c r="J123" s="2987" t="s">
        <v>3496</v>
      </c>
      <c r="K123" s="2988">
        <v>128.66</v>
      </c>
    </row>
    <row r="124" spans="2:11" ht="18" customHeight="1">
      <c r="B124" s="2986">
        <v>94</v>
      </c>
      <c r="C124" s="2987" t="s">
        <v>3482</v>
      </c>
      <c r="D124" s="2987" t="s">
        <v>3483</v>
      </c>
      <c r="E124" s="2987" t="s">
        <v>3565</v>
      </c>
      <c r="F124" s="2987">
        <v>2</v>
      </c>
      <c r="G124" s="2987">
        <v>402</v>
      </c>
      <c r="H124" s="2987" t="s">
        <v>3587</v>
      </c>
      <c r="I124" s="2987" t="s">
        <v>3486</v>
      </c>
      <c r="J124" s="2987" t="s">
        <v>3496</v>
      </c>
      <c r="K124" s="2988">
        <v>128.66</v>
      </c>
    </row>
    <row r="125" spans="2:11" ht="18" customHeight="1">
      <c r="B125" s="2986">
        <v>95</v>
      </c>
      <c r="C125" s="2987" t="s">
        <v>3482</v>
      </c>
      <c r="D125" s="2987" t="s">
        <v>3483</v>
      </c>
      <c r="E125" s="2987" t="s">
        <v>3565</v>
      </c>
      <c r="F125" s="2987">
        <v>2</v>
      </c>
      <c r="G125" s="2987">
        <v>501</v>
      </c>
      <c r="H125" s="2987" t="s">
        <v>3588</v>
      </c>
      <c r="I125" s="2987" t="s">
        <v>3486</v>
      </c>
      <c r="J125" s="2987" t="s">
        <v>3496</v>
      </c>
      <c r="K125" s="2988">
        <v>128.66</v>
      </c>
    </row>
    <row r="126" spans="2:11" ht="18" customHeight="1">
      <c r="B126" s="2986">
        <v>96</v>
      </c>
      <c r="C126" s="2987" t="s">
        <v>3482</v>
      </c>
      <c r="D126" s="2987" t="s">
        <v>3483</v>
      </c>
      <c r="E126" s="2987" t="s">
        <v>3565</v>
      </c>
      <c r="F126" s="2987">
        <v>2</v>
      </c>
      <c r="G126" s="2987">
        <v>502</v>
      </c>
      <c r="H126" s="2987" t="s">
        <v>3589</v>
      </c>
      <c r="I126" s="2987" t="s">
        <v>3486</v>
      </c>
      <c r="J126" s="2987" t="s">
        <v>3496</v>
      </c>
      <c r="K126" s="2988">
        <v>128.66</v>
      </c>
    </row>
    <row r="127" spans="2:11" ht="18" customHeight="1">
      <c r="B127" s="2986">
        <v>97</v>
      </c>
      <c r="C127" s="2987" t="s">
        <v>3482</v>
      </c>
      <c r="D127" s="2987" t="s">
        <v>3483</v>
      </c>
      <c r="E127" s="2987" t="s">
        <v>3565</v>
      </c>
      <c r="F127" s="2987">
        <v>2</v>
      </c>
      <c r="G127" s="2987">
        <v>601</v>
      </c>
      <c r="H127" s="2987" t="s">
        <v>3590</v>
      </c>
      <c r="I127" s="2987" t="s">
        <v>3486</v>
      </c>
      <c r="J127" s="2987" t="s">
        <v>3496</v>
      </c>
      <c r="K127" s="2988">
        <v>128.66</v>
      </c>
    </row>
    <row r="128" spans="2:11" ht="18" customHeight="1">
      <c r="B128" s="2986">
        <v>98</v>
      </c>
      <c r="C128" s="2987" t="s">
        <v>3482</v>
      </c>
      <c r="D128" s="2987" t="s">
        <v>3483</v>
      </c>
      <c r="E128" s="2987" t="s">
        <v>3565</v>
      </c>
      <c r="F128" s="2987">
        <v>2</v>
      </c>
      <c r="G128" s="2987">
        <v>602</v>
      </c>
      <c r="H128" s="2987" t="s">
        <v>3591</v>
      </c>
      <c r="I128" s="2987" t="s">
        <v>3486</v>
      </c>
      <c r="J128" s="2987" t="s">
        <v>3496</v>
      </c>
      <c r="K128" s="2988">
        <v>128.66</v>
      </c>
    </row>
    <row r="129" spans="2:11" ht="18" customHeight="1">
      <c r="B129" s="2986">
        <v>99</v>
      </c>
      <c r="C129" s="2987" t="s">
        <v>3482</v>
      </c>
      <c r="D129" s="2987" t="s">
        <v>3483</v>
      </c>
      <c r="E129" s="2987" t="s">
        <v>3565</v>
      </c>
      <c r="F129" s="2987">
        <v>2</v>
      </c>
      <c r="G129" s="2987">
        <v>701</v>
      </c>
      <c r="H129" s="2987" t="s">
        <v>3592</v>
      </c>
      <c r="I129" s="2987" t="s">
        <v>3486</v>
      </c>
      <c r="J129" s="2987" t="s">
        <v>3501</v>
      </c>
      <c r="K129" s="2988">
        <v>132.93</v>
      </c>
    </row>
    <row r="130" spans="2:11" ht="18" customHeight="1">
      <c r="B130" s="2986">
        <v>100</v>
      </c>
      <c r="C130" s="2987" t="s">
        <v>3482</v>
      </c>
      <c r="D130" s="2987" t="s">
        <v>3483</v>
      </c>
      <c r="E130" s="2987" t="s">
        <v>3565</v>
      </c>
      <c r="F130" s="2987">
        <v>2</v>
      </c>
      <c r="G130" s="2987">
        <v>702</v>
      </c>
      <c r="H130" s="2987" t="s">
        <v>3593</v>
      </c>
      <c r="I130" s="2987" t="s">
        <v>3486</v>
      </c>
      <c r="J130" s="2987" t="s">
        <v>3501</v>
      </c>
      <c r="K130" s="2988">
        <v>132.93</v>
      </c>
    </row>
    <row r="131" spans="2:11" s="3021" customFormat="1" ht="18" customHeight="1">
      <c r="B131" s="3018"/>
      <c r="C131" s="3019"/>
      <c r="D131" s="3019"/>
      <c r="E131" s="3019"/>
      <c r="F131" s="3019"/>
      <c r="G131" s="3019"/>
      <c r="H131" s="3019"/>
      <c r="I131" s="3019"/>
      <c r="J131" s="3019"/>
      <c r="K131" s="3020">
        <f>SUM(K103:K130)</f>
        <v>3642.5199999999991</v>
      </c>
    </row>
    <row r="132" spans="2:11" ht="18" customHeight="1">
      <c r="B132" s="2986">
        <v>101</v>
      </c>
      <c r="C132" s="2987" t="s">
        <v>3482</v>
      </c>
      <c r="D132" s="2987" t="s">
        <v>3594</v>
      </c>
      <c r="E132" s="2987" t="s">
        <v>3595</v>
      </c>
      <c r="F132" s="2987">
        <v>1</v>
      </c>
      <c r="G132" s="2987">
        <v>1001</v>
      </c>
      <c r="H132" s="2987" t="s">
        <v>3596</v>
      </c>
      <c r="I132" s="2987" t="s">
        <v>3486</v>
      </c>
      <c r="J132" s="2987" t="s">
        <v>3597</v>
      </c>
      <c r="K132" s="2988">
        <v>128.9</v>
      </c>
    </row>
    <row r="133" spans="2:11" ht="18" customHeight="1">
      <c r="B133" s="2986">
        <v>102</v>
      </c>
      <c r="C133" s="2987" t="s">
        <v>3482</v>
      </c>
      <c r="D133" s="2987" t="s">
        <v>3594</v>
      </c>
      <c r="E133" s="2987" t="s">
        <v>3595</v>
      </c>
      <c r="F133" s="2987">
        <v>1</v>
      </c>
      <c r="G133" s="2987">
        <v>1002</v>
      </c>
      <c r="H133" s="2987" t="s">
        <v>3598</v>
      </c>
      <c r="I133" s="2987" t="s">
        <v>3486</v>
      </c>
      <c r="J133" s="2987" t="s">
        <v>3599</v>
      </c>
      <c r="K133" s="2988">
        <v>96.65</v>
      </c>
    </row>
    <row r="134" spans="2:11" ht="18" customHeight="1">
      <c r="B134" s="2986">
        <v>103</v>
      </c>
      <c r="C134" s="2987" t="s">
        <v>3482</v>
      </c>
      <c r="D134" s="2987" t="s">
        <v>3594</v>
      </c>
      <c r="E134" s="2987" t="s">
        <v>3595</v>
      </c>
      <c r="F134" s="2987">
        <v>1</v>
      </c>
      <c r="G134" s="2987">
        <v>1003</v>
      </c>
      <c r="H134" s="2987" t="s">
        <v>3600</v>
      </c>
      <c r="I134" s="2987" t="s">
        <v>3486</v>
      </c>
      <c r="J134" s="2987" t="s">
        <v>3599</v>
      </c>
      <c r="K134" s="2988">
        <v>96.65</v>
      </c>
    </row>
    <row r="135" spans="2:11" ht="18" customHeight="1">
      <c r="B135" s="2986">
        <v>104</v>
      </c>
      <c r="C135" s="2987" t="s">
        <v>3482</v>
      </c>
      <c r="D135" s="2987" t="s">
        <v>3594</v>
      </c>
      <c r="E135" s="2987" t="s">
        <v>3595</v>
      </c>
      <c r="F135" s="2987">
        <v>1</v>
      </c>
      <c r="G135" s="2987">
        <v>1004</v>
      </c>
      <c r="H135" s="2987" t="s">
        <v>3601</v>
      </c>
      <c r="I135" s="2987" t="s">
        <v>3486</v>
      </c>
      <c r="J135" s="2987" t="s">
        <v>3602</v>
      </c>
      <c r="K135" s="2988">
        <v>111.57</v>
      </c>
    </row>
    <row r="136" spans="2:11" ht="18" customHeight="1">
      <c r="B136" s="2986">
        <v>105</v>
      </c>
      <c r="C136" s="2987" t="s">
        <v>3482</v>
      </c>
      <c r="D136" s="2987" t="s">
        <v>3594</v>
      </c>
      <c r="E136" s="2987" t="s">
        <v>3595</v>
      </c>
      <c r="F136" s="2987">
        <v>1</v>
      </c>
      <c r="G136" s="2987">
        <v>101</v>
      </c>
      <c r="H136" s="2987" t="s">
        <v>3603</v>
      </c>
      <c r="I136" s="2987" t="s">
        <v>3486</v>
      </c>
      <c r="J136" s="2987" t="s">
        <v>3597</v>
      </c>
      <c r="K136" s="2988">
        <v>128.9</v>
      </c>
    </row>
    <row r="137" spans="2:11" ht="18" customHeight="1">
      <c r="B137" s="2986">
        <v>106</v>
      </c>
      <c r="C137" s="2987" t="s">
        <v>3482</v>
      </c>
      <c r="D137" s="2987" t="s">
        <v>3594</v>
      </c>
      <c r="E137" s="2987" t="s">
        <v>3595</v>
      </c>
      <c r="F137" s="2987">
        <v>1</v>
      </c>
      <c r="G137" s="2987">
        <v>102</v>
      </c>
      <c r="H137" s="2987" t="s">
        <v>3604</v>
      </c>
      <c r="I137" s="2987" t="s">
        <v>3486</v>
      </c>
      <c r="J137" s="2987" t="s">
        <v>3599</v>
      </c>
      <c r="K137" s="2988">
        <v>96.65</v>
      </c>
    </row>
    <row r="138" spans="2:11" ht="18" customHeight="1">
      <c r="B138" s="2986">
        <v>107</v>
      </c>
      <c r="C138" s="2987" t="s">
        <v>3482</v>
      </c>
      <c r="D138" s="2987" t="s">
        <v>3594</v>
      </c>
      <c r="E138" s="2987" t="s">
        <v>3595</v>
      </c>
      <c r="F138" s="2987">
        <v>1</v>
      </c>
      <c r="G138" s="2987">
        <v>103</v>
      </c>
      <c r="H138" s="2987" t="s">
        <v>3605</v>
      </c>
      <c r="I138" s="2987" t="s">
        <v>3486</v>
      </c>
      <c r="J138" s="2987" t="s">
        <v>3599</v>
      </c>
      <c r="K138" s="2988">
        <v>96.65</v>
      </c>
    </row>
    <row r="139" spans="2:11" ht="18" customHeight="1">
      <c r="B139" s="2986">
        <v>108</v>
      </c>
      <c r="C139" s="2987" t="s">
        <v>3482</v>
      </c>
      <c r="D139" s="2987" t="s">
        <v>3594</v>
      </c>
      <c r="E139" s="2987" t="s">
        <v>3595</v>
      </c>
      <c r="F139" s="2987">
        <v>1</v>
      </c>
      <c r="G139" s="2987">
        <v>104</v>
      </c>
      <c r="H139" s="2987" t="s">
        <v>3606</v>
      </c>
      <c r="I139" s="2987" t="s">
        <v>3486</v>
      </c>
      <c r="J139" s="2987" t="s">
        <v>3602</v>
      </c>
      <c r="K139" s="2988">
        <v>111.57</v>
      </c>
    </row>
    <row r="140" spans="2:11" ht="18" customHeight="1">
      <c r="B140" s="2986">
        <v>109</v>
      </c>
      <c r="C140" s="2987" t="s">
        <v>3482</v>
      </c>
      <c r="D140" s="2987" t="s">
        <v>3594</v>
      </c>
      <c r="E140" s="2987" t="s">
        <v>3595</v>
      </c>
      <c r="F140" s="2987">
        <v>1</v>
      </c>
      <c r="G140" s="2987">
        <v>1101</v>
      </c>
      <c r="H140" s="2987" t="s">
        <v>3607</v>
      </c>
      <c r="I140" s="2987" t="s">
        <v>3486</v>
      </c>
      <c r="J140" s="2987" t="s">
        <v>3597</v>
      </c>
      <c r="K140" s="2988">
        <v>128.9</v>
      </c>
    </row>
    <row r="141" spans="2:11" ht="18" customHeight="1">
      <c r="B141" s="2986">
        <v>110</v>
      </c>
      <c r="C141" s="2987" t="s">
        <v>3482</v>
      </c>
      <c r="D141" s="2987" t="s">
        <v>3594</v>
      </c>
      <c r="E141" s="2987" t="s">
        <v>3595</v>
      </c>
      <c r="F141" s="2987">
        <v>1</v>
      </c>
      <c r="G141" s="2987">
        <v>1102</v>
      </c>
      <c r="H141" s="2987" t="s">
        <v>3608</v>
      </c>
      <c r="I141" s="2987" t="s">
        <v>3486</v>
      </c>
      <c r="J141" s="2987" t="s">
        <v>3599</v>
      </c>
      <c r="K141" s="2988">
        <v>96.65</v>
      </c>
    </row>
    <row r="142" spans="2:11" ht="18" customHeight="1">
      <c r="B142" s="2986">
        <v>111</v>
      </c>
      <c r="C142" s="2987" t="s">
        <v>3482</v>
      </c>
      <c r="D142" s="2987" t="s">
        <v>3594</v>
      </c>
      <c r="E142" s="2987" t="s">
        <v>3595</v>
      </c>
      <c r="F142" s="2987">
        <v>1</v>
      </c>
      <c r="G142" s="2987">
        <v>1103</v>
      </c>
      <c r="H142" s="2987" t="s">
        <v>3609</v>
      </c>
      <c r="I142" s="2987" t="s">
        <v>3486</v>
      </c>
      <c r="J142" s="2987" t="s">
        <v>3599</v>
      </c>
      <c r="K142" s="2988">
        <v>96.65</v>
      </c>
    </row>
    <row r="143" spans="2:11" ht="18" customHeight="1">
      <c r="B143" s="2986">
        <v>112</v>
      </c>
      <c r="C143" s="2987" t="s">
        <v>3482</v>
      </c>
      <c r="D143" s="2987" t="s">
        <v>3594</v>
      </c>
      <c r="E143" s="2987" t="s">
        <v>3595</v>
      </c>
      <c r="F143" s="2987">
        <v>1</v>
      </c>
      <c r="G143" s="2987">
        <v>1104</v>
      </c>
      <c r="H143" s="2987" t="s">
        <v>3610</v>
      </c>
      <c r="I143" s="2987" t="s">
        <v>3486</v>
      </c>
      <c r="J143" s="2987" t="s">
        <v>3602</v>
      </c>
      <c r="K143" s="2988">
        <v>111.57</v>
      </c>
    </row>
    <row r="144" spans="2:11" ht="18" customHeight="1">
      <c r="B144" s="2986">
        <v>113</v>
      </c>
      <c r="C144" s="2987" t="s">
        <v>3482</v>
      </c>
      <c r="D144" s="2987" t="s">
        <v>3594</v>
      </c>
      <c r="E144" s="2987" t="s">
        <v>3595</v>
      </c>
      <c r="F144" s="2987">
        <v>1</v>
      </c>
      <c r="G144" s="2987">
        <v>201</v>
      </c>
      <c r="H144" s="2987" t="s">
        <v>3611</v>
      </c>
      <c r="I144" s="2987" t="s">
        <v>3486</v>
      </c>
      <c r="J144" s="2987" t="s">
        <v>3597</v>
      </c>
      <c r="K144" s="2988">
        <v>128.9</v>
      </c>
    </row>
    <row r="145" spans="2:11" ht="18" customHeight="1">
      <c r="B145" s="2986">
        <v>114</v>
      </c>
      <c r="C145" s="2987" t="s">
        <v>3482</v>
      </c>
      <c r="D145" s="2987" t="s">
        <v>3594</v>
      </c>
      <c r="E145" s="2987" t="s">
        <v>3595</v>
      </c>
      <c r="F145" s="2987">
        <v>1</v>
      </c>
      <c r="G145" s="2987">
        <v>202</v>
      </c>
      <c r="H145" s="2987" t="s">
        <v>3612</v>
      </c>
      <c r="I145" s="2987" t="s">
        <v>3486</v>
      </c>
      <c r="J145" s="2987" t="s">
        <v>3599</v>
      </c>
      <c r="K145" s="2988">
        <v>96.65</v>
      </c>
    </row>
    <row r="146" spans="2:11" ht="18" customHeight="1">
      <c r="B146" s="2986">
        <v>115</v>
      </c>
      <c r="C146" s="2987" t="s">
        <v>3482</v>
      </c>
      <c r="D146" s="2987" t="s">
        <v>3594</v>
      </c>
      <c r="E146" s="2987" t="s">
        <v>3595</v>
      </c>
      <c r="F146" s="2987">
        <v>1</v>
      </c>
      <c r="G146" s="2987">
        <v>203</v>
      </c>
      <c r="H146" s="2987" t="s">
        <v>3613</v>
      </c>
      <c r="I146" s="2987" t="s">
        <v>3486</v>
      </c>
      <c r="J146" s="2987" t="s">
        <v>3599</v>
      </c>
      <c r="K146" s="2988">
        <v>96.65</v>
      </c>
    </row>
    <row r="147" spans="2:11" ht="18" customHeight="1">
      <c r="B147" s="2986">
        <v>116</v>
      </c>
      <c r="C147" s="2987" t="s">
        <v>3482</v>
      </c>
      <c r="D147" s="2987" t="s">
        <v>3594</v>
      </c>
      <c r="E147" s="2987" t="s">
        <v>3595</v>
      </c>
      <c r="F147" s="2987">
        <v>1</v>
      </c>
      <c r="G147" s="2987">
        <v>204</v>
      </c>
      <c r="H147" s="2987" t="s">
        <v>3614</v>
      </c>
      <c r="I147" s="2987" t="s">
        <v>3486</v>
      </c>
      <c r="J147" s="2987" t="s">
        <v>3602</v>
      </c>
      <c r="K147" s="2988">
        <v>111.57</v>
      </c>
    </row>
    <row r="148" spans="2:11" ht="18" customHeight="1">
      <c r="B148" s="2986">
        <v>117</v>
      </c>
      <c r="C148" s="2987" t="s">
        <v>3482</v>
      </c>
      <c r="D148" s="2987" t="s">
        <v>3594</v>
      </c>
      <c r="E148" s="2987" t="s">
        <v>3595</v>
      </c>
      <c r="F148" s="2987">
        <v>1</v>
      </c>
      <c r="G148" s="2987">
        <v>301</v>
      </c>
      <c r="H148" s="2987" t="s">
        <v>3615</v>
      </c>
      <c r="I148" s="2987" t="s">
        <v>3486</v>
      </c>
      <c r="J148" s="2987" t="s">
        <v>3597</v>
      </c>
      <c r="K148" s="2988">
        <v>128.9</v>
      </c>
    </row>
    <row r="149" spans="2:11" ht="18" customHeight="1">
      <c r="B149" s="2986">
        <v>118</v>
      </c>
      <c r="C149" s="2987" t="s">
        <v>3482</v>
      </c>
      <c r="D149" s="2987" t="s">
        <v>3594</v>
      </c>
      <c r="E149" s="2987" t="s">
        <v>3595</v>
      </c>
      <c r="F149" s="2987">
        <v>1</v>
      </c>
      <c r="G149" s="2987">
        <v>302</v>
      </c>
      <c r="H149" s="2987" t="s">
        <v>3616</v>
      </c>
      <c r="I149" s="2987" t="s">
        <v>3486</v>
      </c>
      <c r="J149" s="2987" t="s">
        <v>3599</v>
      </c>
      <c r="K149" s="2988">
        <v>96.65</v>
      </c>
    </row>
    <row r="150" spans="2:11" ht="18" customHeight="1">
      <c r="B150" s="2986">
        <v>119</v>
      </c>
      <c r="C150" s="2987" t="s">
        <v>3482</v>
      </c>
      <c r="D150" s="2987" t="s">
        <v>3594</v>
      </c>
      <c r="E150" s="2987" t="s">
        <v>3595</v>
      </c>
      <c r="F150" s="2987">
        <v>1</v>
      </c>
      <c r="G150" s="2987">
        <v>303</v>
      </c>
      <c r="H150" s="2987" t="s">
        <v>3617</v>
      </c>
      <c r="I150" s="2987" t="s">
        <v>3486</v>
      </c>
      <c r="J150" s="2987" t="s">
        <v>3599</v>
      </c>
      <c r="K150" s="2988">
        <v>96.65</v>
      </c>
    </row>
    <row r="151" spans="2:11" ht="18" customHeight="1">
      <c r="B151" s="2986">
        <v>120</v>
      </c>
      <c r="C151" s="2987" t="s">
        <v>3482</v>
      </c>
      <c r="D151" s="2987" t="s">
        <v>3594</v>
      </c>
      <c r="E151" s="2987" t="s">
        <v>3595</v>
      </c>
      <c r="F151" s="2987">
        <v>1</v>
      </c>
      <c r="G151" s="2987">
        <v>304</v>
      </c>
      <c r="H151" s="2987" t="s">
        <v>3618</v>
      </c>
      <c r="I151" s="2987" t="s">
        <v>3486</v>
      </c>
      <c r="J151" s="2987" t="s">
        <v>3602</v>
      </c>
      <c r="K151" s="2988">
        <v>111.57</v>
      </c>
    </row>
    <row r="152" spans="2:11" ht="18" customHeight="1">
      <c r="B152" s="2986">
        <v>121</v>
      </c>
      <c r="C152" s="2987" t="s">
        <v>3482</v>
      </c>
      <c r="D152" s="2987" t="s">
        <v>3594</v>
      </c>
      <c r="E152" s="2987" t="s">
        <v>3595</v>
      </c>
      <c r="F152" s="2987">
        <v>1</v>
      </c>
      <c r="G152" s="2987">
        <v>401</v>
      </c>
      <c r="H152" s="2987" t="s">
        <v>3619</v>
      </c>
      <c r="I152" s="2987" t="s">
        <v>3486</v>
      </c>
      <c r="J152" s="2987" t="s">
        <v>3597</v>
      </c>
      <c r="K152" s="2988">
        <v>128.9</v>
      </c>
    </row>
    <row r="153" spans="2:11" ht="18" customHeight="1">
      <c r="B153" s="2986">
        <v>122</v>
      </c>
      <c r="C153" s="2987" t="s">
        <v>3482</v>
      </c>
      <c r="D153" s="2987" t="s">
        <v>3594</v>
      </c>
      <c r="E153" s="2987" t="s">
        <v>3595</v>
      </c>
      <c r="F153" s="2987">
        <v>1</v>
      </c>
      <c r="G153" s="2987">
        <v>402</v>
      </c>
      <c r="H153" s="2987" t="s">
        <v>3620</v>
      </c>
      <c r="I153" s="2987" t="s">
        <v>3486</v>
      </c>
      <c r="J153" s="2987" t="s">
        <v>3599</v>
      </c>
      <c r="K153" s="2988">
        <v>96.65</v>
      </c>
    </row>
    <row r="154" spans="2:11" ht="18" customHeight="1">
      <c r="B154" s="2986">
        <v>123</v>
      </c>
      <c r="C154" s="2987" t="s">
        <v>3482</v>
      </c>
      <c r="D154" s="2987" t="s">
        <v>3594</v>
      </c>
      <c r="E154" s="2987" t="s">
        <v>3595</v>
      </c>
      <c r="F154" s="2987">
        <v>1</v>
      </c>
      <c r="G154" s="2987">
        <v>403</v>
      </c>
      <c r="H154" s="2987" t="s">
        <v>3621</v>
      </c>
      <c r="I154" s="2987" t="s">
        <v>3486</v>
      </c>
      <c r="J154" s="2987" t="s">
        <v>3599</v>
      </c>
      <c r="K154" s="2988">
        <v>96.65</v>
      </c>
    </row>
    <row r="155" spans="2:11" ht="18" customHeight="1">
      <c r="B155" s="2986">
        <v>124</v>
      </c>
      <c r="C155" s="2987" t="s">
        <v>3482</v>
      </c>
      <c r="D155" s="2987" t="s">
        <v>3594</v>
      </c>
      <c r="E155" s="2987" t="s">
        <v>3595</v>
      </c>
      <c r="F155" s="2987">
        <v>1</v>
      </c>
      <c r="G155" s="2987">
        <v>404</v>
      </c>
      <c r="H155" s="2987" t="s">
        <v>3622</v>
      </c>
      <c r="I155" s="2987" t="s">
        <v>3486</v>
      </c>
      <c r="J155" s="2987" t="s">
        <v>3602</v>
      </c>
      <c r="K155" s="2988">
        <v>111.57</v>
      </c>
    </row>
    <row r="156" spans="2:11" ht="18" customHeight="1">
      <c r="B156" s="2986">
        <v>125</v>
      </c>
      <c r="C156" s="2987" t="s">
        <v>3482</v>
      </c>
      <c r="D156" s="2987" t="s">
        <v>3594</v>
      </c>
      <c r="E156" s="2987" t="s">
        <v>3595</v>
      </c>
      <c r="F156" s="2987">
        <v>1</v>
      </c>
      <c r="G156" s="2987">
        <v>501</v>
      </c>
      <c r="H156" s="2987" t="s">
        <v>3623</v>
      </c>
      <c r="I156" s="2987" t="s">
        <v>3486</v>
      </c>
      <c r="J156" s="2987" t="s">
        <v>3597</v>
      </c>
      <c r="K156" s="2988">
        <v>128.9</v>
      </c>
    </row>
    <row r="157" spans="2:11" ht="18" customHeight="1">
      <c r="B157" s="2986">
        <v>126</v>
      </c>
      <c r="C157" s="2987" t="s">
        <v>3482</v>
      </c>
      <c r="D157" s="2987" t="s">
        <v>3594</v>
      </c>
      <c r="E157" s="2987" t="s">
        <v>3595</v>
      </c>
      <c r="F157" s="2987">
        <v>1</v>
      </c>
      <c r="G157" s="2987">
        <v>502</v>
      </c>
      <c r="H157" s="2987" t="s">
        <v>3624</v>
      </c>
      <c r="I157" s="2987" t="s">
        <v>3486</v>
      </c>
      <c r="J157" s="2987" t="s">
        <v>3599</v>
      </c>
      <c r="K157" s="2988">
        <v>96.65</v>
      </c>
    </row>
    <row r="158" spans="2:11" ht="18" customHeight="1">
      <c r="B158" s="2986">
        <v>127</v>
      </c>
      <c r="C158" s="2987" t="s">
        <v>3482</v>
      </c>
      <c r="D158" s="2987" t="s">
        <v>3594</v>
      </c>
      <c r="E158" s="2987" t="s">
        <v>3595</v>
      </c>
      <c r="F158" s="2987">
        <v>1</v>
      </c>
      <c r="G158" s="2987">
        <v>503</v>
      </c>
      <c r="H158" s="2987" t="s">
        <v>3625</v>
      </c>
      <c r="I158" s="2987" t="s">
        <v>3486</v>
      </c>
      <c r="J158" s="2987" t="s">
        <v>3599</v>
      </c>
      <c r="K158" s="2988">
        <v>96.65</v>
      </c>
    </row>
    <row r="159" spans="2:11" ht="18" customHeight="1">
      <c r="B159" s="2986">
        <v>128</v>
      </c>
      <c r="C159" s="2987" t="s">
        <v>3482</v>
      </c>
      <c r="D159" s="2987" t="s">
        <v>3594</v>
      </c>
      <c r="E159" s="2987" t="s">
        <v>3595</v>
      </c>
      <c r="F159" s="2987">
        <v>1</v>
      </c>
      <c r="G159" s="2987">
        <v>504</v>
      </c>
      <c r="H159" s="2987" t="s">
        <v>3626</v>
      </c>
      <c r="I159" s="2987" t="s">
        <v>3486</v>
      </c>
      <c r="J159" s="2987" t="s">
        <v>3602</v>
      </c>
      <c r="K159" s="2988">
        <v>111.57</v>
      </c>
    </row>
    <row r="160" spans="2:11" ht="18" customHeight="1">
      <c r="B160" s="2986">
        <v>129</v>
      </c>
      <c r="C160" s="2987" t="s">
        <v>3482</v>
      </c>
      <c r="D160" s="2987" t="s">
        <v>3594</v>
      </c>
      <c r="E160" s="2987" t="s">
        <v>3595</v>
      </c>
      <c r="F160" s="2987">
        <v>1</v>
      </c>
      <c r="G160" s="2987">
        <v>601</v>
      </c>
      <c r="H160" s="2987" t="s">
        <v>3627</v>
      </c>
      <c r="I160" s="2987" t="s">
        <v>3486</v>
      </c>
      <c r="J160" s="2987" t="s">
        <v>3597</v>
      </c>
      <c r="K160" s="2988">
        <v>128.9</v>
      </c>
    </row>
    <row r="161" spans="2:11" ht="18" customHeight="1">
      <c r="B161" s="2986">
        <v>130</v>
      </c>
      <c r="C161" s="2987" t="s">
        <v>3482</v>
      </c>
      <c r="D161" s="2987" t="s">
        <v>3594</v>
      </c>
      <c r="E161" s="2987" t="s">
        <v>3595</v>
      </c>
      <c r="F161" s="2987">
        <v>1</v>
      </c>
      <c r="G161" s="2987">
        <v>602</v>
      </c>
      <c r="H161" s="2987" t="s">
        <v>3628</v>
      </c>
      <c r="I161" s="2987" t="s">
        <v>3486</v>
      </c>
      <c r="J161" s="2987" t="s">
        <v>3599</v>
      </c>
      <c r="K161" s="2988">
        <v>96.65</v>
      </c>
    </row>
    <row r="162" spans="2:11" ht="18" customHeight="1">
      <c r="B162" s="2986">
        <v>131</v>
      </c>
      <c r="C162" s="2987" t="s">
        <v>3482</v>
      </c>
      <c r="D162" s="2987" t="s">
        <v>3594</v>
      </c>
      <c r="E162" s="2987" t="s">
        <v>3595</v>
      </c>
      <c r="F162" s="2987">
        <v>1</v>
      </c>
      <c r="G162" s="2987">
        <v>603</v>
      </c>
      <c r="H162" s="2987" t="s">
        <v>3629</v>
      </c>
      <c r="I162" s="2987" t="s">
        <v>3486</v>
      </c>
      <c r="J162" s="2987" t="s">
        <v>3599</v>
      </c>
      <c r="K162" s="2988">
        <v>96.65</v>
      </c>
    </row>
    <row r="163" spans="2:11" ht="18" customHeight="1">
      <c r="B163" s="2986">
        <v>132</v>
      </c>
      <c r="C163" s="2987" t="s">
        <v>3482</v>
      </c>
      <c r="D163" s="2987" t="s">
        <v>3594</v>
      </c>
      <c r="E163" s="2987" t="s">
        <v>3595</v>
      </c>
      <c r="F163" s="2987">
        <v>1</v>
      </c>
      <c r="G163" s="2987">
        <v>604</v>
      </c>
      <c r="H163" s="2987" t="s">
        <v>3630</v>
      </c>
      <c r="I163" s="2987" t="s">
        <v>3486</v>
      </c>
      <c r="J163" s="2987" t="s">
        <v>3602</v>
      </c>
      <c r="K163" s="2988">
        <v>111.57</v>
      </c>
    </row>
    <row r="164" spans="2:11" ht="18" customHeight="1">
      <c r="B164" s="2986">
        <v>133</v>
      </c>
      <c r="C164" s="2987" t="s">
        <v>3482</v>
      </c>
      <c r="D164" s="2987" t="s">
        <v>3594</v>
      </c>
      <c r="E164" s="2987" t="s">
        <v>3595</v>
      </c>
      <c r="F164" s="2987">
        <v>1</v>
      </c>
      <c r="G164" s="2987">
        <v>701</v>
      </c>
      <c r="H164" s="2987" t="s">
        <v>3631</v>
      </c>
      <c r="I164" s="2987" t="s">
        <v>3486</v>
      </c>
      <c r="J164" s="2987" t="s">
        <v>3597</v>
      </c>
      <c r="K164" s="2988">
        <v>128.9</v>
      </c>
    </row>
    <row r="165" spans="2:11" ht="18" customHeight="1">
      <c r="B165" s="2986">
        <v>134</v>
      </c>
      <c r="C165" s="2987" t="s">
        <v>3482</v>
      </c>
      <c r="D165" s="2987" t="s">
        <v>3594</v>
      </c>
      <c r="E165" s="2987" t="s">
        <v>3595</v>
      </c>
      <c r="F165" s="2987">
        <v>1</v>
      </c>
      <c r="G165" s="2987">
        <v>702</v>
      </c>
      <c r="H165" s="2987" t="s">
        <v>3632</v>
      </c>
      <c r="I165" s="2987" t="s">
        <v>3486</v>
      </c>
      <c r="J165" s="2987" t="s">
        <v>3599</v>
      </c>
      <c r="K165" s="2988">
        <v>96.65</v>
      </c>
    </row>
    <row r="166" spans="2:11" ht="18" customHeight="1">
      <c r="B166" s="2986">
        <v>135</v>
      </c>
      <c r="C166" s="2987" t="s">
        <v>3482</v>
      </c>
      <c r="D166" s="2987" t="s">
        <v>3594</v>
      </c>
      <c r="E166" s="2987" t="s">
        <v>3595</v>
      </c>
      <c r="F166" s="2987">
        <v>1</v>
      </c>
      <c r="G166" s="2987">
        <v>703</v>
      </c>
      <c r="H166" s="2987" t="s">
        <v>3633</v>
      </c>
      <c r="I166" s="2987" t="s">
        <v>3486</v>
      </c>
      <c r="J166" s="2987" t="s">
        <v>3599</v>
      </c>
      <c r="K166" s="2988">
        <v>96.65</v>
      </c>
    </row>
    <row r="167" spans="2:11" ht="18" customHeight="1">
      <c r="B167" s="2986">
        <v>136</v>
      </c>
      <c r="C167" s="2987" t="s">
        <v>3482</v>
      </c>
      <c r="D167" s="2987" t="s">
        <v>3594</v>
      </c>
      <c r="E167" s="2987" t="s">
        <v>3595</v>
      </c>
      <c r="F167" s="2987">
        <v>1</v>
      </c>
      <c r="G167" s="2987">
        <v>704</v>
      </c>
      <c r="H167" s="2987" t="s">
        <v>3634</v>
      </c>
      <c r="I167" s="2987" t="s">
        <v>3486</v>
      </c>
      <c r="J167" s="2987" t="s">
        <v>3602</v>
      </c>
      <c r="K167" s="2988">
        <v>111.57</v>
      </c>
    </row>
    <row r="168" spans="2:11" ht="18" customHeight="1">
      <c r="B168" s="2986">
        <v>137</v>
      </c>
      <c r="C168" s="2987" t="s">
        <v>3482</v>
      </c>
      <c r="D168" s="2987" t="s">
        <v>3594</v>
      </c>
      <c r="E168" s="2987" t="s">
        <v>3595</v>
      </c>
      <c r="F168" s="2987">
        <v>1</v>
      </c>
      <c r="G168" s="2987">
        <v>801</v>
      </c>
      <c r="H168" s="2987" t="s">
        <v>3635</v>
      </c>
      <c r="I168" s="2987" t="s">
        <v>3486</v>
      </c>
      <c r="J168" s="2987" t="s">
        <v>3597</v>
      </c>
      <c r="K168" s="2988">
        <v>128.9</v>
      </c>
    </row>
    <row r="169" spans="2:11" ht="18" customHeight="1">
      <c r="B169" s="2986">
        <v>138</v>
      </c>
      <c r="C169" s="2987" t="s">
        <v>3482</v>
      </c>
      <c r="D169" s="2987" t="s">
        <v>3594</v>
      </c>
      <c r="E169" s="2987" t="s">
        <v>3595</v>
      </c>
      <c r="F169" s="2987">
        <v>1</v>
      </c>
      <c r="G169" s="2987">
        <v>802</v>
      </c>
      <c r="H169" s="2987" t="s">
        <v>3636</v>
      </c>
      <c r="I169" s="2987" t="s">
        <v>3486</v>
      </c>
      <c r="J169" s="2987" t="s">
        <v>3599</v>
      </c>
      <c r="K169" s="2988">
        <v>96.65</v>
      </c>
    </row>
    <row r="170" spans="2:11" ht="18" customHeight="1">
      <c r="B170" s="2986">
        <v>139</v>
      </c>
      <c r="C170" s="2987" t="s">
        <v>3482</v>
      </c>
      <c r="D170" s="2987" t="s">
        <v>3594</v>
      </c>
      <c r="E170" s="2987" t="s">
        <v>3595</v>
      </c>
      <c r="F170" s="2987">
        <v>1</v>
      </c>
      <c r="G170" s="2987">
        <v>803</v>
      </c>
      <c r="H170" s="2987" t="s">
        <v>3637</v>
      </c>
      <c r="I170" s="2987" t="s">
        <v>3486</v>
      </c>
      <c r="J170" s="2987" t="s">
        <v>3599</v>
      </c>
      <c r="K170" s="2988">
        <v>96.65</v>
      </c>
    </row>
    <row r="171" spans="2:11" ht="18" customHeight="1">
      <c r="B171" s="2986">
        <v>140</v>
      </c>
      <c r="C171" s="2987" t="s">
        <v>3482</v>
      </c>
      <c r="D171" s="2987" t="s">
        <v>3594</v>
      </c>
      <c r="E171" s="2987" t="s">
        <v>3595</v>
      </c>
      <c r="F171" s="2987">
        <v>1</v>
      </c>
      <c r="G171" s="2987">
        <v>804</v>
      </c>
      <c r="H171" s="2987" t="s">
        <v>3638</v>
      </c>
      <c r="I171" s="2987" t="s">
        <v>3486</v>
      </c>
      <c r="J171" s="2987" t="s">
        <v>3602</v>
      </c>
      <c r="K171" s="2988">
        <v>111.57</v>
      </c>
    </row>
    <row r="172" spans="2:11" ht="18" customHeight="1">
      <c r="B172" s="2986">
        <v>141</v>
      </c>
      <c r="C172" s="2987" t="s">
        <v>3482</v>
      </c>
      <c r="D172" s="2987" t="s">
        <v>3594</v>
      </c>
      <c r="E172" s="2987" t="s">
        <v>3595</v>
      </c>
      <c r="F172" s="2987">
        <v>1</v>
      </c>
      <c r="G172" s="2987">
        <v>901</v>
      </c>
      <c r="H172" s="2987" t="s">
        <v>3639</v>
      </c>
      <c r="I172" s="2987" t="s">
        <v>3486</v>
      </c>
      <c r="J172" s="2987" t="s">
        <v>3597</v>
      </c>
      <c r="K172" s="2988">
        <v>128.9</v>
      </c>
    </row>
    <row r="173" spans="2:11" ht="18" customHeight="1">
      <c r="B173" s="2986">
        <v>142</v>
      </c>
      <c r="C173" s="2987" t="s">
        <v>3482</v>
      </c>
      <c r="D173" s="2987" t="s">
        <v>3594</v>
      </c>
      <c r="E173" s="2987" t="s">
        <v>3595</v>
      </c>
      <c r="F173" s="2987">
        <v>1</v>
      </c>
      <c r="G173" s="2987">
        <v>902</v>
      </c>
      <c r="H173" s="2987" t="s">
        <v>3640</v>
      </c>
      <c r="I173" s="2987" t="s">
        <v>3486</v>
      </c>
      <c r="J173" s="2987" t="s">
        <v>3599</v>
      </c>
      <c r="K173" s="2988">
        <v>96.65</v>
      </c>
    </row>
    <row r="174" spans="2:11" ht="18" customHeight="1">
      <c r="B174" s="2986">
        <v>143</v>
      </c>
      <c r="C174" s="2987" t="s">
        <v>3482</v>
      </c>
      <c r="D174" s="2987" t="s">
        <v>3594</v>
      </c>
      <c r="E174" s="2987" t="s">
        <v>3595</v>
      </c>
      <c r="F174" s="2987">
        <v>1</v>
      </c>
      <c r="G174" s="2987">
        <v>903</v>
      </c>
      <c r="H174" s="2987" t="s">
        <v>3641</v>
      </c>
      <c r="I174" s="2987" t="s">
        <v>3486</v>
      </c>
      <c r="J174" s="2987" t="s">
        <v>3599</v>
      </c>
      <c r="K174" s="2988">
        <v>96.65</v>
      </c>
    </row>
    <row r="175" spans="2:11" ht="18" customHeight="1">
      <c r="B175" s="2986">
        <v>144</v>
      </c>
      <c r="C175" s="2987" t="s">
        <v>3482</v>
      </c>
      <c r="D175" s="2987" t="s">
        <v>3594</v>
      </c>
      <c r="E175" s="2987" t="s">
        <v>3595</v>
      </c>
      <c r="F175" s="2987">
        <v>1</v>
      </c>
      <c r="G175" s="2987">
        <v>904</v>
      </c>
      <c r="H175" s="2987" t="s">
        <v>3642</v>
      </c>
      <c r="I175" s="2987" t="s">
        <v>3486</v>
      </c>
      <c r="J175" s="2987" t="s">
        <v>3602</v>
      </c>
      <c r="K175" s="2988">
        <v>111.57</v>
      </c>
    </row>
    <row r="176" spans="2:11" ht="18" customHeight="1">
      <c r="B176" s="2986">
        <v>145</v>
      </c>
      <c r="C176" s="2987" t="s">
        <v>3482</v>
      </c>
      <c r="D176" s="2987" t="s">
        <v>3594</v>
      </c>
      <c r="E176" s="2987" t="s">
        <v>3595</v>
      </c>
      <c r="F176" s="2987">
        <v>2</v>
      </c>
      <c r="G176" s="2987">
        <v>1001</v>
      </c>
      <c r="H176" s="2987" t="s">
        <v>3643</v>
      </c>
      <c r="I176" s="2987" t="s">
        <v>3486</v>
      </c>
      <c r="J176" s="2987" t="s">
        <v>3602</v>
      </c>
      <c r="K176" s="2988">
        <v>111.57</v>
      </c>
    </row>
    <row r="177" spans="2:11" ht="18" customHeight="1">
      <c r="B177" s="2986">
        <v>146</v>
      </c>
      <c r="C177" s="2987" t="s">
        <v>3482</v>
      </c>
      <c r="D177" s="2987" t="s">
        <v>3594</v>
      </c>
      <c r="E177" s="2987" t="s">
        <v>3595</v>
      </c>
      <c r="F177" s="2987">
        <v>2</v>
      </c>
      <c r="G177" s="2987">
        <v>1002</v>
      </c>
      <c r="H177" s="2987" t="s">
        <v>3644</v>
      </c>
      <c r="I177" s="2987" t="s">
        <v>3486</v>
      </c>
      <c r="J177" s="2987" t="s">
        <v>3599</v>
      </c>
      <c r="K177" s="2988">
        <v>96.65</v>
      </c>
    </row>
    <row r="178" spans="2:11" ht="18" customHeight="1">
      <c r="B178" s="2986">
        <v>147</v>
      </c>
      <c r="C178" s="2987" t="s">
        <v>3482</v>
      </c>
      <c r="D178" s="2987" t="s">
        <v>3594</v>
      </c>
      <c r="E178" s="2987" t="s">
        <v>3595</v>
      </c>
      <c r="F178" s="2987">
        <v>2</v>
      </c>
      <c r="G178" s="2987">
        <v>1003</v>
      </c>
      <c r="H178" s="2987" t="s">
        <v>3645</v>
      </c>
      <c r="I178" s="2987" t="s">
        <v>3486</v>
      </c>
      <c r="J178" s="2987" t="s">
        <v>3599</v>
      </c>
      <c r="K178" s="2988">
        <v>96.65</v>
      </c>
    </row>
    <row r="179" spans="2:11" ht="18" customHeight="1">
      <c r="B179" s="2986">
        <v>148</v>
      </c>
      <c r="C179" s="2987" t="s">
        <v>3482</v>
      </c>
      <c r="D179" s="2987" t="s">
        <v>3594</v>
      </c>
      <c r="E179" s="2987" t="s">
        <v>3595</v>
      </c>
      <c r="F179" s="2987">
        <v>2</v>
      </c>
      <c r="G179" s="2987">
        <v>1004</v>
      </c>
      <c r="H179" s="2987" t="s">
        <v>3646</v>
      </c>
      <c r="I179" s="2987" t="s">
        <v>3486</v>
      </c>
      <c r="J179" s="2987" t="s">
        <v>3597</v>
      </c>
      <c r="K179" s="2988">
        <v>128.9</v>
      </c>
    </row>
    <row r="180" spans="2:11" ht="18" customHeight="1">
      <c r="B180" s="2986">
        <v>149</v>
      </c>
      <c r="C180" s="2987" t="s">
        <v>3482</v>
      </c>
      <c r="D180" s="2987" t="s">
        <v>3594</v>
      </c>
      <c r="E180" s="2987" t="s">
        <v>3595</v>
      </c>
      <c r="F180" s="2987">
        <v>2</v>
      </c>
      <c r="G180" s="2987">
        <v>101</v>
      </c>
      <c r="H180" s="2987" t="s">
        <v>3647</v>
      </c>
      <c r="I180" s="2987" t="s">
        <v>3486</v>
      </c>
      <c r="J180" s="2987" t="s">
        <v>3602</v>
      </c>
      <c r="K180" s="2988">
        <v>111.57</v>
      </c>
    </row>
    <row r="181" spans="2:11" ht="18" customHeight="1">
      <c r="B181" s="2986">
        <v>150</v>
      </c>
      <c r="C181" s="2987" t="s">
        <v>3482</v>
      </c>
      <c r="D181" s="2987" t="s">
        <v>3594</v>
      </c>
      <c r="E181" s="2987" t="s">
        <v>3595</v>
      </c>
      <c r="F181" s="2987">
        <v>2</v>
      </c>
      <c r="G181" s="2987">
        <v>102</v>
      </c>
      <c r="H181" s="2987" t="s">
        <v>3648</v>
      </c>
      <c r="I181" s="2987" t="s">
        <v>3486</v>
      </c>
      <c r="J181" s="2987" t="s">
        <v>3599</v>
      </c>
      <c r="K181" s="2988">
        <v>96.65</v>
      </c>
    </row>
    <row r="182" spans="2:11" ht="18" customHeight="1">
      <c r="B182" s="2986">
        <v>151</v>
      </c>
      <c r="C182" s="2987" t="s">
        <v>3482</v>
      </c>
      <c r="D182" s="2987" t="s">
        <v>3594</v>
      </c>
      <c r="E182" s="2987" t="s">
        <v>3595</v>
      </c>
      <c r="F182" s="2987">
        <v>2</v>
      </c>
      <c r="G182" s="2987">
        <v>103</v>
      </c>
      <c r="H182" s="2987" t="s">
        <v>3649</v>
      </c>
      <c r="I182" s="2987" t="s">
        <v>3486</v>
      </c>
      <c r="J182" s="2987" t="s">
        <v>3599</v>
      </c>
      <c r="K182" s="2988">
        <v>96.65</v>
      </c>
    </row>
    <row r="183" spans="2:11" ht="18" customHeight="1">
      <c r="B183" s="2986">
        <v>152</v>
      </c>
      <c r="C183" s="2987" t="s">
        <v>3482</v>
      </c>
      <c r="D183" s="2987" t="s">
        <v>3594</v>
      </c>
      <c r="E183" s="2987" t="s">
        <v>3595</v>
      </c>
      <c r="F183" s="2987">
        <v>2</v>
      </c>
      <c r="G183" s="2987">
        <v>104</v>
      </c>
      <c r="H183" s="2987" t="s">
        <v>3650</v>
      </c>
      <c r="I183" s="2987" t="s">
        <v>3486</v>
      </c>
      <c r="J183" s="2987" t="s">
        <v>3597</v>
      </c>
      <c r="K183" s="2988">
        <v>128.9</v>
      </c>
    </row>
    <row r="184" spans="2:11" ht="18" customHeight="1">
      <c r="B184" s="2986">
        <v>153</v>
      </c>
      <c r="C184" s="2987" t="s">
        <v>3482</v>
      </c>
      <c r="D184" s="2987" t="s">
        <v>3594</v>
      </c>
      <c r="E184" s="2987" t="s">
        <v>3595</v>
      </c>
      <c r="F184" s="2987">
        <v>2</v>
      </c>
      <c r="G184" s="2987">
        <v>1101</v>
      </c>
      <c r="H184" s="2987" t="s">
        <v>3651</v>
      </c>
      <c r="I184" s="2987" t="s">
        <v>3486</v>
      </c>
      <c r="J184" s="2987" t="s">
        <v>3602</v>
      </c>
      <c r="K184" s="2988">
        <v>111.57</v>
      </c>
    </row>
    <row r="185" spans="2:11" ht="18" customHeight="1">
      <c r="B185" s="2986">
        <v>154</v>
      </c>
      <c r="C185" s="2987" t="s">
        <v>3482</v>
      </c>
      <c r="D185" s="2987" t="s">
        <v>3594</v>
      </c>
      <c r="E185" s="2987" t="s">
        <v>3595</v>
      </c>
      <c r="F185" s="2987">
        <v>2</v>
      </c>
      <c r="G185" s="2987">
        <v>1102</v>
      </c>
      <c r="H185" s="2987" t="s">
        <v>3652</v>
      </c>
      <c r="I185" s="2987" t="s">
        <v>3486</v>
      </c>
      <c r="J185" s="2987" t="s">
        <v>3599</v>
      </c>
      <c r="K185" s="2988">
        <v>96.65</v>
      </c>
    </row>
    <row r="186" spans="2:11" ht="18" customHeight="1">
      <c r="B186" s="2986">
        <v>155</v>
      </c>
      <c r="C186" s="2987" t="s">
        <v>3482</v>
      </c>
      <c r="D186" s="2987" t="s">
        <v>3594</v>
      </c>
      <c r="E186" s="2987" t="s">
        <v>3595</v>
      </c>
      <c r="F186" s="2987">
        <v>2</v>
      </c>
      <c r="G186" s="2987">
        <v>1103</v>
      </c>
      <c r="H186" s="2987" t="s">
        <v>3653</v>
      </c>
      <c r="I186" s="2987" t="s">
        <v>3486</v>
      </c>
      <c r="J186" s="2987" t="s">
        <v>3599</v>
      </c>
      <c r="K186" s="2988">
        <v>96.65</v>
      </c>
    </row>
    <row r="187" spans="2:11" ht="18" customHeight="1">
      <c r="B187" s="2986">
        <v>156</v>
      </c>
      <c r="C187" s="2987" t="s">
        <v>3482</v>
      </c>
      <c r="D187" s="2987" t="s">
        <v>3594</v>
      </c>
      <c r="E187" s="2987" t="s">
        <v>3595</v>
      </c>
      <c r="F187" s="2987">
        <v>2</v>
      </c>
      <c r="G187" s="2987">
        <v>1104</v>
      </c>
      <c r="H187" s="2987" t="s">
        <v>3654</v>
      </c>
      <c r="I187" s="2987" t="s">
        <v>3486</v>
      </c>
      <c r="J187" s="2987" t="s">
        <v>3597</v>
      </c>
      <c r="K187" s="2988">
        <v>128.9</v>
      </c>
    </row>
    <row r="188" spans="2:11" ht="18" customHeight="1">
      <c r="B188" s="2986">
        <v>157</v>
      </c>
      <c r="C188" s="2987" t="s">
        <v>3482</v>
      </c>
      <c r="D188" s="2987" t="s">
        <v>3594</v>
      </c>
      <c r="E188" s="2987" t="s">
        <v>3595</v>
      </c>
      <c r="F188" s="2987">
        <v>2</v>
      </c>
      <c r="G188" s="2987">
        <v>201</v>
      </c>
      <c r="H188" s="2987" t="s">
        <v>3655</v>
      </c>
      <c r="I188" s="2987" t="s">
        <v>3486</v>
      </c>
      <c r="J188" s="2987" t="s">
        <v>3602</v>
      </c>
      <c r="K188" s="2988">
        <v>111.57</v>
      </c>
    </row>
    <row r="189" spans="2:11" ht="18" customHeight="1">
      <c r="B189" s="2986">
        <v>158</v>
      </c>
      <c r="C189" s="2987" t="s">
        <v>3482</v>
      </c>
      <c r="D189" s="2987" t="s">
        <v>3594</v>
      </c>
      <c r="E189" s="2987" t="s">
        <v>3595</v>
      </c>
      <c r="F189" s="2987">
        <v>2</v>
      </c>
      <c r="G189" s="2987">
        <v>202</v>
      </c>
      <c r="H189" s="2987" t="s">
        <v>3656</v>
      </c>
      <c r="I189" s="2987" t="s">
        <v>3486</v>
      </c>
      <c r="J189" s="2987" t="s">
        <v>3599</v>
      </c>
      <c r="K189" s="2988">
        <v>96.65</v>
      </c>
    </row>
    <row r="190" spans="2:11" ht="18" customHeight="1">
      <c r="B190" s="2986">
        <v>159</v>
      </c>
      <c r="C190" s="2987" t="s">
        <v>3482</v>
      </c>
      <c r="D190" s="2987" t="s">
        <v>3594</v>
      </c>
      <c r="E190" s="2987" t="s">
        <v>3595</v>
      </c>
      <c r="F190" s="2987">
        <v>2</v>
      </c>
      <c r="G190" s="2987">
        <v>203</v>
      </c>
      <c r="H190" s="2987" t="s">
        <v>3657</v>
      </c>
      <c r="I190" s="2987" t="s">
        <v>3486</v>
      </c>
      <c r="J190" s="2987" t="s">
        <v>3599</v>
      </c>
      <c r="K190" s="2988">
        <v>96.65</v>
      </c>
    </row>
    <row r="191" spans="2:11" ht="18" customHeight="1">
      <c r="B191" s="2986">
        <v>160</v>
      </c>
      <c r="C191" s="2987" t="s">
        <v>3482</v>
      </c>
      <c r="D191" s="2987" t="s">
        <v>3594</v>
      </c>
      <c r="E191" s="2987" t="s">
        <v>3595</v>
      </c>
      <c r="F191" s="2987">
        <v>2</v>
      </c>
      <c r="G191" s="2987">
        <v>204</v>
      </c>
      <c r="H191" s="2987" t="s">
        <v>3658</v>
      </c>
      <c r="I191" s="2987" t="s">
        <v>3486</v>
      </c>
      <c r="J191" s="2987" t="s">
        <v>3597</v>
      </c>
      <c r="K191" s="2988">
        <v>128.9</v>
      </c>
    </row>
    <row r="192" spans="2:11" ht="18" customHeight="1">
      <c r="B192" s="2986">
        <v>161</v>
      </c>
      <c r="C192" s="2987" t="s">
        <v>3482</v>
      </c>
      <c r="D192" s="2987" t="s">
        <v>3594</v>
      </c>
      <c r="E192" s="2987" t="s">
        <v>3595</v>
      </c>
      <c r="F192" s="2987">
        <v>2</v>
      </c>
      <c r="G192" s="2987">
        <v>301</v>
      </c>
      <c r="H192" s="2987" t="s">
        <v>3659</v>
      </c>
      <c r="I192" s="2987" t="s">
        <v>3486</v>
      </c>
      <c r="J192" s="2987" t="s">
        <v>3602</v>
      </c>
      <c r="K192" s="2988">
        <v>111.57</v>
      </c>
    </row>
    <row r="193" spans="2:11" ht="18" customHeight="1">
      <c r="B193" s="2986">
        <v>162</v>
      </c>
      <c r="C193" s="2987" t="s">
        <v>3482</v>
      </c>
      <c r="D193" s="2987" t="s">
        <v>3594</v>
      </c>
      <c r="E193" s="2987" t="s">
        <v>3595</v>
      </c>
      <c r="F193" s="2987">
        <v>2</v>
      </c>
      <c r="G193" s="2987">
        <v>302</v>
      </c>
      <c r="H193" s="2987" t="s">
        <v>3660</v>
      </c>
      <c r="I193" s="2987" t="s">
        <v>3486</v>
      </c>
      <c r="J193" s="2987" t="s">
        <v>3599</v>
      </c>
      <c r="K193" s="2988">
        <v>96.65</v>
      </c>
    </row>
    <row r="194" spans="2:11" ht="18" customHeight="1">
      <c r="B194" s="2986">
        <v>163</v>
      </c>
      <c r="C194" s="2987" t="s">
        <v>3482</v>
      </c>
      <c r="D194" s="2987" t="s">
        <v>3594</v>
      </c>
      <c r="E194" s="2987" t="s">
        <v>3595</v>
      </c>
      <c r="F194" s="2987">
        <v>2</v>
      </c>
      <c r="G194" s="2987">
        <v>303</v>
      </c>
      <c r="H194" s="2987" t="s">
        <v>3661</v>
      </c>
      <c r="I194" s="2987" t="s">
        <v>3486</v>
      </c>
      <c r="J194" s="2987" t="s">
        <v>3599</v>
      </c>
      <c r="K194" s="2988">
        <v>96.65</v>
      </c>
    </row>
    <row r="195" spans="2:11" ht="18" customHeight="1">
      <c r="B195" s="2986">
        <v>164</v>
      </c>
      <c r="C195" s="2987" t="s">
        <v>3482</v>
      </c>
      <c r="D195" s="2987" t="s">
        <v>3594</v>
      </c>
      <c r="E195" s="2987" t="s">
        <v>3595</v>
      </c>
      <c r="F195" s="2987">
        <v>2</v>
      </c>
      <c r="G195" s="2987">
        <v>304</v>
      </c>
      <c r="H195" s="2987" t="s">
        <v>3662</v>
      </c>
      <c r="I195" s="2987" t="s">
        <v>3486</v>
      </c>
      <c r="J195" s="2987" t="s">
        <v>3597</v>
      </c>
      <c r="K195" s="2988">
        <v>128.9</v>
      </c>
    </row>
    <row r="196" spans="2:11" ht="18" customHeight="1">
      <c r="B196" s="2986">
        <v>165</v>
      </c>
      <c r="C196" s="2987" t="s">
        <v>3482</v>
      </c>
      <c r="D196" s="2987" t="s">
        <v>3594</v>
      </c>
      <c r="E196" s="2987" t="s">
        <v>3595</v>
      </c>
      <c r="F196" s="2987">
        <v>2</v>
      </c>
      <c r="G196" s="2987">
        <v>401</v>
      </c>
      <c r="H196" s="2987" t="s">
        <v>3663</v>
      </c>
      <c r="I196" s="2987" t="s">
        <v>3486</v>
      </c>
      <c r="J196" s="2987" t="s">
        <v>3602</v>
      </c>
      <c r="K196" s="2988">
        <v>111.57</v>
      </c>
    </row>
    <row r="197" spans="2:11" ht="18" customHeight="1">
      <c r="B197" s="2986">
        <v>166</v>
      </c>
      <c r="C197" s="2987" t="s">
        <v>3482</v>
      </c>
      <c r="D197" s="2987" t="s">
        <v>3594</v>
      </c>
      <c r="E197" s="2987" t="s">
        <v>3595</v>
      </c>
      <c r="F197" s="2987">
        <v>2</v>
      </c>
      <c r="G197" s="2987">
        <v>402</v>
      </c>
      <c r="H197" s="2987" t="s">
        <v>3664</v>
      </c>
      <c r="I197" s="2987" t="s">
        <v>3486</v>
      </c>
      <c r="J197" s="2987" t="s">
        <v>3599</v>
      </c>
      <c r="K197" s="2988">
        <v>96.65</v>
      </c>
    </row>
    <row r="198" spans="2:11" ht="18" customHeight="1">
      <c r="B198" s="2986">
        <v>167</v>
      </c>
      <c r="C198" s="2987" t="s">
        <v>3482</v>
      </c>
      <c r="D198" s="2987" t="s">
        <v>3594</v>
      </c>
      <c r="E198" s="2987" t="s">
        <v>3595</v>
      </c>
      <c r="F198" s="2987">
        <v>2</v>
      </c>
      <c r="G198" s="2987">
        <v>403</v>
      </c>
      <c r="H198" s="2987" t="s">
        <v>3665</v>
      </c>
      <c r="I198" s="2987" t="s">
        <v>3486</v>
      </c>
      <c r="J198" s="2987" t="s">
        <v>3599</v>
      </c>
      <c r="K198" s="2988">
        <v>96.65</v>
      </c>
    </row>
    <row r="199" spans="2:11" ht="18" customHeight="1">
      <c r="B199" s="2986">
        <v>168</v>
      </c>
      <c r="C199" s="2987" t="s">
        <v>3482</v>
      </c>
      <c r="D199" s="2987" t="s">
        <v>3594</v>
      </c>
      <c r="E199" s="2987" t="s">
        <v>3595</v>
      </c>
      <c r="F199" s="2987">
        <v>2</v>
      </c>
      <c r="G199" s="2987">
        <v>404</v>
      </c>
      <c r="H199" s="2987" t="s">
        <v>3666</v>
      </c>
      <c r="I199" s="2987" t="s">
        <v>3486</v>
      </c>
      <c r="J199" s="2987" t="s">
        <v>3597</v>
      </c>
      <c r="K199" s="2988">
        <v>128.9</v>
      </c>
    </row>
    <row r="200" spans="2:11" ht="18" customHeight="1">
      <c r="B200" s="2986">
        <v>169</v>
      </c>
      <c r="C200" s="2987" t="s">
        <v>3482</v>
      </c>
      <c r="D200" s="2987" t="s">
        <v>3594</v>
      </c>
      <c r="E200" s="2987" t="s">
        <v>3595</v>
      </c>
      <c r="F200" s="2987">
        <v>2</v>
      </c>
      <c r="G200" s="2987">
        <v>501</v>
      </c>
      <c r="H200" s="2987" t="s">
        <v>3667</v>
      </c>
      <c r="I200" s="2987" t="s">
        <v>3486</v>
      </c>
      <c r="J200" s="2987" t="s">
        <v>3602</v>
      </c>
      <c r="K200" s="2988">
        <v>111.57</v>
      </c>
    </row>
    <row r="201" spans="2:11" ht="18" customHeight="1">
      <c r="B201" s="2986">
        <v>170</v>
      </c>
      <c r="C201" s="2987" t="s">
        <v>3482</v>
      </c>
      <c r="D201" s="2987" t="s">
        <v>3594</v>
      </c>
      <c r="E201" s="2987" t="s">
        <v>3595</v>
      </c>
      <c r="F201" s="2987">
        <v>2</v>
      </c>
      <c r="G201" s="2987">
        <v>502</v>
      </c>
      <c r="H201" s="2987" t="s">
        <v>3668</v>
      </c>
      <c r="I201" s="2987" t="s">
        <v>3486</v>
      </c>
      <c r="J201" s="2987" t="s">
        <v>3599</v>
      </c>
      <c r="K201" s="2988">
        <v>96.65</v>
      </c>
    </row>
    <row r="202" spans="2:11" ht="18" customHeight="1">
      <c r="B202" s="2986">
        <v>171</v>
      </c>
      <c r="C202" s="2987" t="s">
        <v>3482</v>
      </c>
      <c r="D202" s="2987" t="s">
        <v>3594</v>
      </c>
      <c r="E202" s="2987" t="s">
        <v>3595</v>
      </c>
      <c r="F202" s="2987">
        <v>2</v>
      </c>
      <c r="G202" s="2987">
        <v>503</v>
      </c>
      <c r="H202" s="2987" t="s">
        <v>3669</v>
      </c>
      <c r="I202" s="2987" t="s">
        <v>3486</v>
      </c>
      <c r="J202" s="2987" t="s">
        <v>3599</v>
      </c>
      <c r="K202" s="2988">
        <v>96.65</v>
      </c>
    </row>
    <row r="203" spans="2:11" ht="18" customHeight="1">
      <c r="B203" s="2986">
        <v>172</v>
      </c>
      <c r="C203" s="2987" t="s">
        <v>3482</v>
      </c>
      <c r="D203" s="2987" t="s">
        <v>3594</v>
      </c>
      <c r="E203" s="2987" t="s">
        <v>3595</v>
      </c>
      <c r="F203" s="2987">
        <v>2</v>
      </c>
      <c r="G203" s="2987">
        <v>504</v>
      </c>
      <c r="H203" s="2987" t="s">
        <v>3670</v>
      </c>
      <c r="I203" s="2987" t="s">
        <v>3486</v>
      </c>
      <c r="J203" s="2987" t="s">
        <v>3597</v>
      </c>
      <c r="K203" s="2988">
        <v>128.9</v>
      </c>
    </row>
    <row r="204" spans="2:11" ht="18" customHeight="1">
      <c r="B204" s="2986">
        <v>173</v>
      </c>
      <c r="C204" s="2987" t="s">
        <v>3482</v>
      </c>
      <c r="D204" s="2987" t="s">
        <v>3594</v>
      </c>
      <c r="E204" s="2987" t="s">
        <v>3595</v>
      </c>
      <c r="F204" s="2987">
        <v>2</v>
      </c>
      <c r="G204" s="2987">
        <v>601</v>
      </c>
      <c r="H204" s="2987" t="s">
        <v>3671</v>
      </c>
      <c r="I204" s="2987" t="s">
        <v>3486</v>
      </c>
      <c r="J204" s="2987" t="s">
        <v>3602</v>
      </c>
      <c r="K204" s="2988">
        <v>111.57</v>
      </c>
    </row>
    <row r="205" spans="2:11" ht="18" customHeight="1">
      <c r="B205" s="2986">
        <v>174</v>
      </c>
      <c r="C205" s="2987" t="s">
        <v>3482</v>
      </c>
      <c r="D205" s="2987" t="s">
        <v>3594</v>
      </c>
      <c r="E205" s="2987" t="s">
        <v>3595</v>
      </c>
      <c r="F205" s="2987">
        <v>2</v>
      </c>
      <c r="G205" s="2987">
        <v>602</v>
      </c>
      <c r="H205" s="2987" t="s">
        <v>3672</v>
      </c>
      <c r="I205" s="2987" t="s">
        <v>3486</v>
      </c>
      <c r="J205" s="2987" t="s">
        <v>3599</v>
      </c>
      <c r="K205" s="2988">
        <v>96.65</v>
      </c>
    </row>
    <row r="206" spans="2:11" ht="18" customHeight="1">
      <c r="B206" s="2986">
        <v>175</v>
      </c>
      <c r="C206" s="2987" t="s">
        <v>3482</v>
      </c>
      <c r="D206" s="2987" t="s">
        <v>3594</v>
      </c>
      <c r="E206" s="2987" t="s">
        <v>3595</v>
      </c>
      <c r="F206" s="2987">
        <v>2</v>
      </c>
      <c r="G206" s="2987">
        <v>603</v>
      </c>
      <c r="H206" s="2987" t="s">
        <v>3673</v>
      </c>
      <c r="I206" s="2987" t="s">
        <v>3486</v>
      </c>
      <c r="J206" s="2987" t="s">
        <v>3599</v>
      </c>
      <c r="K206" s="2988">
        <v>96.65</v>
      </c>
    </row>
    <row r="207" spans="2:11" ht="18" customHeight="1">
      <c r="B207" s="2986">
        <v>176</v>
      </c>
      <c r="C207" s="2987" t="s">
        <v>3482</v>
      </c>
      <c r="D207" s="2987" t="s">
        <v>3594</v>
      </c>
      <c r="E207" s="2987" t="s">
        <v>3595</v>
      </c>
      <c r="F207" s="2987">
        <v>2</v>
      </c>
      <c r="G207" s="2987">
        <v>604</v>
      </c>
      <c r="H207" s="2987" t="s">
        <v>3674</v>
      </c>
      <c r="I207" s="2987" t="s">
        <v>3486</v>
      </c>
      <c r="J207" s="2987" t="s">
        <v>3597</v>
      </c>
      <c r="K207" s="2988">
        <v>128.9</v>
      </c>
    </row>
    <row r="208" spans="2:11" ht="18" customHeight="1">
      <c r="B208" s="2986">
        <v>177</v>
      </c>
      <c r="C208" s="2987" t="s">
        <v>3482</v>
      </c>
      <c r="D208" s="2987" t="s">
        <v>3594</v>
      </c>
      <c r="E208" s="2987" t="s">
        <v>3595</v>
      </c>
      <c r="F208" s="2987">
        <v>2</v>
      </c>
      <c r="G208" s="2987">
        <v>701</v>
      </c>
      <c r="H208" s="2987" t="s">
        <v>3675</v>
      </c>
      <c r="I208" s="2987" t="s">
        <v>3486</v>
      </c>
      <c r="J208" s="2987" t="s">
        <v>3602</v>
      </c>
      <c r="K208" s="2988">
        <v>111.57</v>
      </c>
    </row>
    <row r="209" spans="2:11" ht="18" customHeight="1">
      <c r="B209" s="2986">
        <v>178</v>
      </c>
      <c r="C209" s="2987" t="s">
        <v>3482</v>
      </c>
      <c r="D209" s="2987" t="s">
        <v>3594</v>
      </c>
      <c r="E209" s="2987" t="s">
        <v>3595</v>
      </c>
      <c r="F209" s="2987">
        <v>2</v>
      </c>
      <c r="G209" s="2987">
        <v>702</v>
      </c>
      <c r="H209" s="2987" t="s">
        <v>3676</v>
      </c>
      <c r="I209" s="2987" t="s">
        <v>3486</v>
      </c>
      <c r="J209" s="2987" t="s">
        <v>3599</v>
      </c>
      <c r="K209" s="2988">
        <v>96.65</v>
      </c>
    </row>
    <row r="210" spans="2:11" ht="18" customHeight="1">
      <c r="B210" s="2986">
        <v>179</v>
      </c>
      <c r="C210" s="2987" t="s">
        <v>3482</v>
      </c>
      <c r="D210" s="2987" t="s">
        <v>3594</v>
      </c>
      <c r="E210" s="2987" t="s">
        <v>3595</v>
      </c>
      <c r="F210" s="2987">
        <v>2</v>
      </c>
      <c r="G210" s="2987">
        <v>703</v>
      </c>
      <c r="H210" s="2987" t="s">
        <v>3677</v>
      </c>
      <c r="I210" s="2987" t="s">
        <v>3486</v>
      </c>
      <c r="J210" s="2987" t="s">
        <v>3599</v>
      </c>
      <c r="K210" s="2988">
        <v>96.65</v>
      </c>
    </row>
    <row r="211" spans="2:11" ht="18" customHeight="1">
      <c r="B211" s="2986">
        <v>180</v>
      </c>
      <c r="C211" s="2987" t="s">
        <v>3482</v>
      </c>
      <c r="D211" s="2987" t="s">
        <v>3594</v>
      </c>
      <c r="E211" s="2987" t="s">
        <v>3595</v>
      </c>
      <c r="F211" s="2987">
        <v>2</v>
      </c>
      <c r="G211" s="2987">
        <v>704</v>
      </c>
      <c r="H211" s="2987" t="s">
        <v>3678</v>
      </c>
      <c r="I211" s="2987" t="s">
        <v>3486</v>
      </c>
      <c r="J211" s="2987" t="s">
        <v>3597</v>
      </c>
      <c r="K211" s="2988">
        <v>128.9</v>
      </c>
    </row>
    <row r="212" spans="2:11" ht="18" customHeight="1">
      <c r="B212" s="2986">
        <v>181</v>
      </c>
      <c r="C212" s="2987" t="s">
        <v>3482</v>
      </c>
      <c r="D212" s="2987" t="s">
        <v>3594</v>
      </c>
      <c r="E212" s="2987" t="s">
        <v>3595</v>
      </c>
      <c r="F212" s="2987">
        <v>2</v>
      </c>
      <c r="G212" s="2987">
        <v>801</v>
      </c>
      <c r="H212" s="2987" t="s">
        <v>3679</v>
      </c>
      <c r="I212" s="2987" t="s">
        <v>3486</v>
      </c>
      <c r="J212" s="2987" t="s">
        <v>3602</v>
      </c>
      <c r="K212" s="2988">
        <v>111.57</v>
      </c>
    </row>
    <row r="213" spans="2:11" ht="18" customHeight="1">
      <c r="B213" s="2986">
        <v>182</v>
      </c>
      <c r="C213" s="2987" t="s">
        <v>3482</v>
      </c>
      <c r="D213" s="2987" t="s">
        <v>3594</v>
      </c>
      <c r="E213" s="2987" t="s">
        <v>3595</v>
      </c>
      <c r="F213" s="2987">
        <v>2</v>
      </c>
      <c r="G213" s="2987">
        <v>802</v>
      </c>
      <c r="H213" s="2987" t="s">
        <v>3680</v>
      </c>
      <c r="I213" s="2987" t="s">
        <v>3486</v>
      </c>
      <c r="J213" s="2987" t="s">
        <v>3599</v>
      </c>
      <c r="K213" s="2988">
        <v>96.65</v>
      </c>
    </row>
    <row r="214" spans="2:11" ht="18" customHeight="1">
      <c r="B214" s="2986">
        <v>183</v>
      </c>
      <c r="C214" s="2987" t="s">
        <v>3482</v>
      </c>
      <c r="D214" s="2987" t="s">
        <v>3594</v>
      </c>
      <c r="E214" s="2987" t="s">
        <v>3595</v>
      </c>
      <c r="F214" s="2987">
        <v>2</v>
      </c>
      <c r="G214" s="2987">
        <v>803</v>
      </c>
      <c r="H214" s="2987" t="s">
        <v>3681</v>
      </c>
      <c r="I214" s="2987" t="s">
        <v>3486</v>
      </c>
      <c r="J214" s="2987" t="s">
        <v>3599</v>
      </c>
      <c r="K214" s="2988">
        <v>96.65</v>
      </c>
    </row>
    <row r="215" spans="2:11" ht="18" customHeight="1">
      <c r="B215" s="2986">
        <v>184</v>
      </c>
      <c r="C215" s="2987" t="s">
        <v>3482</v>
      </c>
      <c r="D215" s="2987" t="s">
        <v>3594</v>
      </c>
      <c r="E215" s="2987" t="s">
        <v>3595</v>
      </c>
      <c r="F215" s="2987">
        <v>2</v>
      </c>
      <c r="G215" s="2987">
        <v>804</v>
      </c>
      <c r="H215" s="2987" t="s">
        <v>3682</v>
      </c>
      <c r="I215" s="2987" t="s">
        <v>3486</v>
      </c>
      <c r="J215" s="2987" t="s">
        <v>3597</v>
      </c>
      <c r="K215" s="2988">
        <v>128.9</v>
      </c>
    </row>
    <row r="216" spans="2:11" ht="18" customHeight="1">
      <c r="B216" s="2986">
        <v>185</v>
      </c>
      <c r="C216" s="2987" t="s">
        <v>3482</v>
      </c>
      <c r="D216" s="2987" t="s">
        <v>3594</v>
      </c>
      <c r="E216" s="2987" t="s">
        <v>3595</v>
      </c>
      <c r="F216" s="2987">
        <v>2</v>
      </c>
      <c r="G216" s="2987">
        <v>901</v>
      </c>
      <c r="H216" s="2987" t="s">
        <v>3683</v>
      </c>
      <c r="I216" s="2987" t="s">
        <v>3486</v>
      </c>
      <c r="J216" s="2987" t="s">
        <v>3602</v>
      </c>
      <c r="K216" s="2988">
        <v>111.57</v>
      </c>
    </row>
    <row r="217" spans="2:11" ht="18" customHeight="1">
      <c r="B217" s="2986">
        <v>186</v>
      </c>
      <c r="C217" s="2987" t="s">
        <v>3482</v>
      </c>
      <c r="D217" s="2987" t="s">
        <v>3594</v>
      </c>
      <c r="E217" s="2987" t="s">
        <v>3595</v>
      </c>
      <c r="F217" s="2987">
        <v>2</v>
      </c>
      <c r="G217" s="2987">
        <v>902</v>
      </c>
      <c r="H217" s="2987" t="s">
        <v>3684</v>
      </c>
      <c r="I217" s="2987" t="s">
        <v>3486</v>
      </c>
      <c r="J217" s="2987" t="s">
        <v>3599</v>
      </c>
      <c r="K217" s="2988">
        <v>96.65</v>
      </c>
    </row>
    <row r="218" spans="2:11" ht="18" customHeight="1">
      <c r="B218" s="2986">
        <v>187</v>
      </c>
      <c r="C218" s="2987" t="s">
        <v>3482</v>
      </c>
      <c r="D218" s="2987" t="s">
        <v>3594</v>
      </c>
      <c r="E218" s="2987" t="s">
        <v>3595</v>
      </c>
      <c r="F218" s="2987">
        <v>2</v>
      </c>
      <c r="G218" s="2987">
        <v>903</v>
      </c>
      <c r="H218" s="2987" t="s">
        <v>3685</v>
      </c>
      <c r="I218" s="2987" t="s">
        <v>3486</v>
      </c>
      <c r="J218" s="2987" t="s">
        <v>3599</v>
      </c>
      <c r="K218" s="2988">
        <v>96.65</v>
      </c>
    </row>
    <row r="219" spans="2:11" ht="18" customHeight="1">
      <c r="B219" s="2986">
        <v>188</v>
      </c>
      <c r="C219" s="2987" t="s">
        <v>3482</v>
      </c>
      <c r="D219" s="2987" t="s">
        <v>3594</v>
      </c>
      <c r="E219" s="2987" t="s">
        <v>3595</v>
      </c>
      <c r="F219" s="2987">
        <v>2</v>
      </c>
      <c r="G219" s="2987">
        <v>904</v>
      </c>
      <c r="H219" s="2987" t="s">
        <v>3686</v>
      </c>
      <c r="I219" s="2987" t="s">
        <v>3486</v>
      </c>
      <c r="J219" s="2987" t="s">
        <v>3597</v>
      </c>
      <c r="K219" s="2988">
        <v>128.9</v>
      </c>
    </row>
    <row r="220" spans="2:11" s="3021" customFormat="1" ht="18" customHeight="1">
      <c r="B220" s="3018"/>
      <c r="C220" s="3019"/>
      <c r="D220" s="3019"/>
      <c r="E220" s="3019"/>
      <c r="F220" s="3019"/>
      <c r="G220" s="3019"/>
      <c r="H220" s="3019"/>
      <c r="I220" s="3019"/>
      <c r="J220" s="3019"/>
      <c r="K220" s="3020">
        <f>SUM(K132:K219)</f>
        <v>9542.939999999986</v>
      </c>
    </row>
    <row r="221" spans="2:11" ht="18" customHeight="1">
      <c r="B221" s="2986">
        <v>189</v>
      </c>
      <c r="C221" s="2987" t="s">
        <v>3482</v>
      </c>
      <c r="D221" s="2987" t="s">
        <v>3594</v>
      </c>
      <c r="E221" s="2987" t="s">
        <v>3687</v>
      </c>
      <c r="F221" s="2987">
        <v>1</v>
      </c>
      <c r="G221" s="2987">
        <v>1001</v>
      </c>
      <c r="H221" s="2987" t="s">
        <v>3688</v>
      </c>
      <c r="I221" s="2987" t="s">
        <v>3486</v>
      </c>
      <c r="J221" s="2987" t="s">
        <v>3597</v>
      </c>
      <c r="K221" s="2988">
        <v>128.26</v>
      </c>
    </row>
    <row r="222" spans="2:11" ht="18" customHeight="1">
      <c r="B222" s="2986">
        <v>190</v>
      </c>
      <c r="C222" s="2987" t="s">
        <v>3482</v>
      </c>
      <c r="D222" s="2987" t="s">
        <v>3594</v>
      </c>
      <c r="E222" s="2987" t="s">
        <v>3687</v>
      </c>
      <c r="F222" s="2987">
        <v>1</v>
      </c>
      <c r="G222" s="2987">
        <v>1002</v>
      </c>
      <c r="H222" s="2987" t="s">
        <v>3689</v>
      </c>
      <c r="I222" s="2987" t="s">
        <v>3486</v>
      </c>
      <c r="J222" s="2987" t="s">
        <v>3599</v>
      </c>
      <c r="K222" s="2988">
        <v>96.17</v>
      </c>
    </row>
    <row r="223" spans="2:11" ht="18" customHeight="1">
      <c r="B223" s="2986">
        <v>191</v>
      </c>
      <c r="C223" s="2987" t="s">
        <v>3482</v>
      </c>
      <c r="D223" s="2987" t="s">
        <v>3594</v>
      </c>
      <c r="E223" s="2987" t="s">
        <v>3687</v>
      </c>
      <c r="F223" s="2987">
        <v>1</v>
      </c>
      <c r="G223" s="2987">
        <v>1003</v>
      </c>
      <c r="H223" s="2987" t="s">
        <v>3690</v>
      </c>
      <c r="I223" s="2987" t="s">
        <v>3486</v>
      </c>
      <c r="J223" s="2987" t="s">
        <v>3599</v>
      </c>
      <c r="K223" s="2988">
        <v>96.17</v>
      </c>
    </row>
    <row r="224" spans="2:11" ht="18" customHeight="1">
      <c r="B224" s="2986">
        <v>192</v>
      </c>
      <c r="C224" s="2987" t="s">
        <v>3482</v>
      </c>
      <c r="D224" s="2987" t="s">
        <v>3594</v>
      </c>
      <c r="E224" s="2987" t="s">
        <v>3687</v>
      </c>
      <c r="F224" s="2987">
        <v>1</v>
      </c>
      <c r="G224" s="2987">
        <v>1004</v>
      </c>
      <c r="H224" s="2987" t="s">
        <v>3691</v>
      </c>
      <c r="I224" s="2987" t="s">
        <v>3486</v>
      </c>
      <c r="J224" s="2987" t="s">
        <v>3602</v>
      </c>
      <c r="K224" s="2988">
        <v>111.01</v>
      </c>
    </row>
    <row r="225" spans="2:11" ht="18" customHeight="1">
      <c r="B225" s="2986">
        <v>193</v>
      </c>
      <c r="C225" s="2987" t="s">
        <v>3482</v>
      </c>
      <c r="D225" s="2987" t="s">
        <v>3594</v>
      </c>
      <c r="E225" s="2987" t="s">
        <v>3687</v>
      </c>
      <c r="F225" s="2987">
        <v>1</v>
      </c>
      <c r="G225" s="2987">
        <v>101</v>
      </c>
      <c r="H225" s="2987" t="s">
        <v>3692</v>
      </c>
      <c r="I225" s="2987" t="s">
        <v>3486</v>
      </c>
      <c r="J225" s="2987" t="s">
        <v>3597</v>
      </c>
      <c r="K225" s="2988">
        <v>128.26</v>
      </c>
    </row>
    <row r="226" spans="2:11" ht="18" customHeight="1">
      <c r="B226" s="2986">
        <v>194</v>
      </c>
      <c r="C226" s="2987" t="s">
        <v>3482</v>
      </c>
      <c r="D226" s="2987" t="s">
        <v>3594</v>
      </c>
      <c r="E226" s="2987" t="s">
        <v>3687</v>
      </c>
      <c r="F226" s="2987">
        <v>1</v>
      </c>
      <c r="G226" s="2987">
        <v>102</v>
      </c>
      <c r="H226" s="2987" t="s">
        <v>3693</v>
      </c>
      <c r="I226" s="2987" t="s">
        <v>3486</v>
      </c>
      <c r="J226" s="2987" t="s">
        <v>3599</v>
      </c>
      <c r="K226" s="2988">
        <v>96.17</v>
      </c>
    </row>
    <row r="227" spans="2:11" ht="18" customHeight="1">
      <c r="B227" s="2986">
        <v>195</v>
      </c>
      <c r="C227" s="2987" t="s">
        <v>3482</v>
      </c>
      <c r="D227" s="2987" t="s">
        <v>3594</v>
      </c>
      <c r="E227" s="2987" t="s">
        <v>3687</v>
      </c>
      <c r="F227" s="2987">
        <v>1</v>
      </c>
      <c r="G227" s="2987">
        <v>103</v>
      </c>
      <c r="H227" s="2987" t="s">
        <v>3694</v>
      </c>
      <c r="I227" s="2987" t="s">
        <v>3486</v>
      </c>
      <c r="J227" s="2987" t="s">
        <v>3599</v>
      </c>
      <c r="K227" s="2988">
        <v>96.17</v>
      </c>
    </row>
    <row r="228" spans="2:11" ht="18" customHeight="1">
      <c r="B228" s="2986">
        <v>196</v>
      </c>
      <c r="C228" s="2987" t="s">
        <v>3482</v>
      </c>
      <c r="D228" s="2987" t="s">
        <v>3594</v>
      </c>
      <c r="E228" s="2987" t="s">
        <v>3687</v>
      </c>
      <c r="F228" s="2987">
        <v>1</v>
      </c>
      <c r="G228" s="2987">
        <v>104</v>
      </c>
      <c r="H228" s="2987" t="s">
        <v>3695</v>
      </c>
      <c r="I228" s="2987" t="s">
        <v>3486</v>
      </c>
      <c r="J228" s="2987" t="s">
        <v>3602</v>
      </c>
      <c r="K228" s="2988">
        <v>111.01</v>
      </c>
    </row>
    <row r="229" spans="2:11" ht="18" customHeight="1">
      <c r="B229" s="2986">
        <v>197</v>
      </c>
      <c r="C229" s="2987" t="s">
        <v>3482</v>
      </c>
      <c r="D229" s="2987" t="s">
        <v>3594</v>
      </c>
      <c r="E229" s="2987" t="s">
        <v>3687</v>
      </c>
      <c r="F229" s="2987">
        <v>1</v>
      </c>
      <c r="G229" s="2987">
        <v>1101</v>
      </c>
      <c r="H229" s="2987" t="s">
        <v>3696</v>
      </c>
      <c r="I229" s="2987" t="s">
        <v>3486</v>
      </c>
      <c r="J229" s="2987" t="s">
        <v>3597</v>
      </c>
      <c r="K229" s="2988">
        <v>128.26</v>
      </c>
    </row>
    <row r="230" spans="2:11" ht="18" customHeight="1">
      <c r="B230" s="2986">
        <v>198</v>
      </c>
      <c r="C230" s="2987" t="s">
        <v>3482</v>
      </c>
      <c r="D230" s="2987" t="s">
        <v>3594</v>
      </c>
      <c r="E230" s="2987" t="s">
        <v>3687</v>
      </c>
      <c r="F230" s="2987">
        <v>1</v>
      </c>
      <c r="G230" s="2987">
        <v>1102</v>
      </c>
      <c r="H230" s="2987" t="s">
        <v>3697</v>
      </c>
      <c r="I230" s="2987" t="s">
        <v>3486</v>
      </c>
      <c r="J230" s="2987" t="s">
        <v>3599</v>
      </c>
      <c r="K230" s="2988">
        <v>96.17</v>
      </c>
    </row>
    <row r="231" spans="2:11" ht="18" customHeight="1">
      <c r="B231" s="2986">
        <v>199</v>
      </c>
      <c r="C231" s="2987" t="s">
        <v>3482</v>
      </c>
      <c r="D231" s="2987" t="s">
        <v>3594</v>
      </c>
      <c r="E231" s="2987" t="s">
        <v>3687</v>
      </c>
      <c r="F231" s="2987">
        <v>1</v>
      </c>
      <c r="G231" s="2987">
        <v>1103</v>
      </c>
      <c r="H231" s="2987" t="s">
        <v>3698</v>
      </c>
      <c r="I231" s="2987" t="s">
        <v>3486</v>
      </c>
      <c r="J231" s="2987" t="s">
        <v>3599</v>
      </c>
      <c r="K231" s="2988">
        <v>96.17</v>
      </c>
    </row>
    <row r="232" spans="2:11" ht="18" customHeight="1">
      <c r="B232" s="2986">
        <v>200</v>
      </c>
      <c r="C232" s="2987" t="s">
        <v>3482</v>
      </c>
      <c r="D232" s="2987" t="s">
        <v>3594</v>
      </c>
      <c r="E232" s="2987" t="s">
        <v>3687</v>
      </c>
      <c r="F232" s="2987">
        <v>1</v>
      </c>
      <c r="G232" s="2987">
        <v>1104</v>
      </c>
      <c r="H232" s="2987" t="s">
        <v>3699</v>
      </c>
      <c r="I232" s="2987" t="s">
        <v>3486</v>
      </c>
      <c r="J232" s="2987" t="s">
        <v>3602</v>
      </c>
      <c r="K232" s="2988">
        <v>111.01</v>
      </c>
    </row>
    <row r="233" spans="2:11" ht="18" customHeight="1">
      <c r="B233" s="2986">
        <v>201</v>
      </c>
      <c r="C233" s="2987" t="s">
        <v>3482</v>
      </c>
      <c r="D233" s="2987" t="s">
        <v>3594</v>
      </c>
      <c r="E233" s="2987" t="s">
        <v>3687</v>
      </c>
      <c r="F233" s="2987">
        <v>1</v>
      </c>
      <c r="G233" s="2987">
        <v>1201</v>
      </c>
      <c r="H233" s="2987" t="s">
        <v>3700</v>
      </c>
      <c r="I233" s="2987" t="s">
        <v>3486</v>
      </c>
      <c r="J233" s="2987" t="s">
        <v>3597</v>
      </c>
      <c r="K233" s="2988">
        <v>128.26</v>
      </c>
    </row>
    <row r="234" spans="2:11" ht="18" customHeight="1">
      <c r="B234" s="2986">
        <v>202</v>
      </c>
      <c r="C234" s="2987" t="s">
        <v>3482</v>
      </c>
      <c r="D234" s="2987" t="s">
        <v>3594</v>
      </c>
      <c r="E234" s="2987" t="s">
        <v>3687</v>
      </c>
      <c r="F234" s="2987">
        <v>1</v>
      </c>
      <c r="G234" s="2987">
        <v>1202</v>
      </c>
      <c r="H234" s="2987" t="s">
        <v>3701</v>
      </c>
      <c r="I234" s="2987" t="s">
        <v>3486</v>
      </c>
      <c r="J234" s="2987" t="s">
        <v>3599</v>
      </c>
      <c r="K234" s="2988">
        <v>96.17</v>
      </c>
    </row>
    <row r="235" spans="2:11" ht="18" customHeight="1">
      <c r="B235" s="2986">
        <v>203</v>
      </c>
      <c r="C235" s="2987" t="s">
        <v>3482</v>
      </c>
      <c r="D235" s="2987" t="s">
        <v>3594</v>
      </c>
      <c r="E235" s="2987" t="s">
        <v>3687</v>
      </c>
      <c r="F235" s="2987">
        <v>1</v>
      </c>
      <c r="G235" s="2987">
        <v>1203</v>
      </c>
      <c r="H235" s="2987" t="s">
        <v>3702</v>
      </c>
      <c r="I235" s="2987" t="s">
        <v>3486</v>
      </c>
      <c r="J235" s="2987" t="s">
        <v>3599</v>
      </c>
      <c r="K235" s="2988">
        <v>96.17</v>
      </c>
    </row>
    <row r="236" spans="2:11" ht="18" customHeight="1">
      <c r="B236" s="2986">
        <v>204</v>
      </c>
      <c r="C236" s="2987" t="s">
        <v>3482</v>
      </c>
      <c r="D236" s="2987" t="s">
        <v>3594</v>
      </c>
      <c r="E236" s="2987" t="s">
        <v>3687</v>
      </c>
      <c r="F236" s="2987">
        <v>1</v>
      </c>
      <c r="G236" s="2987">
        <v>1204</v>
      </c>
      <c r="H236" s="2987" t="s">
        <v>3703</v>
      </c>
      <c r="I236" s="2987" t="s">
        <v>3486</v>
      </c>
      <c r="J236" s="2987" t="s">
        <v>3602</v>
      </c>
      <c r="K236" s="2988">
        <v>111.01</v>
      </c>
    </row>
    <row r="237" spans="2:11" ht="18" customHeight="1">
      <c r="B237" s="2986">
        <v>205</v>
      </c>
      <c r="C237" s="2987" t="s">
        <v>3482</v>
      </c>
      <c r="D237" s="2987" t="s">
        <v>3594</v>
      </c>
      <c r="E237" s="2987" t="s">
        <v>3687</v>
      </c>
      <c r="F237" s="2987">
        <v>1</v>
      </c>
      <c r="G237" s="2987">
        <v>1301</v>
      </c>
      <c r="H237" s="2987" t="s">
        <v>3704</v>
      </c>
      <c r="I237" s="2987" t="s">
        <v>3486</v>
      </c>
      <c r="J237" s="2987" t="s">
        <v>3597</v>
      </c>
      <c r="K237" s="2988">
        <v>128.26</v>
      </c>
    </row>
    <row r="238" spans="2:11" ht="18" customHeight="1">
      <c r="B238" s="2986">
        <v>206</v>
      </c>
      <c r="C238" s="2987" t="s">
        <v>3482</v>
      </c>
      <c r="D238" s="2987" t="s">
        <v>3594</v>
      </c>
      <c r="E238" s="2987" t="s">
        <v>3687</v>
      </c>
      <c r="F238" s="2987">
        <v>1</v>
      </c>
      <c r="G238" s="2987">
        <v>1302</v>
      </c>
      <c r="H238" s="2987" t="s">
        <v>3705</v>
      </c>
      <c r="I238" s="2987" t="s">
        <v>3486</v>
      </c>
      <c r="J238" s="2987" t="s">
        <v>3599</v>
      </c>
      <c r="K238" s="2988">
        <v>96.17</v>
      </c>
    </row>
    <row r="239" spans="2:11" ht="18" customHeight="1">
      <c r="B239" s="2986">
        <v>207</v>
      </c>
      <c r="C239" s="2987" t="s">
        <v>3482</v>
      </c>
      <c r="D239" s="2987" t="s">
        <v>3594</v>
      </c>
      <c r="E239" s="2987" t="s">
        <v>3687</v>
      </c>
      <c r="F239" s="2987">
        <v>1</v>
      </c>
      <c r="G239" s="2987">
        <v>1303</v>
      </c>
      <c r="H239" s="2987" t="s">
        <v>3706</v>
      </c>
      <c r="I239" s="2987" t="s">
        <v>3486</v>
      </c>
      <c r="J239" s="2987" t="s">
        <v>3599</v>
      </c>
      <c r="K239" s="2988">
        <v>96.17</v>
      </c>
    </row>
    <row r="240" spans="2:11" ht="18" customHeight="1">
      <c r="B240" s="2986">
        <v>208</v>
      </c>
      <c r="C240" s="2987" t="s">
        <v>3482</v>
      </c>
      <c r="D240" s="2987" t="s">
        <v>3594</v>
      </c>
      <c r="E240" s="2987" t="s">
        <v>3687</v>
      </c>
      <c r="F240" s="2987">
        <v>1</v>
      </c>
      <c r="G240" s="2987">
        <v>1304</v>
      </c>
      <c r="H240" s="2987" t="s">
        <v>3707</v>
      </c>
      <c r="I240" s="2987" t="s">
        <v>3486</v>
      </c>
      <c r="J240" s="2987" t="s">
        <v>3602</v>
      </c>
      <c r="K240" s="2988">
        <v>111.01</v>
      </c>
    </row>
    <row r="241" spans="2:11" ht="18" customHeight="1">
      <c r="B241" s="2986">
        <v>209</v>
      </c>
      <c r="C241" s="2987" t="s">
        <v>3482</v>
      </c>
      <c r="D241" s="2987" t="s">
        <v>3594</v>
      </c>
      <c r="E241" s="2987" t="s">
        <v>3687</v>
      </c>
      <c r="F241" s="2987">
        <v>1</v>
      </c>
      <c r="G241" s="2987">
        <v>1401</v>
      </c>
      <c r="H241" s="2987" t="s">
        <v>3708</v>
      </c>
      <c r="I241" s="2987" t="s">
        <v>3486</v>
      </c>
      <c r="J241" s="2987" t="s">
        <v>3597</v>
      </c>
      <c r="K241" s="2988">
        <v>128.26</v>
      </c>
    </row>
    <row r="242" spans="2:11" ht="18" customHeight="1">
      <c r="B242" s="2986">
        <v>210</v>
      </c>
      <c r="C242" s="2987" t="s">
        <v>3482</v>
      </c>
      <c r="D242" s="2987" t="s">
        <v>3594</v>
      </c>
      <c r="E242" s="2987" t="s">
        <v>3687</v>
      </c>
      <c r="F242" s="2987">
        <v>1</v>
      </c>
      <c r="G242" s="2987">
        <v>1402</v>
      </c>
      <c r="H242" s="2987" t="s">
        <v>3709</v>
      </c>
      <c r="I242" s="2987" t="s">
        <v>3486</v>
      </c>
      <c r="J242" s="2987" t="s">
        <v>3599</v>
      </c>
      <c r="K242" s="2988">
        <v>96.17</v>
      </c>
    </row>
    <row r="243" spans="2:11" ht="18" customHeight="1">
      <c r="B243" s="2986">
        <v>211</v>
      </c>
      <c r="C243" s="2987" t="s">
        <v>3482</v>
      </c>
      <c r="D243" s="2987" t="s">
        <v>3594</v>
      </c>
      <c r="E243" s="2987" t="s">
        <v>3687</v>
      </c>
      <c r="F243" s="2987">
        <v>1</v>
      </c>
      <c r="G243" s="2987">
        <v>1403</v>
      </c>
      <c r="H243" s="2987" t="s">
        <v>3710</v>
      </c>
      <c r="I243" s="2987" t="s">
        <v>3486</v>
      </c>
      <c r="J243" s="2987" t="s">
        <v>3599</v>
      </c>
      <c r="K243" s="2988">
        <v>96.17</v>
      </c>
    </row>
    <row r="244" spans="2:11" ht="18" customHeight="1">
      <c r="B244" s="2986">
        <v>212</v>
      </c>
      <c r="C244" s="2987" t="s">
        <v>3482</v>
      </c>
      <c r="D244" s="2987" t="s">
        <v>3594</v>
      </c>
      <c r="E244" s="2987" t="s">
        <v>3687</v>
      </c>
      <c r="F244" s="2987">
        <v>1</v>
      </c>
      <c r="G244" s="2987">
        <v>1404</v>
      </c>
      <c r="H244" s="2987" t="s">
        <v>3711</v>
      </c>
      <c r="I244" s="2987" t="s">
        <v>3486</v>
      </c>
      <c r="J244" s="2987" t="s">
        <v>3602</v>
      </c>
      <c r="K244" s="2988">
        <v>111.01</v>
      </c>
    </row>
    <row r="245" spans="2:11" ht="18" customHeight="1">
      <c r="B245" s="2986">
        <v>213</v>
      </c>
      <c r="C245" s="2987" t="s">
        <v>3482</v>
      </c>
      <c r="D245" s="2987" t="s">
        <v>3594</v>
      </c>
      <c r="E245" s="2987" t="s">
        <v>3687</v>
      </c>
      <c r="F245" s="2987">
        <v>1</v>
      </c>
      <c r="G245" s="2987">
        <v>1501</v>
      </c>
      <c r="H245" s="2987" t="s">
        <v>3712</v>
      </c>
      <c r="I245" s="2987" t="s">
        <v>3486</v>
      </c>
      <c r="J245" s="2987" t="s">
        <v>3597</v>
      </c>
      <c r="K245" s="2988">
        <v>128.26</v>
      </c>
    </row>
    <row r="246" spans="2:11" ht="18" customHeight="1">
      <c r="B246" s="2986">
        <v>214</v>
      </c>
      <c r="C246" s="2987" t="s">
        <v>3482</v>
      </c>
      <c r="D246" s="2987" t="s">
        <v>3594</v>
      </c>
      <c r="E246" s="2987" t="s">
        <v>3687</v>
      </c>
      <c r="F246" s="2987">
        <v>1</v>
      </c>
      <c r="G246" s="2987">
        <v>1502</v>
      </c>
      <c r="H246" s="2987" t="s">
        <v>3713</v>
      </c>
      <c r="I246" s="2987" t="s">
        <v>3486</v>
      </c>
      <c r="J246" s="2987" t="s">
        <v>3599</v>
      </c>
      <c r="K246" s="2988">
        <v>96.17</v>
      </c>
    </row>
    <row r="247" spans="2:11" ht="18" customHeight="1">
      <c r="B247" s="2986">
        <v>215</v>
      </c>
      <c r="C247" s="2987" t="s">
        <v>3482</v>
      </c>
      <c r="D247" s="2987" t="s">
        <v>3594</v>
      </c>
      <c r="E247" s="2987" t="s">
        <v>3687</v>
      </c>
      <c r="F247" s="2987">
        <v>1</v>
      </c>
      <c r="G247" s="2987">
        <v>1503</v>
      </c>
      <c r="H247" s="2987" t="s">
        <v>3714</v>
      </c>
      <c r="I247" s="2987" t="s">
        <v>3486</v>
      </c>
      <c r="J247" s="2987" t="s">
        <v>3599</v>
      </c>
      <c r="K247" s="2988">
        <v>96.17</v>
      </c>
    </row>
    <row r="248" spans="2:11" ht="18" customHeight="1">
      <c r="B248" s="2986">
        <v>216</v>
      </c>
      <c r="C248" s="2987" t="s">
        <v>3482</v>
      </c>
      <c r="D248" s="2987" t="s">
        <v>3594</v>
      </c>
      <c r="E248" s="2987" t="s">
        <v>3687</v>
      </c>
      <c r="F248" s="2987">
        <v>1</v>
      </c>
      <c r="G248" s="2987">
        <v>1504</v>
      </c>
      <c r="H248" s="2987" t="s">
        <v>3715</v>
      </c>
      <c r="I248" s="2987" t="s">
        <v>3486</v>
      </c>
      <c r="J248" s="2987" t="s">
        <v>3602</v>
      </c>
      <c r="K248" s="2988">
        <v>111.01</v>
      </c>
    </row>
    <row r="249" spans="2:11" ht="18" customHeight="1">
      <c r="B249" s="2986">
        <v>217</v>
      </c>
      <c r="C249" s="2987" t="s">
        <v>3482</v>
      </c>
      <c r="D249" s="2987" t="s">
        <v>3594</v>
      </c>
      <c r="E249" s="2987" t="s">
        <v>3687</v>
      </c>
      <c r="F249" s="2987">
        <v>1</v>
      </c>
      <c r="G249" s="2987">
        <v>1601</v>
      </c>
      <c r="H249" s="2987" t="s">
        <v>3716</v>
      </c>
      <c r="I249" s="2987" t="s">
        <v>3486</v>
      </c>
      <c r="J249" s="2987" t="s">
        <v>3597</v>
      </c>
      <c r="K249" s="2988">
        <v>128.26</v>
      </c>
    </row>
    <row r="250" spans="2:11" ht="18" customHeight="1">
      <c r="B250" s="2986">
        <v>218</v>
      </c>
      <c r="C250" s="2987" t="s">
        <v>3482</v>
      </c>
      <c r="D250" s="2987" t="s">
        <v>3594</v>
      </c>
      <c r="E250" s="2987" t="s">
        <v>3687</v>
      </c>
      <c r="F250" s="2987">
        <v>1</v>
      </c>
      <c r="G250" s="2987">
        <v>1602</v>
      </c>
      <c r="H250" s="2987" t="s">
        <v>3717</v>
      </c>
      <c r="I250" s="2987" t="s">
        <v>3486</v>
      </c>
      <c r="J250" s="2987" t="s">
        <v>3599</v>
      </c>
      <c r="K250" s="2988">
        <v>96.17</v>
      </c>
    </row>
    <row r="251" spans="2:11" ht="18" customHeight="1">
      <c r="B251" s="2986">
        <v>219</v>
      </c>
      <c r="C251" s="2987" t="s">
        <v>3482</v>
      </c>
      <c r="D251" s="2987" t="s">
        <v>3594</v>
      </c>
      <c r="E251" s="2987" t="s">
        <v>3687</v>
      </c>
      <c r="F251" s="2987">
        <v>1</v>
      </c>
      <c r="G251" s="2987">
        <v>1603</v>
      </c>
      <c r="H251" s="2987" t="s">
        <v>3718</v>
      </c>
      <c r="I251" s="2987" t="s">
        <v>3486</v>
      </c>
      <c r="J251" s="2987" t="s">
        <v>3599</v>
      </c>
      <c r="K251" s="2988">
        <v>96.17</v>
      </c>
    </row>
    <row r="252" spans="2:11" ht="18" customHeight="1">
      <c r="B252" s="2986">
        <v>220</v>
      </c>
      <c r="C252" s="2987" t="s">
        <v>3482</v>
      </c>
      <c r="D252" s="2987" t="s">
        <v>3594</v>
      </c>
      <c r="E252" s="2987" t="s">
        <v>3687</v>
      </c>
      <c r="F252" s="2987">
        <v>1</v>
      </c>
      <c r="G252" s="2987">
        <v>1604</v>
      </c>
      <c r="H252" s="2987" t="s">
        <v>3719</v>
      </c>
      <c r="I252" s="2987" t="s">
        <v>3486</v>
      </c>
      <c r="J252" s="2987" t="s">
        <v>3602</v>
      </c>
      <c r="K252" s="2988">
        <v>111.01</v>
      </c>
    </row>
    <row r="253" spans="2:11" ht="18" customHeight="1">
      <c r="B253" s="2986">
        <v>221</v>
      </c>
      <c r="C253" s="2987" t="s">
        <v>3482</v>
      </c>
      <c r="D253" s="2987" t="s">
        <v>3594</v>
      </c>
      <c r="E253" s="2987" t="s">
        <v>3687</v>
      </c>
      <c r="F253" s="2987">
        <v>1</v>
      </c>
      <c r="G253" s="2987">
        <v>1701</v>
      </c>
      <c r="H253" s="2987" t="s">
        <v>3720</v>
      </c>
      <c r="I253" s="2987" t="s">
        <v>3486</v>
      </c>
      <c r="J253" s="2987" t="s">
        <v>3597</v>
      </c>
      <c r="K253" s="2988">
        <v>128.26</v>
      </c>
    </row>
    <row r="254" spans="2:11" ht="18" customHeight="1">
      <c r="B254" s="2986">
        <v>222</v>
      </c>
      <c r="C254" s="2987" t="s">
        <v>3482</v>
      </c>
      <c r="D254" s="2987" t="s">
        <v>3594</v>
      </c>
      <c r="E254" s="2987" t="s">
        <v>3687</v>
      </c>
      <c r="F254" s="2987">
        <v>1</v>
      </c>
      <c r="G254" s="2987">
        <v>1702</v>
      </c>
      <c r="H254" s="2987" t="s">
        <v>3721</v>
      </c>
      <c r="I254" s="2987" t="s">
        <v>3486</v>
      </c>
      <c r="J254" s="2987" t="s">
        <v>3599</v>
      </c>
      <c r="K254" s="2988">
        <v>96.17</v>
      </c>
    </row>
    <row r="255" spans="2:11" ht="18" customHeight="1">
      <c r="B255" s="2986">
        <v>223</v>
      </c>
      <c r="C255" s="2987" t="s">
        <v>3482</v>
      </c>
      <c r="D255" s="2987" t="s">
        <v>3594</v>
      </c>
      <c r="E255" s="2987" t="s">
        <v>3687</v>
      </c>
      <c r="F255" s="2987">
        <v>1</v>
      </c>
      <c r="G255" s="2987">
        <v>1703</v>
      </c>
      <c r="H255" s="2987" t="s">
        <v>3722</v>
      </c>
      <c r="I255" s="2987" t="s">
        <v>3486</v>
      </c>
      <c r="J255" s="2987" t="s">
        <v>3599</v>
      </c>
      <c r="K255" s="2988">
        <v>96.17</v>
      </c>
    </row>
    <row r="256" spans="2:11" ht="18" customHeight="1">
      <c r="B256" s="2986">
        <v>224</v>
      </c>
      <c r="C256" s="2987" t="s">
        <v>3482</v>
      </c>
      <c r="D256" s="2987" t="s">
        <v>3594</v>
      </c>
      <c r="E256" s="2987" t="s">
        <v>3687</v>
      </c>
      <c r="F256" s="2987">
        <v>1</v>
      </c>
      <c r="G256" s="2987">
        <v>1704</v>
      </c>
      <c r="H256" s="2987" t="s">
        <v>3723</v>
      </c>
      <c r="I256" s="2987" t="s">
        <v>3486</v>
      </c>
      <c r="J256" s="2987" t="s">
        <v>3602</v>
      </c>
      <c r="K256" s="2988">
        <v>111.01</v>
      </c>
    </row>
    <row r="257" spans="2:11" ht="18" customHeight="1">
      <c r="B257" s="2986">
        <v>225</v>
      </c>
      <c r="C257" s="2987" t="s">
        <v>3482</v>
      </c>
      <c r="D257" s="2987" t="s">
        <v>3594</v>
      </c>
      <c r="E257" s="2987" t="s">
        <v>3687</v>
      </c>
      <c r="F257" s="2987">
        <v>1</v>
      </c>
      <c r="G257" s="2987">
        <v>1801</v>
      </c>
      <c r="H257" s="2987" t="s">
        <v>3724</v>
      </c>
      <c r="I257" s="2987" t="s">
        <v>3486</v>
      </c>
      <c r="J257" s="2987" t="s">
        <v>3597</v>
      </c>
      <c r="K257" s="2988">
        <v>128.26</v>
      </c>
    </row>
    <row r="258" spans="2:11" ht="18" customHeight="1">
      <c r="B258" s="2986">
        <v>226</v>
      </c>
      <c r="C258" s="2987" t="s">
        <v>3482</v>
      </c>
      <c r="D258" s="2987" t="s">
        <v>3594</v>
      </c>
      <c r="E258" s="2987" t="s">
        <v>3687</v>
      </c>
      <c r="F258" s="2987">
        <v>1</v>
      </c>
      <c r="G258" s="2987">
        <v>1802</v>
      </c>
      <c r="H258" s="2987" t="s">
        <v>3725</v>
      </c>
      <c r="I258" s="2987" t="s">
        <v>3486</v>
      </c>
      <c r="J258" s="2987" t="s">
        <v>3599</v>
      </c>
      <c r="K258" s="2988">
        <v>96.17</v>
      </c>
    </row>
    <row r="259" spans="2:11" ht="18" customHeight="1">
      <c r="B259" s="2986">
        <v>227</v>
      </c>
      <c r="C259" s="2987" t="s">
        <v>3482</v>
      </c>
      <c r="D259" s="2987" t="s">
        <v>3594</v>
      </c>
      <c r="E259" s="2987" t="s">
        <v>3687</v>
      </c>
      <c r="F259" s="2987">
        <v>1</v>
      </c>
      <c r="G259" s="2987">
        <v>1803</v>
      </c>
      <c r="H259" s="2987" t="s">
        <v>3726</v>
      </c>
      <c r="I259" s="2987" t="s">
        <v>3486</v>
      </c>
      <c r="J259" s="2987" t="s">
        <v>3599</v>
      </c>
      <c r="K259" s="2988">
        <v>96.17</v>
      </c>
    </row>
    <row r="260" spans="2:11" ht="18" customHeight="1">
      <c r="B260" s="2986">
        <v>228</v>
      </c>
      <c r="C260" s="2987" t="s">
        <v>3482</v>
      </c>
      <c r="D260" s="2987" t="s">
        <v>3594</v>
      </c>
      <c r="E260" s="2987" t="s">
        <v>3687</v>
      </c>
      <c r="F260" s="2987">
        <v>1</v>
      </c>
      <c r="G260" s="2987">
        <v>1804</v>
      </c>
      <c r="H260" s="2987" t="s">
        <v>3727</v>
      </c>
      <c r="I260" s="2987" t="s">
        <v>3486</v>
      </c>
      <c r="J260" s="2987" t="s">
        <v>3602</v>
      </c>
      <c r="K260" s="2988">
        <v>111.01</v>
      </c>
    </row>
    <row r="261" spans="2:11" ht="18" customHeight="1">
      <c r="B261" s="2986">
        <v>229</v>
      </c>
      <c r="C261" s="2987" t="s">
        <v>3482</v>
      </c>
      <c r="D261" s="2987" t="s">
        <v>3594</v>
      </c>
      <c r="E261" s="2987" t="s">
        <v>3687</v>
      </c>
      <c r="F261" s="2987">
        <v>1</v>
      </c>
      <c r="G261" s="2987">
        <v>1901</v>
      </c>
      <c r="H261" s="2987" t="s">
        <v>3728</v>
      </c>
      <c r="I261" s="2987" t="s">
        <v>3486</v>
      </c>
      <c r="J261" s="2987" t="s">
        <v>3597</v>
      </c>
      <c r="K261" s="2988">
        <v>128.26</v>
      </c>
    </row>
    <row r="262" spans="2:11" ht="18" customHeight="1">
      <c r="B262" s="2986">
        <v>230</v>
      </c>
      <c r="C262" s="2987" t="s">
        <v>3482</v>
      </c>
      <c r="D262" s="2987" t="s">
        <v>3594</v>
      </c>
      <c r="E262" s="2987" t="s">
        <v>3687</v>
      </c>
      <c r="F262" s="2987">
        <v>1</v>
      </c>
      <c r="G262" s="2987">
        <v>1902</v>
      </c>
      <c r="H262" s="2987" t="s">
        <v>3729</v>
      </c>
      <c r="I262" s="2987" t="s">
        <v>3486</v>
      </c>
      <c r="J262" s="2987" t="s">
        <v>3599</v>
      </c>
      <c r="K262" s="2988">
        <v>96.17</v>
      </c>
    </row>
    <row r="263" spans="2:11" ht="18" customHeight="1">
      <c r="B263" s="2986">
        <v>231</v>
      </c>
      <c r="C263" s="2987" t="s">
        <v>3482</v>
      </c>
      <c r="D263" s="2987" t="s">
        <v>3594</v>
      </c>
      <c r="E263" s="2987" t="s">
        <v>3687</v>
      </c>
      <c r="F263" s="2987">
        <v>1</v>
      </c>
      <c r="G263" s="2987">
        <v>1903</v>
      </c>
      <c r="H263" s="2987" t="s">
        <v>3730</v>
      </c>
      <c r="I263" s="2987" t="s">
        <v>3486</v>
      </c>
      <c r="J263" s="2987" t="s">
        <v>3599</v>
      </c>
      <c r="K263" s="2988">
        <v>96.17</v>
      </c>
    </row>
    <row r="264" spans="2:11" ht="18" customHeight="1">
      <c r="B264" s="2986">
        <v>232</v>
      </c>
      <c r="C264" s="2987" t="s">
        <v>3482</v>
      </c>
      <c r="D264" s="2987" t="s">
        <v>3594</v>
      </c>
      <c r="E264" s="2987" t="s">
        <v>3687</v>
      </c>
      <c r="F264" s="2987">
        <v>1</v>
      </c>
      <c r="G264" s="2987">
        <v>1904</v>
      </c>
      <c r="H264" s="2987" t="s">
        <v>3731</v>
      </c>
      <c r="I264" s="2987" t="s">
        <v>3486</v>
      </c>
      <c r="J264" s="2987" t="s">
        <v>3602</v>
      </c>
      <c r="K264" s="2988">
        <v>111.01</v>
      </c>
    </row>
    <row r="265" spans="2:11" ht="18" customHeight="1">
      <c r="B265" s="2986">
        <v>233</v>
      </c>
      <c r="C265" s="2987" t="s">
        <v>3482</v>
      </c>
      <c r="D265" s="2987" t="s">
        <v>3594</v>
      </c>
      <c r="E265" s="2987" t="s">
        <v>3687</v>
      </c>
      <c r="F265" s="2987">
        <v>1</v>
      </c>
      <c r="G265" s="2987">
        <v>2001</v>
      </c>
      <c r="H265" s="2987" t="s">
        <v>3732</v>
      </c>
      <c r="I265" s="2987" t="s">
        <v>3486</v>
      </c>
      <c r="J265" s="2987" t="s">
        <v>3597</v>
      </c>
      <c r="K265" s="2988">
        <v>128.26</v>
      </c>
    </row>
    <row r="266" spans="2:11" ht="18" customHeight="1">
      <c r="B266" s="2986">
        <v>234</v>
      </c>
      <c r="C266" s="2987" t="s">
        <v>3482</v>
      </c>
      <c r="D266" s="2987" t="s">
        <v>3594</v>
      </c>
      <c r="E266" s="2987" t="s">
        <v>3687</v>
      </c>
      <c r="F266" s="2987">
        <v>1</v>
      </c>
      <c r="G266" s="2987">
        <v>2002</v>
      </c>
      <c r="H266" s="2987" t="s">
        <v>3733</v>
      </c>
      <c r="I266" s="2987" t="s">
        <v>3486</v>
      </c>
      <c r="J266" s="2987" t="s">
        <v>3599</v>
      </c>
      <c r="K266" s="2988">
        <v>96.17</v>
      </c>
    </row>
    <row r="267" spans="2:11" ht="18" customHeight="1">
      <c r="B267" s="2986">
        <v>235</v>
      </c>
      <c r="C267" s="2987" t="s">
        <v>3482</v>
      </c>
      <c r="D267" s="2987" t="s">
        <v>3594</v>
      </c>
      <c r="E267" s="2987" t="s">
        <v>3687</v>
      </c>
      <c r="F267" s="2987">
        <v>1</v>
      </c>
      <c r="G267" s="2987">
        <v>2003</v>
      </c>
      <c r="H267" s="2987" t="s">
        <v>3734</v>
      </c>
      <c r="I267" s="2987" t="s">
        <v>3486</v>
      </c>
      <c r="J267" s="2987" t="s">
        <v>3599</v>
      </c>
      <c r="K267" s="2988">
        <v>96.17</v>
      </c>
    </row>
    <row r="268" spans="2:11" ht="18" customHeight="1">
      <c r="B268" s="2986">
        <v>236</v>
      </c>
      <c r="C268" s="2987" t="s">
        <v>3482</v>
      </c>
      <c r="D268" s="2987" t="s">
        <v>3594</v>
      </c>
      <c r="E268" s="2987" t="s">
        <v>3687</v>
      </c>
      <c r="F268" s="2987">
        <v>1</v>
      </c>
      <c r="G268" s="2987">
        <v>2004</v>
      </c>
      <c r="H268" s="2987" t="s">
        <v>3735</v>
      </c>
      <c r="I268" s="2987" t="s">
        <v>3486</v>
      </c>
      <c r="J268" s="2987" t="s">
        <v>3602</v>
      </c>
      <c r="K268" s="2988">
        <v>111.01</v>
      </c>
    </row>
    <row r="269" spans="2:11" ht="18" customHeight="1">
      <c r="B269" s="2986">
        <v>237</v>
      </c>
      <c r="C269" s="2987" t="s">
        <v>3482</v>
      </c>
      <c r="D269" s="2987" t="s">
        <v>3594</v>
      </c>
      <c r="E269" s="2987" t="s">
        <v>3687</v>
      </c>
      <c r="F269" s="2987">
        <v>1</v>
      </c>
      <c r="G269" s="2987">
        <v>201</v>
      </c>
      <c r="H269" s="2987" t="s">
        <v>3736</v>
      </c>
      <c r="I269" s="2987" t="s">
        <v>3486</v>
      </c>
      <c r="J269" s="2987" t="s">
        <v>3597</v>
      </c>
      <c r="K269" s="2988">
        <v>128.26</v>
      </c>
    </row>
    <row r="270" spans="2:11" ht="18" customHeight="1">
      <c r="B270" s="2986">
        <v>238</v>
      </c>
      <c r="C270" s="2987" t="s">
        <v>3482</v>
      </c>
      <c r="D270" s="2987" t="s">
        <v>3594</v>
      </c>
      <c r="E270" s="2987" t="s">
        <v>3687</v>
      </c>
      <c r="F270" s="2987">
        <v>1</v>
      </c>
      <c r="G270" s="2987">
        <v>202</v>
      </c>
      <c r="H270" s="2987" t="s">
        <v>3737</v>
      </c>
      <c r="I270" s="2987" t="s">
        <v>3486</v>
      </c>
      <c r="J270" s="2987" t="s">
        <v>3599</v>
      </c>
      <c r="K270" s="2988">
        <v>96.17</v>
      </c>
    </row>
    <row r="271" spans="2:11" ht="18" customHeight="1">
      <c r="B271" s="2986">
        <v>239</v>
      </c>
      <c r="C271" s="2987" t="s">
        <v>3482</v>
      </c>
      <c r="D271" s="2987" t="s">
        <v>3594</v>
      </c>
      <c r="E271" s="2987" t="s">
        <v>3687</v>
      </c>
      <c r="F271" s="2987">
        <v>1</v>
      </c>
      <c r="G271" s="2987">
        <v>203</v>
      </c>
      <c r="H271" s="2987" t="s">
        <v>3738</v>
      </c>
      <c r="I271" s="2987" t="s">
        <v>3486</v>
      </c>
      <c r="J271" s="2987" t="s">
        <v>3599</v>
      </c>
      <c r="K271" s="2988">
        <v>96.17</v>
      </c>
    </row>
    <row r="272" spans="2:11" ht="18" customHeight="1">
      <c r="B272" s="2986">
        <v>240</v>
      </c>
      <c r="C272" s="2987" t="s">
        <v>3482</v>
      </c>
      <c r="D272" s="2987" t="s">
        <v>3594</v>
      </c>
      <c r="E272" s="2987" t="s">
        <v>3687</v>
      </c>
      <c r="F272" s="2987">
        <v>1</v>
      </c>
      <c r="G272" s="2987">
        <v>204</v>
      </c>
      <c r="H272" s="2987" t="s">
        <v>3739</v>
      </c>
      <c r="I272" s="2987" t="s">
        <v>3486</v>
      </c>
      <c r="J272" s="2987" t="s">
        <v>3602</v>
      </c>
      <c r="K272" s="2988">
        <v>111.01</v>
      </c>
    </row>
    <row r="273" spans="2:11" ht="18" customHeight="1">
      <c r="B273" s="2986">
        <v>241</v>
      </c>
      <c r="C273" s="2987" t="s">
        <v>3482</v>
      </c>
      <c r="D273" s="2987" t="s">
        <v>3594</v>
      </c>
      <c r="E273" s="2987" t="s">
        <v>3687</v>
      </c>
      <c r="F273" s="2987">
        <v>1</v>
      </c>
      <c r="G273" s="2987">
        <v>2101</v>
      </c>
      <c r="H273" s="2987" t="s">
        <v>3740</v>
      </c>
      <c r="I273" s="2987" t="s">
        <v>3486</v>
      </c>
      <c r="J273" s="2987" t="s">
        <v>3597</v>
      </c>
      <c r="K273" s="2988">
        <v>128.26</v>
      </c>
    </row>
    <row r="274" spans="2:11" ht="18" customHeight="1">
      <c r="B274" s="2986">
        <v>242</v>
      </c>
      <c r="C274" s="2987" t="s">
        <v>3482</v>
      </c>
      <c r="D274" s="2987" t="s">
        <v>3594</v>
      </c>
      <c r="E274" s="2987" t="s">
        <v>3687</v>
      </c>
      <c r="F274" s="2987">
        <v>1</v>
      </c>
      <c r="G274" s="2987">
        <v>2102</v>
      </c>
      <c r="H274" s="2987" t="s">
        <v>3741</v>
      </c>
      <c r="I274" s="2987" t="s">
        <v>3486</v>
      </c>
      <c r="J274" s="2987" t="s">
        <v>3599</v>
      </c>
      <c r="K274" s="2988">
        <v>96.17</v>
      </c>
    </row>
    <row r="275" spans="2:11" ht="18" customHeight="1">
      <c r="B275" s="2986">
        <v>243</v>
      </c>
      <c r="C275" s="2987" t="s">
        <v>3482</v>
      </c>
      <c r="D275" s="2987" t="s">
        <v>3594</v>
      </c>
      <c r="E275" s="2987" t="s">
        <v>3687</v>
      </c>
      <c r="F275" s="2987">
        <v>1</v>
      </c>
      <c r="G275" s="2987">
        <v>2103</v>
      </c>
      <c r="H275" s="2987" t="s">
        <v>3742</v>
      </c>
      <c r="I275" s="2987" t="s">
        <v>3486</v>
      </c>
      <c r="J275" s="2987" t="s">
        <v>3599</v>
      </c>
      <c r="K275" s="2988">
        <v>96.17</v>
      </c>
    </row>
    <row r="276" spans="2:11" ht="18" customHeight="1">
      <c r="B276" s="2986">
        <v>244</v>
      </c>
      <c r="C276" s="2987" t="s">
        <v>3482</v>
      </c>
      <c r="D276" s="2987" t="s">
        <v>3594</v>
      </c>
      <c r="E276" s="2987" t="s">
        <v>3687</v>
      </c>
      <c r="F276" s="2987">
        <v>1</v>
      </c>
      <c r="G276" s="2987">
        <v>2104</v>
      </c>
      <c r="H276" s="2987" t="s">
        <v>3743</v>
      </c>
      <c r="I276" s="2987" t="s">
        <v>3486</v>
      </c>
      <c r="J276" s="2987" t="s">
        <v>3602</v>
      </c>
      <c r="K276" s="2988">
        <v>111.01</v>
      </c>
    </row>
    <row r="277" spans="2:11" ht="18" customHeight="1">
      <c r="B277" s="2986">
        <v>245</v>
      </c>
      <c r="C277" s="2987" t="s">
        <v>3482</v>
      </c>
      <c r="D277" s="2987" t="s">
        <v>3594</v>
      </c>
      <c r="E277" s="2987" t="s">
        <v>3687</v>
      </c>
      <c r="F277" s="2987">
        <v>1</v>
      </c>
      <c r="G277" s="2987">
        <v>301</v>
      </c>
      <c r="H277" s="2987" t="s">
        <v>3744</v>
      </c>
      <c r="I277" s="2987" t="s">
        <v>3486</v>
      </c>
      <c r="J277" s="2987" t="s">
        <v>3597</v>
      </c>
      <c r="K277" s="2988">
        <v>128.26</v>
      </c>
    </row>
    <row r="278" spans="2:11" ht="18" customHeight="1">
      <c r="B278" s="2986">
        <v>246</v>
      </c>
      <c r="C278" s="2987" t="s">
        <v>3482</v>
      </c>
      <c r="D278" s="2987" t="s">
        <v>3594</v>
      </c>
      <c r="E278" s="2987" t="s">
        <v>3687</v>
      </c>
      <c r="F278" s="2987">
        <v>1</v>
      </c>
      <c r="G278" s="2987">
        <v>302</v>
      </c>
      <c r="H278" s="2987" t="s">
        <v>3745</v>
      </c>
      <c r="I278" s="2987" t="s">
        <v>3486</v>
      </c>
      <c r="J278" s="2987" t="s">
        <v>3599</v>
      </c>
      <c r="K278" s="2988">
        <v>96.17</v>
      </c>
    </row>
    <row r="279" spans="2:11" ht="18" customHeight="1">
      <c r="B279" s="2986">
        <v>247</v>
      </c>
      <c r="C279" s="2987" t="s">
        <v>3482</v>
      </c>
      <c r="D279" s="2987" t="s">
        <v>3594</v>
      </c>
      <c r="E279" s="2987" t="s">
        <v>3687</v>
      </c>
      <c r="F279" s="2987">
        <v>1</v>
      </c>
      <c r="G279" s="2987">
        <v>303</v>
      </c>
      <c r="H279" s="2987" t="s">
        <v>3746</v>
      </c>
      <c r="I279" s="2987" t="s">
        <v>3486</v>
      </c>
      <c r="J279" s="2987" t="s">
        <v>3599</v>
      </c>
      <c r="K279" s="2988">
        <v>96.17</v>
      </c>
    </row>
    <row r="280" spans="2:11" ht="18" customHeight="1">
      <c r="B280" s="2986">
        <v>248</v>
      </c>
      <c r="C280" s="2987" t="s">
        <v>3482</v>
      </c>
      <c r="D280" s="2987" t="s">
        <v>3594</v>
      </c>
      <c r="E280" s="2987" t="s">
        <v>3687</v>
      </c>
      <c r="F280" s="2987">
        <v>1</v>
      </c>
      <c r="G280" s="2987">
        <v>304</v>
      </c>
      <c r="H280" s="2987" t="s">
        <v>3747</v>
      </c>
      <c r="I280" s="2987" t="s">
        <v>3486</v>
      </c>
      <c r="J280" s="2987" t="s">
        <v>3602</v>
      </c>
      <c r="K280" s="2988">
        <v>111.01</v>
      </c>
    </row>
    <row r="281" spans="2:11" ht="18" customHeight="1">
      <c r="B281" s="2986">
        <v>249</v>
      </c>
      <c r="C281" s="2987" t="s">
        <v>3482</v>
      </c>
      <c r="D281" s="2987" t="s">
        <v>3594</v>
      </c>
      <c r="E281" s="2987" t="s">
        <v>3687</v>
      </c>
      <c r="F281" s="2987">
        <v>1</v>
      </c>
      <c r="G281" s="2987">
        <v>401</v>
      </c>
      <c r="H281" s="2987" t="s">
        <v>3748</v>
      </c>
      <c r="I281" s="2987" t="s">
        <v>3486</v>
      </c>
      <c r="J281" s="2987" t="s">
        <v>3597</v>
      </c>
      <c r="K281" s="2988">
        <v>128.26</v>
      </c>
    </row>
    <row r="282" spans="2:11" ht="18" customHeight="1">
      <c r="B282" s="2986">
        <v>250</v>
      </c>
      <c r="C282" s="2987" t="s">
        <v>3482</v>
      </c>
      <c r="D282" s="2987" t="s">
        <v>3594</v>
      </c>
      <c r="E282" s="2987" t="s">
        <v>3687</v>
      </c>
      <c r="F282" s="2987">
        <v>1</v>
      </c>
      <c r="G282" s="2987">
        <v>402</v>
      </c>
      <c r="H282" s="2987" t="s">
        <v>3749</v>
      </c>
      <c r="I282" s="2987" t="s">
        <v>3486</v>
      </c>
      <c r="J282" s="2987" t="s">
        <v>3599</v>
      </c>
      <c r="K282" s="2988">
        <v>96.17</v>
      </c>
    </row>
    <row r="283" spans="2:11" ht="18" customHeight="1">
      <c r="B283" s="2986">
        <v>251</v>
      </c>
      <c r="C283" s="2987" t="s">
        <v>3482</v>
      </c>
      <c r="D283" s="2987" t="s">
        <v>3594</v>
      </c>
      <c r="E283" s="2987" t="s">
        <v>3687</v>
      </c>
      <c r="F283" s="2987">
        <v>1</v>
      </c>
      <c r="G283" s="2987">
        <v>403</v>
      </c>
      <c r="H283" s="2987" t="s">
        <v>3750</v>
      </c>
      <c r="I283" s="2987" t="s">
        <v>3486</v>
      </c>
      <c r="J283" s="2987" t="s">
        <v>3599</v>
      </c>
      <c r="K283" s="2988">
        <v>96.17</v>
      </c>
    </row>
    <row r="284" spans="2:11" ht="18" customHeight="1">
      <c r="B284" s="2986">
        <v>252</v>
      </c>
      <c r="C284" s="2987" t="s">
        <v>3482</v>
      </c>
      <c r="D284" s="2987" t="s">
        <v>3594</v>
      </c>
      <c r="E284" s="2987" t="s">
        <v>3687</v>
      </c>
      <c r="F284" s="2987">
        <v>1</v>
      </c>
      <c r="G284" s="2987">
        <v>404</v>
      </c>
      <c r="H284" s="2987" t="s">
        <v>3751</v>
      </c>
      <c r="I284" s="2987" t="s">
        <v>3486</v>
      </c>
      <c r="J284" s="2987" t="s">
        <v>3602</v>
      </c>
      <c r="K284" s="2988">
        <v>111.01</v>
      </c>
    </row>
    <row r="285" spans="2:11" ht="18" customHeight="1">
      <c r="B285" s="2986">
        <v>253</v>
      </c>
      <c r="C285" s="2987" t="s">
        <v>3482</v>
      </c>
      <c r="D285" s="2987" t="s">
        <v>3594</v>
      </c>
      <c r="E285" s="2987" t="s">
        <v>3687</v>
      </c>
      <c r="F285" s="2987">
        <v>1</v>
      </c>
      <c r="G285" s="2987">
        <v>501</v>
      </c>
      <c r="H285" s="2987" t="s">
        <v>3752</v>
      </c>
      <c r="I285" s="2987" t="s">
        <v>3486</v>
      </c>
      <c r="J285" s="2987" t="s">
        <v>3597</v>
      </c>
      <c r="K285" s="2988">
        <v>128.26</v>
      </c>
    </row>
    <row r="286" spans="2:11" ht="18" customHeight="1">
      <c r="B286" s="2986">
        <v>254</v>
      </c>
      <c r="C286" s="2987" t="s">
        <v>3482</v>
      </c>
      <c r="D286" s="2987" t="s">
        <v>3594</v>
      </c>
      <c r="E286" s="2987" t="s">
        <v>3687</v>
      </c>
      <c r="F286" s="2987">
        <v>1</v>
      </c>
      <c r="G286" s="2987">
        <v>502</v>
      </c>
      <c r="H286" s="2987" t="s">
        <v>3753</v>
      </c>
      <c r="I286" s="2987" t="s">
        <v>3486</v>
      </c>
      <c r="J286" s="2987" t="s">
        <v>3599</v>
      </c>
      <c r="K286" s="2988">
        <v>96.17</v>
      </c>
    </row>
    <row r="287" spans="2:11" ht="18" customHeight="1">
      <c r="B287" s="2986">
        <v>255</v>
      </c>
      <c r="C287" s="2987" t="s">
        <v>3482</v>
      </c>
      <c r="D287" s="2987" t="s">
        <v>3594</v>
      </c>
      <c r="E287" s="2987" t="s">
        <v>3687</v>
      </c>
      <c r="F287" s="2987">
        <v>1</v>
      </c>
      <c r="G287" s="2987">
        <v>503</v>
      </c>
      <c r="H287" s="2987" t="s">
        <v>3754</v>
      </c>
      <c r="I287" s="2987" t="s">
        <v>3486</v>
      </c>
      <c r="J287" s="2987" t="s">
        <v>3599</v>
      </c>
      <c r="K287" s="2988">
        <v>96.17</v>
      </c>
    </row>
    <row r="288" spans="2:11" ht="18" customHeight="1">
      <c r="B288" s="2986">
        <v>256</v>
      </c>
      <c r="C288" s="2987" t="s">
        <v>3482</v>
      </c>
      <c r="D288" s="2987" t="s">
        <v>3594</v>
      </c>
      <c r="E288" s="2987" t="s">
        <v>3687</v>
      </c>
      <c r="F288" s="2987">
        <v>1</v>
      </c>
      <c r="G288" s="2987">
        <v>504</v>
      </c>
      <c r="H288" s="2987" t="s">
        <v>3755</v>
      </c>
      <c r="I288" s="2987" t="s">
        <v>3486</v>
      </c>
      <c r="J288" s="2987" t="s">
        <v>3602</v>
      </c>
      <c r="K288" s="2988">
        <v>111.01</v>
      </c>
    </row>
    <row r="289" spans="2:11" ht="18" customHeight="1">
      <c r="B289" s="2986">
        <v>257</v>
      </c>
      <c r="C289" s="2987" t="s">
        <v>3482</v>
      </c>
      <c r="D289" s="2987" t="s">
        <v>3594</v>
      </c>
      <c r="E289" s="2987" t="s">
        <v>3687</v>
      </c>
      <c r="F289" s="2987">
        <v>1</v>
      </c>
      <c r="G289" s="2987">
        <v>601</v>
      </c>
      <c r="H289" s="2987" t="s">
        <v>3756</v>
      </c>
      <c r="I289" s="2987" t="s">
        <v>3486</v>
      </c>
      <c r="J289" s="2987" t="s">
        <v>3597</v>
      </c>
      <c r="K289" s="2988">
        <v>128.26</v>
      </c>
    </row>
    <row r="290" spans="2:11" ht="18" customHeight="1">
      <c r="B290" s="2986">
        <v>258</v>
      </c>
      <c r="C290" s="2987" t="s">
        <v>3482</v>
      </c>
      <c r="D290" s="2987" t="s">
        <v>3594</v>
      </c>
      <c r="E290" s="2987" t="s">
        <v>3687</v>
      </c>
      <c r="F290" s="2987">
        <v>1</v>
      </c>
      <c r="G290" s="2987">
        <v>602</v>
      </c>
      <c r="H290" s="2987" t="s">
        <v>3757</v>
      </c>
      <c r="I290" s="2987" t="s">
        <v>3486</v>
      </c>
      <c r="J290" s="2987" t="s">
        <v>3599</v>
      </c>
      <c r="K290" s="2988">
        <v>96.17</v>
      </c>
    </row>
    <row r="291" spans="2:11" ht="18" customHeight="1">
      <c r="B291" s="2986">
        <v>259</v>
      </c>
      <c r="C291" s="2987" t="s">
        <v>3482</v>
      </c>
      <c r="D291" s="2987" t="s">
        <v>3594</v>
      </c>
      <c r="E291" s="2987" t="s">
        <v>3687</v>
      </c>
      <c r="F291" s="2987">
        <v>1</v>
      </c>
      <c r="G291" s="2987">
        <v>603</v>
      </c>
      <c r="H291" s="2987" t="s">
        <v>3758</v>
      </c>
      <c r="I291" s="2987" t="s">
        <v>3486</v>
      </c>
      <c r="J291" s="2987" t="s">
        <v>3599</v>
      </c>
      <c r="K291" s="2988">
        <v>96.17</v>
      </c>
    </row>
    <row r="292" spans="2:11" ht="18" customHeight="1">
      <c r="B292" s="2986">
        <v>260</v>
      </c>
      <c r="C292" s="2987" t="s">
        <v>3482</v>
      </c>
      <c r="D292" s="2987" t="s">
        <v>3594</v>
      </c>
      <c r="E292" s="2987" t="s">
        <v>3687</v>
      </c>
      <c r="F292" s="2987">
        <v>1</v>
      </c>
      <c r="G292" s="2987">
        <v>604</v>
      </c>
      <c r="H292" s="2987" t="s">
        <v>3759</v>
      </c>
      <c r="I292" s="2987" t="s">
        <v>3486</v>
      </c>
      <c r="J292" s="2987" t="s">
        <v>3602</v>
      </c>
      <c r="K292" s="2988">
        <v>111.01</v>
      </c>
    </row>
    <row r="293" spans="2:11" ht="18" customHeight="1">
      <c r="B293" s="2986">
        <v>261</v>
      </c>
      <c r="C293" s="2987" t="s">
        <v>3482</v>
      </c>
      <c r="D293" s="2987" t="s">
        <v>3594</v>
      </c>
      <c r="E293" s="2987" t="s">
        <v>3687</v>
      </c>
      <c r="F293" s="2987">
        <v>1</v>
      </c>
      <c r="G293" s="2987">
        <v>701</v>
      </c>
      <c r="H293" s="2987" t="s">
        <v>3760</v>
      </c>
      <c r="I293" s="2987" t="s">
        <v>3486</v>
      </c>
      <c r="J293" s="2987" t="s">
        <v>3597</v>
      </c>
      <c r="K293" s="2988">
        <v>128.26</v>
      </c>
    </row>
    <row r="294" spans="2:11" ht="18" customHeight="1">
      <c r="B294" s="2986">
        <v>262</v>
      </c>
      <c r="C294" s="2987" t="s">
        <v>3482</v>
      </c>
      <c r="D294" s="2987" t="s">
        <v>3594</v>
      </c>
      <c r="E294" s="2987" t="s">
        <v>3687</v>
      </c>
      <c r="F294" s="2987">
        <v>1</v>
      </c>
      <c r="G294" s="2987">
        <v>702</v>
      </c>
      <c r="H294" s="2987" t="s">
        <v>3761</v>
      </c>
      <c r="I294" s="2987" t="s">
        <v>3486</v>
      </c>
      <c r="J294" s="2987" t="s">
        <v>3599</v>
      </c>
      <c r="K294" s="2988">
        <v>96.17</v>
      </c>
    </row>
    <row r="295" spans="2:11" ht="18" customHeight="1">
      <c r="B295" s="2986">
        <v>263</v>
      </c>
      <c r="C295" s="2987" t="s">
        <v>3482</v>
      </c>
      <c r="D295" s="2987" t="s">
        <v>3594</v>
      </c>
      <c r="E295" s="2987" t="s">
        <v>3687</v>
      </c>
      <c r="F295" s="2987">
        <v>1</v>
      </c>
      <c r="G295" s="2987">
        <v>703</v>
      </c>
      <c r="H295" s="2987" t="s">
        <v>3762</v>
      </c>
      <c r="I295" s="2987" t="s">
        <v>3486</v>
      </c>
      <c r="J295" s="2987" t="s">
        <v>3599</v>
      </c>
      <c r="K295" s="2988">
        <v>96.17</v>
      </c>
    </row>
    <row r="296" spans="2:11" ht="18" customHeight="1">
      <c r="B296" s="2986">
        <v>264</v>
      </c>
      <c r="C296" s="2987" t="s">
        <v>3482</v>
      </c>
      <c r="D296" s="2987" t="s">
        <v>3594</v>
      </c>
      <c r="E296" s="2987" t="s">
        <v>3687</v>
      </c>
      <c r="F296" s="2987">
        <v>1</v>
      </c>
      <c r="G296" s="2987">
        <v>704</v>
      </c>
      <c r="H296" s="2987" t="s">
        <v>3763</v>
      </c>
      <c r="I296" s="2987" t="s">
        <v>3486</v>
      </c>
      <c r="J296" s="2987" t="s">
        <v>3602</v>
      </c>
      <c r="K296" s="2988">
        <v>111.01</v>
      </c>
    </row>
    <row r="297" spans="2:11" ht="18" customHeight="1">
      <c r="B297" s="2986">
        <v>265</v>
      </c>
      <c r="C297" s="2987" t="s">
        <v>3482</v>
      </c>
      <c r="D297" s="2987" t="s">
        <v>3594</v>
      </c>
      <c r="E297" s="2987" t="s">
        <v>3687</v>
      </c>
      <c r="F297" s="2987">
        <v>1</v>
      </c>
      <c r="G297" s="2987">
        <v>801</v>
      </c>
      <c r="H297" s="2987" t="s">
        <v>3764</v>
      </c>
      <c r="I297" s="2987" t="s">
        <v>3486</v>
      </c>
      <c r="J297" s="2987" t="s">
        <v>3597</v>
      </c>
      <c r="K297" s="2988">
        <v>128.26</v>
      </c>
    </row>
    <row r="298" spans="2:11" ht="18" customHeight="1">
      <c r="B298" s="2986">
        <v>266</v>
      </c>
      <c r="C298" s="2987" t="s">
        <v>3482</v>
      </c>
      <c r="D298" s="2987" t="s">
        <v>3594</v>
      </c>
      <c r="E298" s="2987" t="s">
        <v>3687</v>
      </c>
      <c r="F298" s="2987">
        <v>1</v>
      </c>
      <c r="G298" s="2987">
        <v>802</v>
      </c>
      <c r="H298" s="2987" t="s">
        <v>3765</v>
      </c>
      <c r="I298" s="2987" t="s">
        <v>3486</v>
      </c>
      <c r="J298" s="2987" t="s">
        <v>3599</v>
      </c>
      <c r="K298" s="2988">
        <v>96.17</v>
      </c>
    </row>
    <row r="299" spans="2:11" ht="18" customHeight="1">
      <c r="B299" s="2986">
        <v>267</v>
      </c>
      <c r="C299" s="2987" t="s">
        <v>3482</v>
      </c>
      <c r="D299" s="2987" t="s">
        <v>3594</v>
      </c>
      <c r="E299" s="2987" t="s">
        <v>3687</v>
      </c>
      <c r="F299" s="2987">
        <v>1</v>
      </c>
      <c r="G299" s="2987">
        <v>803</v>
      </c>
      <c r="H299" s="2987" t="s">
        <v>3766</v>
      </c>
      <c r="I299" s="2987" t="s">
        <v>3486</v>
      </c>
      <c r="J299" s="2987" t="s">
        <v>3599</v>
      </c>
      <c r="K299" s="2988">
        <v>96.17</v>
      </c>
    </row>
    <row r="300" spans="2:11" ht="18" customHeight="1">
      <c r="B300" s="2986">
        <v>268</v>
      </c>
      <c r="C300" s="2987" t="s">
        <v>3482</v>
      </c>
      <c r="D300" s="2987" t="s">
        <v>3594</v>
      </c>
      <c r="E300" s="2987" t="s">
        <v>3687</v>
      </c>
      <c r="F300" s="2987">
        <v>1</v>
      </c>
      <c r="G300" s="2987">
        <v>804</v>
      </c>
      <c r="H300" s="2987" t="s">
        <v>3767</v>
      </c>
      <c r="I300" s="2987" t="s">
        <v>3486</v>
      </c>
      <c r="J300" s="2987" t="s">
        <v>3602</v>
      </c>
      <c r="K300" s="2988">
        <v>111.01</v>
      </c>
    </row>
    <row r="301" spans="2:11" ht="18" customHeight="1">
      <c r="B301" s="2986">
        <v>269</v>
      </c>
      <c r="C301" s="2987" t="s">
        <v>3482</v>
      </c>
      <c r="D301" s="2987" t="s">
        <v>3594</v>
      </c>
      <c r="E301" s="2987" t="s">
        <v>3687</v>
      </c>
      <c r="F301" s="2987">
        <v>1</v>
      </c>
      <c r="G301" s="2987">
        <v>901</v>
      </c>
      <c r="H301" s="2987" t="s">
        <v>3768</v>
      </c>
      <c r="I301" s="2987" t="s">
        <v>3486</v>
      </c>
      <c r="J301" s="2987" t="s">
        <v>3597</v>
      </c>
      <c r="K301" s="2988">
        <v>128.26</v>
      </c>
    </row>
    <row r="302" spans="2:11" ht="18" customHeight="1">
      <c r="B302" s="2986">
        <v>270</v>
      </c>
      <c r="C302" s="2987" t="s">
        <v>3482</v>
      </c>
      <c r="D302" s="2987" t="s">
        <v>3594</v>
      </c>
      <c r="E302" s="2987" t="s">
        <v>3687</v>
      </c>
      <c r="F302" s="2987">
        <v>1</v>
      </c>
      <c r="G302" s="2987">
        <v>902</v>
      </c>
      <c r="H302" s="2987" t="s">
        <v>3769</v>
      </c>
      <c r="I302" s="2987" t="s">
        <v>3486</v>
      </c>
      <c r="J302" s="2987" t="s">
        <v>3599</v>
      </c>
      <c r="K302" s="2988">
        <v>96.17</v>
      </c>
    </row>
    <row r="303" spans="2:11" ht="18" customHeight="1">
      <c r="B303" s="2986">
        <v>271</v>
      </c>
      <c r="C303" s="2987" t="s">
        <v>3482</v>
      </c>
      <c r="D303" s="2987" t="s">
        <v>3594</v>
      </c>
      <c r="E303" s="2987" t="s">
        <v>3687</v>
      </c>
      <c r="F303" s="2987">
        <v>1</v>
      </c>
      <c r="G303" s="2987">
        <v>903</v>
      </c>
      <c r="H303" s="2987" t="s">
        <v>3770</v>
      </c>
      <c r="I303" s="2987" t="s">
        <v>3486</v>
      </c>
      <c r="J303" s="2987" t="s">
        <v>3599</v>
      </c>
      <c r="K303" s="2988">
        <v>96.17</v>
      </c>
    </row>
    <row r="304" spans="2:11" ht="18" customHeight="1">
      <c r="B304" s="2986">
        <v>272</v>
      </c>
      <c r="C304" s="2987" t="s">
        <v>3482</v>
      </c>
      <c r="D304" s="2987" t="s">
        <v>3594</v>
      </c>
      <c r="E304" s="2987" t="s">
        <v>3687</v>
      </c>
      <c r="F304" s="2987">
        <v>1</v>
      </c>
      <c r="G304" s="2987">
        <v>904</v>
      </c>
      <c r="H304" s="2987" t="s">
        <v>3771</v>
      </c>
      <c r="I304" s="2987" t="s">
        <v>3486</v>
      </c>
      <c r="J304" s="2987" t="s">
        <v>3602</v>
      </c>
      <c r="K304" s="2988">
        <v>111.01</v>
      </c>
    </row>
    <row r="305" spans="2:11" ht="18" customHeight="1">
      <c r="B305" s="2986">
        <v>273</v>
      </c>
      <c r="C305" s="2987" t="s">
        <v>3482</v>
      </c>
      <c r="D305" s="2987" t="s">
        <v>3594</v>
      </c>
      <c r="E305" s="2987" t="s">
        <v>3687</v>
      </c>
      <c r="F305" s="2987">
        <v>2</v>
      </c>
      <c r="G305" s="2987">
        <v>1001</v>
      </c>
      <c r="H305" s="2987" t="s">
        <v>3772</v>
      </c>
      <c r="I305" s="2987" t="s">
        <v>3486</v>
      </c>
      <c r="J305" s="2987" t="s">
        <v>3602</v>
      </c>
      <c r="K305" s="2988">
        <v>111.01</v>
      </c>
    </row>
    <row r="306" spans="2:11" ht="18" customHeight="1">
      <c r="B306" s="2986">
        <v>274</v>
      </c>
      <c r="C306" s="2987" t="s">
        <v>3482</v>
      </c>
      <c r="D306" s="2987" t="s">
        <v>3594</v>
      </c>
      <c r="E306" s="2987" t="s">
        <v>3687</v>
      </c>
      <c r="F306" s="2987">
        <v>2</v>
      </c>
      <c r="G306" s="2987">
        <v>1002</v>
      </c>
      <c r="H306" s="2987" t="s">
        <v>3773</v>
      </c>
      <c r="I306" s="2987" t="s">
        <v>3486</v>
      </c>
      <c r="J306" s="2987" t="s">
        <v>3599</v>
      </c>
      <c r="K306" s="2988">
        <v>96.17</v>
      </c>
    </row>
    <row r="307" spans="2:11" ht="18" customHeight="1">
      <c r="B307" s="2986">
        <v>275</v>
      </c>
      <c r="C307" s="2987" t="s">
        <v>3482</v>
      </c>
      <c r="D307" s="2987" t="s">
        <v>3594</v>
      </c>
      <c r="E307" s="2987" t="s">
        <v>3687</v>
      </c>
      <c r="F307" s="2987">
        <v>2</v>
      </c>
      <c r="G307" s="2987">
        <v>1003</v>
      </c>
      <c r="H307" s="2987" t="s">
        <v>3774</v>
      </c>
      <c r="I307" s="2987" t="s">
        <v>3486</v>
      </c>
      <c r="J307" s="2987" t="s">
        <v>3599</v>
      </c>
      <c r="K307" s="2988">
        <v>96.17</v>
      </c>
    </row>
    <row r="308" spans="2:11" ht="18" customHeight="1">
      <c r="B308" s="2986">
        <v>276</v>
      </c>
      <c r="C308" s="2987" t="s">
        <v>3482</v>
      </c>
      <c r="D308" s="2987" t="s">
        <v>3594</v>
      </c>
      <c r="E308" s="2987" t="s">
        <v>3687</v>
      </c>
      <c r="F308" s="2987">
        <v>2</v>
      </c>
      <c r="G308" s="2987">
        <v>1004</v>
      </c>
      <c r="H308" s="2987" t="s">
        <v>3775</v>
      </c>
      <c r="I308" s="2987" t="s">
        <v>3486</v>
      </c>
      <c r="J308" s="2987" t="s">
        <v>3597</v>
      </c>
      <c r="K308" s="2988">
        <v>128.26</v>
      </c>
    </row>
    <row r="309" spans="2:11" ht="18" customHeight="1">
      <c r="B309" s="2986">
        <v>277</v>
      </c>
      <c r="C309" s="2987" t="s">
        <v>3482</v>
      </c>
      <c r="D309" s="2987" t="s">
        <v>3594</v>
      </c>
      <c r="E309" s="2987" t="s">
        <v>3687</v>
      </c>
      <c r="F309" s="2987">
        <v>2</v>
      </c>
      <c r="G309" s="2987">
        <v>101</v>
      </c>
      <c r="H309" s="2987" t="s">
        <v>3776</v>
      </c>
      <c r="I309" s="2987" t="s">
        <v>3486</v>
      </c>
      <c r="J309" s="2987" t="s">
        <v>3602</v>
      </c>
      <c r="K309" s="2988">
        <v>111.01</v>
      </c>
    </row>
    <row r="310" spans="2:11" ht="18" customHeight="1">
      <c r="B310" s="2986">
        <v>278</v>
      </c>
      <c r="C310" s="2987" t="s">
        <v>3482</v>
      </c>
      <c r="D310" s="2987" t="s">
        <v>3594</v>
      </c>
      <c r="E310" s="2987" t="s">
        <v>3687</v>
      </c>
      <c r="F310" s="2987">
        <v>2</v>
      </c>
      <c r="G310" s="2987">
        <v>102</v>
      </c>
      <c r="H310" s="2987" t="s">
        <v>3777</v>
      </c>
      <c r="I310" s="2987" t="s">
        <v>3486</v>
      </c>
      <c r="J310" s="2987" t="s">
        <v>3599</v>
      </c>
      <c r="K310" s="2988">
        <v>96.17</v>
      </c>
    </row>
    <row r="311" spans="2:11" ht="18" customHeight="1">
      <c r="B311" s="2986">
        <v>279</v>
      </c>
      <c r="C311" s="2987" t="s">
        <v>3482</v>
      </c>
      <c r="D311" s="2987" t="s">
        <v>3594</v>
      </c>
      <c r="E311" s="2987" t="s">
        <v>3687</v>
      </c>
      <c r="F311" s="2987">
        <v>2</v>
      </c>
      <c r="G311" s="2987">
        <v>103</v>
      </c>
      <c r="H311" s="2987" t="s">
        <v>3778</v>
      </c>
      <c r="I311" s="2987" t="s">
        <v>3486</v>
      </c>
      <c r="J311" s="2987" t="s">
        <v>3599</v>
      </c>
      <c r="K311" s="2988">
        <v>96.17</v>
      </c>
    </row>
    <row r="312" spans="2:11" ht="18" customHeight="1">
      <c r="B312" s="2986">
        <v>280</v>
      </c>
      <c r="C312" s="2987" t="s">
        <v>3482</v>
      </c>
      <c r="D312" s="2987" t="s">
        <v>3594</v>
      </c>
      <c r="E312" s="2987" t="s">
        <v>3687</v>
      </c>
      <c r="F312" s="2987">
        <v>2</v>
      </c>
      <c r="G312" s="2987">
        <v>104</v>
      </c>
      <c r="H312" s="2987" t="s">
        <v>3779</v>
      </c>
      <c r="I312" s="2987" t="s">
        <v>3486</v>
      </c>
      <c r="J312" s="2987" t="s">
        <v>3597</v>
      </c>
      <c r="K312" s="2988">
        <v>128.26</v>
      </c>
    </row>
    <row r="313" spans="2:11" ht="18" customHeight="1">
      <c r="B313" s="2986">
        <v>281</v>
      </c>
      <c r="C313" s="2987" t="s">
        <v>3482</v>
      </c>
      <c r="D313" s="2987" t="s">
        <v>3594</v>
      </c>
      <c r="E313" s="2987" t="s">
        <v>3687</v>
      </c>
      <c r="F313" s="2987">
        <v>2</v>
      </c>
      <c r="G313" s="2987">
        <v>1101</v>
      </c>
      <c r="H313" s="2987" t="s">
        <v>3780</v>
      </c>
      <c r="I313" s="2987" t="s">
        <v>3486</v>
      </c>
      <c r="J313" s="2987" t="s">
        <v>3602</v>
      </c>
      <c r="K313" s="2988">
        <v>111.01</v>
      </c>
    </row>
    <row r="314" spans="2:11" ht="18" customHeight="1">
      <c r="B314" s="2986">
        <v>282</v>
      </c>
      <c r="C314" s="2987" t="s">
        <v>3482</v>
      </c>
      <c r="D314" s="2987" t="s">
        <v>3594</v>
      </c>
      <c r="E314" s="2987" t="s">
        <v>3687</v>
      </c>
      <c r="F314" s="2987">
        <v>2</v>
      </c>
      <c r="G314" s="2987">
        <v>1102</v>
      </c>
      <c r="H314" s="2987" t="s">
        <v>3781</v>
      </c>
      <c r="I314" s="2987" t="s">
        <v>3486</v>
      </c>
      <c r="J314" s="2987" t="s">
        <v>3599</v>
      </c>
      <c r="K314" s="2988">
        <v>96.17</v>
      </c>
    </row>
    <row r="315" spans="2:11" ht="18" customHeight="1">
      <c r="B315" s="2986">
        <v>283</v>
      </c>
      <c r="C315" s="2987" t="s">
        <v>3482</v>
      </c>
      <c r="D315" s="2987" t="s">
        <v>3594</v>
      </c>
      <c r="E315" s="2987" t="s">
        <v>3687</v>
      </c>
      <c r="F315" s="2987">
        <v>2</v>
      </c>
      <c r="G315" s="2987">
        <v>1103</v>
      </c>
      <c r="H315" s="2987" t="s">
        <v>3782</v>
      </c>
      <c r="I315" s="2987" t="s">
        <v>3486</v>
      </c>
      <c r="J315" s="2987" t="s">
        <v>3599</v>
      </c>
      <c r="K315" s="2988">
        <v>96.17</v>
      </c>
    </row>
    <row r="316" spans="2:11" ht="18" customHeight="1">
      <c r="B316" s="2986">
        <v>284</v>
      </c>
      <c r="C316" s="2987" t="s">
        <v>3482</v>
      </c>
      <c r="D316" s="2987" t="s">
        <v>3594</v>
      </c>
      <c r="E316" s="2987" t="s">
        <v>3687</v>
      </c>
      <c r="F316" s="2987">
        <v>2</v>
      </c>
      <c r="G316" s="2987">
        <v>1104</v>
      </c>
      <c r="H316" s="2987" t="s">
        <v>3783</v>
      </c>
      <c r="I316" s="2987" t="s">
        <v>3486</v>
      </c>
      <c r="J316" s="2987" t="s">
        <v>3597</v>
      </c>
      <c r="K316" s="2988">
        <v>128.26</v>
      </c>
    </row>
    <row r="317" spans="2:11" ht="18" customHeight="1">
      <c r="B317" s="2986">
        <v>285</v>
      </c>
      <c r="C317" s="2987" t="s">
        <v>3482</v>
      </c>
      <c r="D317" s="2987" t="s">
        <v>3594</v>
      </c>
      <c r="E317" s="2987" t="s">
        <v>3687</v>
      </c>
      <c r="F317" s="2987">
        <v>2</v>
      </c>
      <c r="G317" s="2987">
        <v>1201</v>
      </c>
      <c r="H317" s="2987" t="s">
        <v>3784</v>
      </c>
      <c r="I317" s="2987" t="s">
        <v>3486</v>
      </c>
      <c r="J317" s="2987" t="s">
        <v>3602</v>
      </c>
      <c r="K317" s="2988">
        <v>111.01</v>
      </c>
    </row>
    <row r="318" spans="2:11" ht="18" customHeight="1">
      <c r="B318" s="2986">
        <v>286</v>
      </c>
      <c r="C318" s="2987" t="s">
        <v>3482</v>
      </c>
      <c r="D318" s="2987" t="s">
        <v>3594</v>
      </c>
      <c r="E318" s="2987" t="s">
        <v>3687</v>
      </c>
      <c r="F318" s="2987">
        <v>2</v>
      </c>
      <c r="G318" s="2987">
        <v>1202</v>
      </c>
      <c r="H318" s="2987" t="s">
        <v>3785</v>
      </c>
      <c r="I318" s="2987" t="s">
        <v>3486</v>
      </c>
      <c r="J318" s="2987" t="s">
        <v>3599</v>
      </c>
      <c r="K318" s="2988">
        <v>96.17</v>
      </c>
    </row>
    <row r="319" spans="2:11" ht="18" customHeight="1">
      <c r="B319" s="2986">
        <v>287</v>
      </c>
      <c r="C319" s="2987" t="s">
        <v>3482</v>
      </c>
      <c r="D319" s="2987" t="s">
        <v>3594</v>
      </c>
      <c r="E319" s="2987" t="s">
        <v>3687</v>
      </c>
      <c r="F319" s="2987">
        <v>2</v>
      </c>
      <c r="G319" s="2987">
        <v>1203</v>
      </c>
      <c r="H319" s="2987" t="s">
        <v>3786</v>
      </c>
      <c r="I319" s="2987" t="s">
        <v>3486</v>
      </c>
      <c r="J319" s="2987" t="s">
        <v>3599</v>
      </c>
      <c r="K319" s="2988">
        <v>96.17</v>
      </c>
    </row>
    <row r="320" spans="2:11" ht="18" customHeight="1">
      <c r="B320" s="2986">
        <v>288</v>
      </c>
      <c r="C320" s="2987" t="s">
        <v>3482</v>
      </c>
      <c r="D320" s="2987" t="s">
        <v>3594</v>
      </c>
      <c r="E320" s="2987" t="s">
        <v>3687</v>
      </c>
      <c r="F320" s="2987">
        <v>2</v>
      </c>
      <c r="G320" s="2987">
        <v>1204</v>
      </c>
      <c r="H320" s="2987" t="s">
        <v>3787</v>
      </c>
      <c r="I320" s="2987" t="s">
        <v>3486</v>
      </c>
      <c r="J320" s="2987" t="s">
        <v>3597</v>
      </c>
      <c r="K320" s="2988">
        <v>128.26</v>
      </c>
    </row>
    <row r="321" spans="2:11" ht="18" customHeight="1">
      <c r="B321" s="2986">
        <v>289</v>
      </c>
      <c r="C321" s="2987" t="s">
        <v>3482</v>
      </c>
      <c r="D321" s="2987" t="s">
        <v>3594</v>
      </c>
      <c r="E321" s="2987" t="s">
        <v>3687</v>
      </c>
      <c r="F321" s="2987">
        <v>2</v>
      </c>
      <c r="G321" s="2987">
        <v>1301</v>
      </c>
      <c r="H321" s="2987" t="s">
        <v>3788</v>
      </c>
      <c r="I321" s="2987" t="s">
        <v>3486</v>
      </c>
      <c r="J321" s="2987" t="s">
        <v>3602</v>
      </c>
      <c r="K321" s="2988">
        <v>111.01</v>
      </c>
    </row>
    <row r="322" spans="2:11" ht="18" customHeight="1">
      <c r="B322" s="2986">
        <v>290</v>
      </c>
      <c r="C322" s="2987" t="s">
        <v>3482</v>
      </c>
      <c r="D322" s="2987" t="s">
        <v>3594</v>
      </c>
      <c r="E322" s="2987" t="s">
        <v>3687</v>
      </c>
      <c r="F322" s="2987">
        <v>2</v>
      </c>
      <c r="G322" s="2987">
        <v>1302</v>
      </c>
      <c r="H322" s="2987" t="s">
        <v>3789</v>
      </c>
      <c r="I322" s="2987" t="s">
        <v>3486</v>
      </c>
      <c r="J322" s="2987" t="s">
        <v>3599</v>
      </c>
      <c r="K322" s="2988">
        <v>96.17</v>
      </c>
    </row>
    <row r="323" spans="2:11" ht="18" customHeight="1">
      <c r="B323" s="2986">
        <v>291</v>
      </c>
      <c r="C323" s="2987" t="s">
        <v>3482</v>
      </c>
      <c r="D323" s="2987" t="s">
        <v>3594</v>
      </c>
      <c r="E323" s="2987" t="s">
        <v>3687</v>
      </c>
      <c r="F323" s="2987">
        <v>2</v>
      </c>
      <c r="G323" s="2987">
        <v>1303</v>
      </c>
      <c r="H323" s="2987" t="s">
        <v>3790</v>
      </c>
      <c r="I323" s="2987" t="s">
        <v>3486</v>
      </c>
      <c r="J323" s="2987" t="s">
        <v>3599</v>
      </c>
      <c r="K323" s="2988">
        <v>96.17</v>
      </c>
    </row>
    <row r="324" spans="2:11" ht="18" customHeight="1">
      <c r="B324" s="2986">
        <v>292</v>
      </c>
      <c r="C324" s="2987" t="s">
        <v>3482</v>
      </c>
      <c r="D324" s="2987" t="s">
        <v>3594</v>
      </c>
      <c r="E324" s="2987" t="s">
        <v>3687</v>
      </c>
      <c r="F324" s="2987">
        <v>2</v>
      </c>
      <c r="G324" s="2987">
        <v>1304</v>
      </c>
      <c r="H324" s="2987" t="s">
        <v>3791</v>
      </c>
      <c r="I324" s="2987" t="s">
        <v>3486</v>
      </c>
      <c r="J324" s="2987" t="s">
        <v>3597</v>
      </c>
      <c r="K324" s="2988">
        <v>128.26</v>
      </c>
    </row>
    <row r="325" spans="2:11" ht="18" customHeight="1">
      <c r="B325" s="2986">
        <v>293</v>
      </c>
      <c r="C325" s="2987" t="s">
        <v>3482</v>
      </c>
      <c r="D325" s="2987" t="s">
        <v>3594</v>
      </c>
      <c r="E325" s="2987" t="s">
        <v>3687</v>
      </c>
      <c r="F325" s="2987">
        <v>2</v>
      </c>
      <c r="G325" s="2987">
        <v>1401</v>
      </c>
      <c r="H325" s="2987" t="s">
        <v>3792</v>
      </c>
      <c r="I325" s="2987" t="s">
        <v>3486</v>
      </c>
      <c r="J325" s="2987" t="s">
        <v>3602</v>
      </c>
      <c r="K325" s="2988">
        <v>111.01</v>
      </c>
    </row>
    <row r="326" spans="2:11" ht="18" customHeight="1">
      <c r="B326" s="2986">
        <v>294</v>
      </c>
      <c r="C326" s="2987" t="s">
        <v>3482</v>
      </c>
      <c r="D326" s="2987" t="s">
        <v>3594</v>
      </c>
      <c r="E326" s="2987" t="s">
        <v>3687</v>
      </c>
      <c r="F326" s="2987">
        <v>2</v>
      </c>
      <c r="G326" s="2987">
        <v>1402</v>
      </c>
      <c r="H326" s="2987" t="s">
        <v>3793</v>
      </c>
      <c r="I326" s="2987" t="s">
        <v>3486</v>
      </c>
      <c r="J326" s="2987" t="s">
        <v>3599</v>
      </c>
      <c r="K326" s="2988">
        <v>96.17</v>
      </c>
    </row>
    <row r="327" spans="2:11" ht="18" customHeight="1">
      <c r="B327" s="2986">
        <v>295</v>
      </c>
      <c r="C327" s="2987" t="s">
        <v>3482</v>
      </c>
      <c r="D327" s="2987" t="s">
        <v>3594</v>
      </c>
      <c r="E327" s="2987" t="s">
        <v>3687</v>
      </c>
      <c r="F327" s="2987">
        <v>2</v>
      </c>
      <c r="G327" s="2987">
        <v>1403</v>
      </c>
      <c r="H327" s="2987" t="s">
        <v>3794</v>
      </c>
      <c r="I327" s="2987" t="s">
        <v>3486</v>
      </c>
      <c r="J327" s="2987" t="s">
        <v>3599</v>
      </c>
      <c r="K327" s="2988">
        <v>96.17</v>
      </c>
    </row>
    <row r="328" spans="2:11" ht="18" customHeight="1">
      <c r="B328" s="2986">
        <v>296</v>
      </c>
      <c r="C328" s="2987" t="s">
        <v>3482</v>
      </c>
      <c r="D328" s="2987" t="s">
        <v>3594</v>
      </c>
      <c r="E328" s="2987" t="s">
        <v>3687</v>
      </c>
      <c r="F328" s="2987">
        <v>2</v>
      </c>
      <c r="G328" s="2987">
        <v>1404</v>
      </c>
      <c r="H328" s="2987" t="s">
        <v>3795</v>
      </c>
      <c r="I328" s="2987" t="s">
        <v>3486</v>
      </c>
      <c r="J328" s="2987" t="s">
        <v>3597</v>
      </c>
      <c r="K328" s="2988">
        <v>128.26</v>
      </c>
    </row>
    <row r="329" spans="2:11" ht="18" customHeight="1">
      <c r="B329" s="2986">
        <v>297</v>
      </c>
      <c r="C329" s="2987" t="s">
        <v>3482</v>
      </c>
      <c r="D329" s="2987" t="s">
        <v>3594</v>
      </c>
      <c r="E329" s="2987" t="s">
        <v>3687</v>
      </c>
      <c r="F329" s="2987">
        <v>2</v>
      </c>
      <c r="G329" s="2987">
        <v>1501</v>
      </c>
      <c r="H329" s="2987" t="s">
        <v>3796</v>
      </c>
      <c r="I329" s="2987" t="s">
        <v>3486</v>
      </c>
      <c r="J329" s="2987" t="s">
        <v>3602</v>
      </c>
      <c r="K329" s="2988">
        <v>111.01</v>
      </c>
    </row>
    <row r="330" spans="2:11" ht="18" customHeight="1">
      <c r="B330" s="2986">
        <v>298</v>
      </c>
      <c r="C330" s="2987" t="s">
        <v>3482</v>
      </c>
      <c r="D330" s="2987" t="s">
        <v>3594</v>
      </c>
      <c r="E330" s="2987" t="s">
        <v>3687</v>
      </c>
      <c r="F330" s="2987">
        <v>2</v>
      </c>
      <c r="G330" s="2987">
        <v>1502</v>
      </c>
      <c r="H330" s="2987" t="s">
        <v>3797</v>
      </c>
      <c r="I330" s="2987" t="s">
        <v>3486</v>
      </c>
      <c r="J330" s="2987" t="s">
        <v>3599</v>
      </c>
      <c r="K330" s="2988">
        <v>96.17</v>
      </c>
    </row>
    <row r="331" spans="2:11" ht="18" customHeight="1">
      <c r="B331" s="2986">
        <v>299</v>
      </c>
      <c r="C331" s="2987" t="s">
        <v>3482</v>
      </c>
      <c r="D331" s="2987" t="s">
        <v>3594</v>
      </c>
      <c r="E331" s="2987" t="s">
        <v>3687</v>
      </c>
      <c r="F331" s="2987">
        <v>2</v>
      </c>
      <c r="G331" s="2987">
        <v>1503</v>
      </c>
      <c r="H331" s="2987" t="s">
        <v>3798</v>
      </c>
      <c r="I331" s="2987" t="s">
        <v>3486</v>
      </c>
      <c r="J331" s="2987" t="s">
        <v>3599</v>
      </c>
      <c r="K331" s="2988">
        <v>96.17</v>
      </c>
    </row>
    <row r="332" spans="2:11" ht="18" customHeight="1">
      <c r="B332" s="2986">
        <v>300</v>
      </c>
      <c r="C332" s="2987" t="s">
        <v>3482</v>
      </c>
      <c r="D332" s="2987" t="s">
        <v>3594</v>
      </c>
      <c r="E332" s="2987" t="s">
        <v>3687</v>
      </c>
      <c r="F332" s="2987">
        <v>2</v>
      </c>
      <c r="G332" s="2987">
        <v>1504</v>
      </c>
      <c r="H332" s="2987" t="s">
        <v>3799</v>
      </c>
      <c r="I332" s="2987" t="s">
        <v>3486</v>
      </c>
      <c r="J332" s="2987" t="s">
        <v>3597</v>
      </c>
      <c r="K332" s="2988">
        <v>128.26</v>
      </c>
    </row>
    <row r="333" spans="2:11" ht="18" customHeight="1">
      <c r="B333" s="2986">
        <v>301</v>
      </c>
      <c r="C333" s="2987" t="s">
        <v>3482</v>
      </c>
      <c r="D333" s="2987" t="s">
        <v>3594</v>
      </c>
      <c r="E333" s="2987" t="s">
        <v>3687</v>
      </c>
      <c r="F333" s="2987">
        <v>2</v>
      </c>
      <c r="G333" s="2987">
        <v>1601</v>
      </c>
      <c r="H333" s="2987" t="s">
        <v>3800</v>
      </c>
      <c r="I333" s="2987" t="s">
        <v>3486</v>
      </c>
      <c r="J333" s="2987" t="s">
        <v>3602</v>
      </c>
      <c r="K333" s="2988">
        <v>111.01</v>
      </c>
    </row>
    <row r="334" spans="2:11" ht="18" customHeight="1">
      <c r="B334" s="2986">
        <v>302</v>
      </c>
      <c r="C334" s="2987" t="s">
        <v>3482</v>
      </c>
      <c r="D334" s="2987" t="s">
        <v>3594</v>
      </c>
      <c r="E334" s="2987" t="s">
        <v>3687</v>
      </c>
      <c r="F334" s="2987">
        <v>2</v>
      </c>
      <c r="G334" s="2987">
        <v>1602</v>
      </c>
      <c r="H334" s="2987" t="s">
        <v>3801</v>
      </c>
      <c r="I334" s="2987" t="s">
        <v>3486</v>
      </c>
      <c r="J334" s="2987" t="s">
        <v>3599</v>
      </c>
      <c r="K334" s="2988">
        <v>96.17</v>
      </c>
    </row>
    <row r="335" spans="2:11" ht="18" customHeight="1">
      <c r="B335" s="2986">
        <v>303</v>
      </c>
      <c r="C335" s="2987" t="s">
        <v>3482</v>
      </c>
      <c r="D335" s="2987" t="s">
        <v>3594</v>
      </c>
      <c r="E335" s="2987" t="s">
        <v>3687</v>
      </c>
      <c r="F335" s="2987">
        <v>2</v>
      </c>
      <c r="G335" s="2987">
        <v>1603</v>
      </c>
      <c r="H335" s="2987" t="s">
        <v>3802</v>
      </c>
      <c r="I335" s="2987" t="s">
        <v>3486</v>
      </c>
      <c r="J335" s="2987" t="s">
        <v>3599</v>
      </c>
      <c r="K335" s="2988">
        <v>96.17</v>
      </c>
    </row>
    <row r="336" spans="2:11" ht="18" customHeight="1">
      <c r="B336" s="2986">
        <v>304</v>
      </c>
      <c r="C336" s="2987" t="s">
        <v>3482</v>
      </c>
      <c r="D336" s="2987" t="s">
        <v>3594</v>
      </c>
      <c r="E336" s="2987" t="s">
        <v>3687</v>
      </c>
      <c r="F336" s="2987">
        <v>2</v>
      </c>
      <c r="G336" s="2987">
        <v>1604</v>
      </c>
      <c r="H336" s="2987" t="s">
        <v>3803</v>
      </c>
      <c r="I336" s="2987" t="s">
        <v>3486</v>
      </c>
      <c r="J336" s="2987" t="s">
        <v>3597</v>
      </c>
      <c r="K336" s="2988">
        <v>128.26</v>
      </c>
    </row>
    <row r="337" spans="2:11" ht="18" customHeight="1">
      <c r="B337" s="2986">
        <v>305</v>
      </c>
      <c r="C337" s="2987" t="s">
        <v>3482</v>
      </c>
      <c r="D337" s="2987" t="s">
        <v>3594</v>
      </c>
      <c r="E337" s="2987" t="s">
        <v>3687</v>
      </c>
      <c r="F337" s="2987">
        <v>2</v>
      </c>
      <c r="G337" s="2987">
        <v>1701</v>
      </c>
      <c r="H337" s="2987" t="s">
        <v>3804</v>
      </c>
      <c r="I337" s="2987" t="s">
        <v>3486</v>
      </c>
      <c r="J337" s="2987" t="s">
        <v>3602</v>
      </c>
      <c r="K337" s="2988">
        <v>111.01</v>
      </c>
    </row>
    <row r="338" spans="2:11" ht="18" customHeight="1">
      <c r="B338" s="2986">
        <v>306</v>
      </c>
      <c r="C338" s="2987" t="s">
        <v>3482</v>
      </c>
      <c r="D338" s="2987" t="s">
        <v>3594</v>
      </c>
      <c r="E338" s="2987" t="s">
        <v>3687</v>
      </c>
      <c r="F338" s="2987">
        <v>2</v>
      </c>
      <c r="G338" s="2987">
        <v>1702</v>
      </c>
      <c r="H338" s="2987" t="s">
        <v>3805</v>
      </c>
      <c r="I338" s="2987" t="s">
        <v>3486</v>
      </c>
      <c r="J338" s="2987" t="s">
        <v>3599</v>
      </c>
      <c r="K338" s="2988">
        <v>96.17</v>
      </c>
    </row>
    <row r="339" spans="2:11" ht="18" customHeight="1">
      <c r="B339" s="2986">
        <v>307</v>
      </c>
      <c r="C339" s="2987" t="s">
        <v>3482</v>
      </c>
      <c r="D339" s="2987" t="s">
        <v>3594</v>
      </c>
      <c r="E339" s="2987" t="s">
        <v>3687</v>
      </c>
      <c r="F339" s="2987">
        <v>2</v>
      </c>
      <c r="G339" s="2987">
        <v>1703</v>
      </c>
      <c r="H339" s="2987" t="s">
        <v>3806</v>
      </c>
      <c r="I339" s="2987" t="s">
        <v>3486</v>
      </c>
      <c r="J339" s="2987" t="s">
        <v>3599</v>
      </c>
      <c r="K339" s="2988">
        <v>96.17</v>
      </c>
    </row>
    <row r="340" spans="2:11" ht="18" customHeight="1">
      <c r="B340" s="2986">
        <v>308</v>
      </c>
      <c r="C340" s="2987" t="s">
        <v>3482</v>
      </c>
      <c r="D340" s="2987" t="s">
        <v>3594</v>
      </c>
      <c r="E340" s="2987" t="s">
        <v>3687</v>
      </c>
      <c r="F340" s="2987">
        <v>2</v>
      </c>
      <c r="G340" s="2987">
        <v>1704</v>
      </c>
      <c r="H340" s="2987" t="s">
        <v>3807</v>
      </c>
      <c r="I340" s="2987" t="s">
        <v>3486</v>
      </c>
      <c r="J340" s="2987" t="s">
        <v>3597</v>
      </c>
      <c r="K340" s="2988">
        <v>128.26</v>
      </c>
    </row>
    <row r="341" spans="2:11" ht="18" customHeight="1">
      <c r="B341" s="2986">
        <v>309</v>
      </c>
      <c r="C341" s="2987" t="s">
        <v>3482</v>
      </c>
      <c r="D341" s="2987" t="s">
        <v>3594</v>
      </c>
      <c r="E341" s="2987" t="s">
        <v>3687</v>
      </c>
      <c r="F341" s="2987">
        <v>2</v>
      </c>
      <c r="G341" s="2987">
        <v>1801</v>
      </c>
      <c r="H341" s="2987" t="s">
        <v>3808</v>
      </c>
      <c r="I341" s="2987" t="s">
        <v>3486</v>
      </c>
      <c r="J341" s="2987" t="s">
        <v>3602</v>
      </c>
      <c r="K341" s="2988">
        <v>111.01</v>
      </c>
    </row>
    <row r="342" spans="2:11" ht="18" customHeight="1">
      <c r="B342" s="2986">
        <v>310</v>
      </c>
      <c r="C342" s="2987" t="s">
        <v>3482</v>
      </c>
      <c r="D342" s="2987" t="s">
        <v>3594</v>
      </c>
      <c r="E342" s="2987" t="s">
        <v>3687</v>
      </c>
      <c r="F342" s="2987">
        <v>2</v>
      </c>
      <c r="G342" s="2987">
        <v>1802</v>
      </c>
      <c r="H342" s="2987" t="s">
        <v>3809</v>
      </c>
      <c r="I342" s="2987" t="s">
        <v>3486</v>
      </c>
      <c r="J342" s="2987" t="s">
        <v>3599</v>
      </c>
      <c r="K342" s="2988">
        <v>96.17</v>
      </c>
    </row>
    <row r="343" spans="2:11" ht="18" customHeight="1">
      <c r="B343" s="2986">
        <v>311</v>
      </c>
      <c r="C343" s="2987" t="s">
        <v>3482</v>
      </c>
      <c r="D343" s="2987" t="s">
        <v>3594</v>
      </c>
      <c r="E343" s="2987" t="s">
        <v>3687</v>
      </c>
      <c r="F343" s="2987">
        <v>2</v>
      </c>
      <c r="G343" s="2987">
        <v>1803</v>
      </c>
      <c r="H343" s="2987" t="s">
        <v>3810</v>
      </c>
      <c r="I343" s="2987" t="s">
        <v>3486</v>
      </c>
      <c r="J343" s="2987" t="s">
        <v>3599</v>
      </c>
      <c r="K343" s="2988">
        <v>96.17</v>
      </c>
    </row>
    <row r="344" spans="2:11" ht="18" customHeight="1">
      <c r="B344" s="2986">
        <v>312</v>
      </c>
      <c r="C344" s="2987" t="s">
        <v>3482</v>
      </c>
      <c r="D344" s="2987" t="s">
        <v>3594</v>
      </c>
      <c r="E344" s="2987" t="s">
        <v>3687</v>
      </c>
      <c r="F344" s="2987">
        <v>2</v>
      </c>
      <c r="G344" s="2987">
        <v>1804</v>
      </c>
      <c r="H344" s="2987" t="s">
        <v>3811</v>
      </c>
      <c r="I344" s="2987" t="s">
        <v>3486</v>
      </c>
      <c r="J344" s="2987" t="s">
        <v>3597</v>
      </c>
      <c r="K344" s="2988">
        <v>128.26</v>
      </c>
    </row>
    <row r="345" spans="2:11" ht="18" customHeight="1">
      <c r="B345" s="2986">
        <v>313</v>
      </c>
      <c r="C345" s="2987" t="s">
        <v>3482</v>
      </c>
      <c r="D345" s="2987" t="s">
        <v>3594</v>
      </c>
      <c r="E345" s="2987" t="s">
        <v>3687</v>
      </c>
      <c r="F345" s="2987">
        <v>2</v>
      </c>
      <c r="G345" s="2987">
        <v>1901</v>
      </c>
      <c r="H345" s="2987" t="s">
        <v>3812</v>
      </c>
      <c r="I345" s="2987" t="s">
        <v>3486</v>
      </c>
      <c r="J345" s="2987" t="s">
        <v>3602</v>
      </c>
      <c r="K345" s="2988">
        <v>111.01</v>
      </c>
    </row>
    <row r="346" spans="2:11" ht="18" customHeight="1">
      <c r="B346" s="2986">
        <v>314</v>
      </c>
      <c r="C346" s="2987" t="s">
        <v>3482</v>
      </c>
      <c r="D346" s="2987" t="s">
        <v>3594</v>
      </c>
      <c r="E346" s="2987" t="s">
        <v>3687</v>
      </c>
      <c r="F346" s="2987">
        <v>2</v>
      </c>
      <c r="G346" s="2987">
        <v>1902</v>
      </c>
      <c r="H346" s="2987" t="s">
        <v>3813</v>
      </c>
      <c r="I346" s="2987" t="s">
        <v>3486</v>
      </c>
      <c r="J346" s="2987" t="s">
        <v>3599</v>
      </c>
      <c r="K346" s="2988">
        <v>96.17</v>
      </c>
    </row>
    <row r="347" spans="2:11" ht="18" customHeight="1">
      <c r="B347" s="2986">
        <v>315</v>
      </c>
      <c r="C347" s="2987" t="s">
        <v>3482</v>
      </c>
      <c r="D347" s="2987" t="s">
        <v>3594</v>
      </c>
      <c r="E347" s="2987" t="s">
        <v>3687</v>
      </c>
      <c r="F347" s="2987">
        <v>2</v>
      </c>
      <c r="G347" s="2987">
        <v>1903</v>
      </c>
      <c r="H347" s="2987" t="s">
        <v>3814</v>
      </c>
      <c r="I347" s="2987" t="s">
        <v>3486</v>
      </c>
      <c r="J347" s="2987" t="s">
        <v>3599</v>
      </c>
      <c r="K347" s="2988">
        <v>96.17</v>
      </c>
    </row>
    <row r="348" spans="2:11" ht="18" customHeight="1">
      <c r="B348" s="2986">
        <v>316</v>
      </c>
      <c r="C348" s="2987" t="s">
        <v>3482</v>
      </c>
      <c r="D348" s="2987" t="s">
        <v>3594</v>
      </c>
      <c r="E348" s="2987" t="s">
        <v>3687</v>
      </c>
      <c r="F348" s="2987">
        <v>2</v>
      </c>
      <c r="G348" s="2987">
        <v>1904</v>
      </c>
      <c r="H348" s="2987" t="s">
        <v>3815</v>
      </c>
      <c r="I348" s="2987" t="s">
        <v>3486</v>
      </c>
      <c r="J348" s="2987" t="s">
        <v>3597</v>
      </c>
      <c r="K348" s="2988">
        <v>128.26</v>
      </c>
    </row>
    <row r="349" spans="2:11" ht="18" customHeight="1">
      <c r="B349" s="2986">
        <v>317</v>
      </c>
      <c r="C349" s="2987" t="s">
        <v>3482</v>
      </c>
      <c r="D349" s="2987" t="s">
        <v>3594</v>
      </c>
      <c r="E349" s="2987" t="s">
        <v>3687</v>
      </c>
      <c r="F349" s="2987">
        <v>2</v>
      </c>
      <c r="G349" s="2987">
        <v>2001</v>
      </c>
      <c r="H349" s="2987" t="s">
        <v>3816</v>
      </c>
      <c r="I349" s="2987" t="s">
        <v>3486</v>
      </c>
      <c r="J349" s="2987" t="s">
        <v>3602</v>
      </c>
      <c r="K349" s="2988">
        <v>111.01</v>
      </c>
    </row>
    <row r="350" spans="2:11" ht="18" customHeight="1">
      <c r="B350" s="2986">
        <v>318</v>
      </c>
      <c r="C350" s="2987" t="s">
        <v>3482</v>
      </c>
      <c r="D350" s="2987" t="s">
        <v>3594</v>
      </c>
      <c r="E350" s="2987" t="s">
        <v>3687</v>
      </c>
      <c r="F350" s="2987">
        <v>2</v>
      </c>
      <c r="G350" s="2987">
        <v>2002</v>
      </c>
      <c r="H350" s="2987" t="s">
        <v>3817</v>
      </c>
      <c r="I350" s="2987" t="s">
        <v>3486</v>
      </c>
      <c r="J350" s="2987" t="s">
        <v>3599</v>
      </c>
      <c r="K350" s="2988">
        <v>96.17</v>
      </c>
    </row>
    <row r="351" spans="2:11" ht="18" customHeight="1">
      <c r="B351" s="2986">
        <v>319</v>
      </c>
      <c r="C351" s="2987" t="s">
        <v>3482</v>
      </c>
      <c r="D351" s="2987" t="s">
        <v>3594</v>
      </c>
      <c r="E351" s="2987" t="s">
        <v>3687</v>
      </c>
      <c r="F351" s="2987">
        <v>2</v>
      </c>
      <c r="G351" s="2987">
        <v>2003</v>
      </c>
      <c r="H351" s="2987" t="s">
        <v>3818</v>
      </c>
      <c r="I351" s="2987" t="s">
        <v>3486</v>
      </c>
      <c r="J351" s="2987" t="s">
        <v>3599</v>
      </c>
      <c r="K351" s="2988">
        <v>96.17</v>
      </c>
    </row>
    <row r="352" spans="2:11" ht="18" customHeight="1">
      <c r="B352" s="2986">
        <v>320</v>
      </c>
      <c r="C352" s="2987" t="s">
        <v>3482</v>
      </c>
      <c r="D352" s="2987" t="s">
        <v>3594</v>
      </c>
      <c r="E352" s="2987" t="s">
        <v>3687</v>
      </c>
      <c r="F352" s="2987">
        <v>2</v>
      </c>
      <c r="G352" s="2987">
        <v>2004</v>
      </c>
      <c r="H352" s="2987" t="s">
        <v>3819</v>
      </c>
      <c r="I352" s="2987" t="s">
        <v>3486</v>
      </c>
      <c r="J352" s="2987" t="s">
        <v>3597</v>
      </c>
      <c r="K352" s="2988">
        <v>128.26</v>
      </c>
    </row>
    <row r="353" spans="2:11" ht="18" customHeight="1">
      <c r="B353" s="2986">
        <v>321</v>
      </c>
      <c r="C353" s="2987" t="s">
        <v>3482</v>
      </c>
      <c r="D353" s="2987" t="s">
        <v>3594</v>
      </c>
      <c r="E353" s="2987" t="s">
        <v>3687</v>
      </c>
      <c r="F353" s="2987">
        <v>2</v>
      </c>
      <c r="G353" s="2987">
        <v>201</v>
      </c>
      <c r="H353" s="2987" t="s">
        <v>3820</v>
      </c>
      <c r="I353" s="2987" t="s">
        <v>3486</v>
      </c>
      <c r="J353" s="2987" t="s">
        <v>3602</v>
      </c>
      <c r="K353" s="2988">
        <v>111.01</v>
      </c>
    </row>
    <row r="354" spans="2:11" ht="18" customHeight="1">
      <c r="B354" s="2986">
        <v>322</v>
      </c>
      <c r="C354" s="2987" t="s">
        <v>3482</v>
      </c>
      <c r="D354" s="2987" t="s">
        <v>3594</v>
      </c>
      <c r="E354" s="2987" t="s">
        <v>3687</v>
      </c>
      <c r="F354" s="2987">
        <v>2</v>
      </c>
      <c r="G354" s="2987">
        <v>202</v>
      </c>
      <c r="H354" s="2987" t="s">
        <v>3821</v>
      </c>
      <c r="I354" s="2987" t="s">
        <v>3486</v>
      </c>
      <c r="J354" s="2987" t="s">
        <v>3599</v>
      </c>
      <c r="K354" s="2988">
        <v>96.17</v>
      </c>
    </row>
    <row r="355" spans="2:11" ht="18" customHeight="1">
      <c r="B355" s="2986">
        <v>323</v>
      </c>
      <c r="C355" s="2987" t="s">
        <v>3482</v>
      </c>
      <c r="D355" s="2987" t="s">
        <v>3594</v>
      </c>
      <c r="E355" s="2987" t="s">
        <v>3687</v>
      </c>
      <c r="F355" s="2987">
        <v>2</v>
      </c>
      <c r="G355" s="2987">
        <v>203</v>
      </c>
      <c r="H355" s="2987" t="s">
        <v>3822</v>
      </c>
      <c r="I355" s="2987" t="s">
        <v>3486</v>
      </c>
      <c r="J355" s="2987" t="s">
        <v>3599</v>
      </c>
      <c r="K355" s="2988">
        <v>96.17</v>
      </c>
    </row>
    <row r="356" spans="2:11" ht="18" customHeight="1">
      <c r="B356" s="2986">
        <v>324</v>
      </c>
      <c r="C356" s="2987" t="s">
        <v>3482</v>
      </c>
      <c r="D356" s="2987" t="s">
        <v>3594</v>
      </c>
      <c r="E356" s="2987" t="s">
        <v>3687</v>
      </c>
      <c r="F356" s="2987">
        <v>2</v>
      </c>
      <c r="G356" s="2987">
        <v>204</v>
      </c>
      <c r="H356" s="2987" t="s">
        <v>3823</v>
      </c>
      <c r="I356" s="2987" t="s">
        <v>3486</v>
      </c>
      <c r="J356" s="2987" t="s">
        <v>3597</v>
      </c>
      <c r="K356" s="2988">
        <v>128.26</v>
      </c>
    </row>
    <row r="357" spans="2:11" ht="18" customHeight="1">
      <c r="B357" s="2986">
        <v>325</v>
      </c>
      <c r="C357" s="2987" t="s">
        <v>3482</v>
      </c>
      <c r="D357" s="2987" t="s">
        <v>3594</v>
      </c>
      <c r="E357" s="2987" t="s">
        <v>3687</v>
      </c>
      <c r="F357" s="2987">
        <v>2</v>
      </c>
      <c r="G357" s="2987">
        <v>2101</v>
      </c>
      <c r="H357" s="2987" t="s">
        <v>3824</v>
      </c>
      <c r="I357" s="2987" t="s">
        <v>3486</v>
      </c>
      <c r="J357" s="2987" t="s">
        <v>3602</v>
      </c>
      <c r="K357" s="2988">
        <v>111.01</v>
      </c>
    </row>
    <row r="358" spans="2:11" ht="18" customHeight="1">
      <c r="B358" s="2986">
        <v>326</v>
      </c>
      <c r="C358" s="2987" t="s">
        <v>3482</v>
      </c>
      <c r="D358" s="2987" t="s">
        <v>3594</v>
      </c>
      <c r="E358" s="2987" t="s">
        <v>3687</v>
      </c>
      <c r="F358" s="2987">
        <v>2</v>
      </c>
      <c r="G358" s="2987">
        <v>2102</v>
      </c>
      <c r="H358" s="2987" t="s">
        <v>3825</v>
      </c>
      <c r="I358" s="2987" t="s">
        <v>3486</v>
      </c>
      <c r="J358" s="2987" t="s">
        <v>3599</v>
      </c>
      <c r="K358" s="2988">
        <v>96.17</v>
      </c>
    </row>
    <row r="359" spans="2:11" ht="18" customHeight="1">
      <c r="B359" s="2986">
        <v>327</v>
      </c>
      <c r="C359" s="2987" t="s">
        <v>3482</v>
      </c>
      <c r="D359" s="2987" t="s">
        <v>3594</v>
      </c>
      <c r="E359" s="2987" t="s">
        <v>3687</v>
      </c>
      <c r="F359" s="2987">
        <v>2</v>
      </c>
      <c r="G359" s="2987">
        <v>2103</v>
      </c>
      <c r="H359" s="2987" t="s">
        <v>3826</v>
      </c>
      <c r="I359" s="2987" t="s">
        <v>3486</v>
      </c>
      <c r="J359" s="2987" t="s">
        <v>3599</v>
      </c>
      <c r="K359" s="2988">
        <v>96.17</v>
      </c>
    </row>
    <row r="360" spans="2:11" ht="18" customHeight="1">
      <c r="B360" s="2986">
        <v>328</v>
      </c>
      <c r="C360" s="2987" t="s">
        <v>3482</v>
      </c>
      <c r="D360" s="2987" t="s">
        <v>3594</v>
      </c>
      <c r="E360" s="2987" t="s">
        <v>3687</v>
      </c>
      <c r="F360" s="2987">
        <v>2</v>
      </c>
      <c r="G360" s="2987">
        <v>2104</v>
      </c>
      <c r="H360" s="2987" t="s">
        <v>3827</v>
      </c>
      <c r="I360" s="2987" t="s">
        <v>3486</v>
      </c>
      <c r="J360" s="2987" t="s">
        <v>3597</v>
      </c>
      <c r="K360" s="2988">
        <v>128.26</v>
      </c>
    </row>
    <row r="361" spans="2:11" ht="18" customHeight="1">
      <c r="B361" s="2986">
        <v>329</v>
      </c>
      <c r="C361" s="2987" t="s">
        <v>3482</v>
      </c>
      <c r="D361" s="2987" t="s">
        <v>3594</v>
      </c>
      <c r="E361" s="2987" t="s">
        <v>3687</v>
      </c>
      <c r="F361" s="2987">
        <v>2</v>
      </c>
      <c r="G361" s="2987">
        <v>301</v>
      </c>
      <c r="H361" s="2987" t="s">
        <v>3828</v>
      </c>
      <c r="I361" s="2987" t="s">
        <v>3486</v>
      </c>
      <c r="J361" s="2987" t="s">
        <v>3602</v>
      </c>
      <c r="K361" s="2988">
        <v>111.01</v>
      </c>
    </row>
    <row r="362" spans="2:11" ht="18" customHeight="1">
      <c r="B362" s="2986">
        <v>330</v>
      </c>
      <c r="C362" s="2987" t="s">
        <v>3482</v>
      </c>
      <c r="D362" s="2987" t="s">
        <v>3594</v>
      </c>
      <c r="E362" s="2987" t="s">
        <v>3687</v>
      </c>
      <c r="F362" s="2987">
        <v>2</v>
      </c>
      <c r="G362" s="2987">
        <v>302</v>
      </c>
      <c r="H362" s="2987" t="s">
        <v>3829</v>
      </c>
      <c r="I362" s="2987" t="s">
        <v>3486</v>
      </c>
      <c r="J362" s="2987" t="s">
        <v>3599</v>
      </c>
      <c r="K362" s="2988">
        <v>96.17</v>
      </c>
    </row>
    <row r="363" spans="2:11" ht="18" customHeight="1">
      <c r="B363" s="2986">
        <v>331</v>
      </c>
      <c r="C363" s="2987" t="s">
        <v>3482</v>
      </c>
      <c r="D363" s="2987" t="s">
        <v>3594</v>
      </c>
      <c r="E363" s="2987" t="s">
        <v>3687</v>
      </c>
      <c r="F363" s="2987">
        <v>2</v>
      </c>
      <c r="G363" s="2987">
        <v>303</v>
      </c>
      <c r="H363" s="2987" t="s">
        <v>3830</v>
      </c>
      <c r="I363" s="2987" t="s">
        <v>3486</v>
      </c>
      <c r="J363" s="2987" t="s">
        <v>3599</v>
      </c>
      <c r="K363" s="2988">
        <v>96.17</v>
      </c>
    </row>
    <row r="364" spans="2:11" ht="18" customHeight="1">
      <c r="B364" s="2986">
        <v>332</v>
      </c>
      <c r="C364" s="2987" t="s">
        <v>3482</v>
      </c>
      <c r="D364" s="2987" t="s">
        <v>3594</v>
      </c>
      <c r="E364" s="2987" t="s">
        <v>3687</v>
      </c>
      <c r="F364" s="2987">
        <v>2</v>
      </c>
      <c r="G364" s="2987">
        <v>304</v>
      </c>
      <c r="H364" s="2987" t="s">
        <v>3831</v>
      </c>
      <c r="I364" s="2987" t="s">
        <v>3486</v>
      </c>
      <c r="J364" s="2987" t="s">
        <v>3597</v>
      </c>
      <c r="K364" s="2988">
        <v>128.26</v>
      </c>
    </row>
    <row r="365" spans="2:11" ht="18" customHeight="1">
      <c r="B365" s="2986">
        <v>333</v>
      </c>
      <c r="C365" s="2987" t="s">
        <v>3482</v>
      </c>
      <c r="D365" s="2987" t="s">
        <v>3594</v>
      </c>
      <c r="E365" s="2987" t="s">
        <v>3687</v>
      </c>
      <c r="F365" s="2987">
        <v>2</v>
      </c>
      <c r="G365" s="2987">
        <v>401</v>
      </c>
      <c r="H365" s="2987" t="s">
        <v>3832</v>
      </c>
      <c r="I365" s="2987" t="s">
        <v>3486</v>
      </c>
      <c r="J365" s="2987" t="s">
        <v>3602</v>
      </c>
      <c r="K365" s="2988">
        <v>111.01</v>
      </c>
    </row>
    <row r="366" spans="2:11" ht="18" customHeight="1">
      <c r="B366" s="2986">
        <v>334</v>
      </c>
      <c r="C366" s="2987" t="s">
        <v>3482</v>
      </c>
      <c r="D366" s="2987" t="s">
        <v>3594</v>
      </c>
      <c r="E366" s="2987" t="s">
        <v>3687</v>
      </c>
      <c r="F366" s="2987">
        <v>2</v>
      </c>
      <c r="G366" s="2987">
        <v>402</v>
      </c>
      <c r="H366" s="2987" t="s">
        <v>3833</v>
      </c>
      <c r="I366" s="2987" t="s">
        <v>3486</v>
      </c>
      <c r="J366" s="2987" t="s">
        <v>3599</v>
      </c>
      <c r="K366" s="2988">
        <v>96.17</v>
      </c>
    </row>
    <row r="367" spans="2:11" ht="18" customHeight="1">
      <c r="B367" s="2986">
        <v>335</v>
      </c>
      <c r="C367" s="2987" t="s">
        <v>3482</v>
      </c>
      <c r="D367" s="2987" t="s">
        <v>3594</v>
      </c>
      <c r="E367" s="2987" t="s">
        <v>3687</v>
      </c>
      <c r="F367" s="2987">
        <v>2</v>
      </c>
      <c r="G367" s="2987">
        <v>403</v>
      </c>
      <c r="H367" s="2987" t="s">
        <v>3834</v>
      </c>
      <c r="I367" s="2987" t="s">
        <v>3486</v>
      </c>
      <c r="J367" s="2987" t="s">
        <v>3599</v>
      </c>
      <c r="K367" s="2988">
        <v>96.17</v>
      </c>
    </row>
    <row r="368" spans="2:11" ht="18" customHeight="1">
      <c r="B368" s="2986">
        <v>336</v>
      </c>
      <c r="C368" s="2987" t="s">
        <v>3482</v>
      </c>
      <c r="D368" s="2987" t="s">
        <v>3594</v>
      </c>
      <c r="E368" s="2987" t="s">
        <v>3687</v>
      </c>
      <c r="F368" s="2987">
        <v>2</v>
      </c>
      <c r="G368" s="2987">
        <v>404</v>
      </c>
      <c r="H368" s="2987" t="s">
        <v>3835</v>
      </c>
      <c r="I368" s="2987" t="s">
        <v>3486</v>
      </c>
      <c r="J368" s="2987" t="s">
        <v>3597</v>
      </c>
      <c r="K368" s="2988">
        <v>128.26</v>
      </c>
    </row>
    <row r="369" spans="2:11" ht="18" customHeight="1">
      <c r="B369" s="2986">
        <v>337</v>
      </c>
      <c r="C369" s="2987" t="s">
        <v>3482</v>
      </c>
      <c r="D369" s="2987" t="s">
        <v>3594</v>
      </c>
      <c r="E369" s="2987" t="s">
        <v>3687</v>
      </c>
      <c r="F369" s="2987">
        <v>2</v>
      </c>
      <c r="G369" s="2987">
        <v>501</v>
      </c>
      <c r="H369" s="2987" t="s">
        <v>3836</v>
      </c>
      <c r="I369" s="2987" t="s">
        <v>3486</v>
      </c>
      <c r="J369" s="2987" t="s">
        <v>3602</v>
      </c>
      <c r="K369" s="2988">
        <v>111.01</v>
      </c>
    </row>
    <row r="370" spans="2:11" ht="18" customHeight="1">
      <c r="B370" s="2986">
        <v>338</v>
      </c>
      <c r="C370" s="2987" t="s">
        <v>3482</v>
      </c>
      <c r="D370" s="2987" t="s">
        <v>3594</v>
      </c>
      <c r="E370" s="2987" t="s">
        <v>3687</v>
      </c>
      <c r="F370" s="2987">
        <v>2</v>
      </c>
      <c r="G370" s="2987">
        <v>502</v>
      </c>
      <c r="H370" s="2987" t="s">
        <v>3837</v>
      </c>
      <c r="I370" s="2987" t="s">
        <v>3486</v>
      </c>
      <c r="J370" s="2987" t="s">
        <v>3599</v>
      </c>
      <c r="K370" s="2988">
        <v>96.17</v>
      </c>
    </row>
    <row r="371" spans="2:11" ht="18" customHeight="1">
      <c r="B371" s="2986">
        <v>339</v>
      </c>
      <c r="C371" s="2987" t="s">
        <v>3482</v>
      </c>
      <c r="D371" s="2987" t="s">
        <v>3594</v>
      </c>
      <c r="E371" s="2987" t="s">
        <v>3687</v>
      </c>
      <c r="F371" s="2987">
        <v>2</v>
      </c>
      <c r="G371" s="2987">
        <v>503</v>
      </c>
      <c r="H371" s="2987" t="s">
        <v>3838</v>
      </c>
      <c r="I371" s="2987" t="s">
        <v>3486</v>
      </c>
      <c r="J371" s="2987" t="s">
        <v>3599</v>
      </c>
      <c r="K371" s="2988">
        <v>96.17</v>
      </c>
    </row>
    <row r="372" spans="2:11" ht="18" customHeight="1">
      <c r="B372" s="2986">
        <v>340</v>
      </c>
      <c r="C372" s="2987" t="s">
        <v>3482</v>
      </c>
      <c r="D372" s="2987" t="s">
        <v>3594</v>
      </c>
      <c r="E372" s="2987" t="s">
        <v>3687</v>
      </c>
      <c r="F372" s="2987">
        <v>2</v>
      </c>
      <c r="G372" s="2987">
        <v>504</v>
      </c>
      <c r="H372" s="2987" t="s">
        <v>3839</v>
      </c>
      <c r="I372" s="2987" t="s">
        <v>3486</v>
      </c>
      <c r="J372" s="2987" t="s">
        <v>3597</v>
      </c>
      <c r="K372" s="2988">
        <v>128.26</v>
      </c>
    </row>
    <row r="373" spans="2:11" ht="18" customHeight="1">
      <c r="B373" s="2986">
        <v>341</v>
      </c>
      <c r="C373" s="2987" t="s">
        <v>3482</v>
      </c>
      <c r="D373" s="2987" t="s">
        <v>3594</v>
      </c>
      <c r="E373" s="2987" t="s">
        <v>3687</v>
      </c>
      <c r="F373" s="2987">
        <v>2</v>
      </c>
      <c r="G373" s="2987">
        <v>601</v>
      </c>
      <c r="H373" s="2987" t="s">
        <v>3840</v>
      </c>
      <c r="I373" s="2987" t="s">
        <v>3486</v>
      </c>
      <c r="J373" s="2987" t="s">
        <v>3602</v>
      </c>
      <c r="K373" s="2988">
        <v>111.01</v>
      </c>
    </row>
    <row r="374" spans="2:11" ht="18" customHeight="1">
      <c r="B374" s="2986">
        <v>342</v>
      </c>
      <c r="C374" s="2987" t="s">
        <v>3482</v>
      </c>
      <c r="D374" s="2987" t="s">
        <v>3594</v>
      </c>
      <c r="E374" s="2987" t="s">
        <v>3687</v>
      </c>
      <c r="F374" s="2987">
        <v>2</v>
      </c>
      <c r="G374" s="2987">
        <v>602</v>
      </c>
      <c r="H374" s="2987" t="s">
        <v>3841</v>
      </c>
      <c r="I374" s="2987" t="s">
        <v>3486</v>
      </c>
      <c r="J374" s="2987" t="s">
        <v>3599</v>
      </c>
      <c r="K374" s="2988">
        <v>96.17</v>
      </c>
    </row>
    <row r="375" spans="2:11" ht="18" customHeight="1">
      <c r="B375" s="2986">
        <v>343</v>
      </c>
      <c r="C375" s="2987" t="s">
        <v>3482</v>
      </c>
      <c r="D375" s="2987" t="s">
        <v>3594</v>
      </c>
      <c r="E375" s="2987" t="s">
        <v>3687</v>
      </c>
      <c r="F375" s="2987">
        <v>2</v>
      </c>
      <c r="G375" s="2987">
        <v>603</v>
      </c>
      <c r="H375" s="2987" t="s">
        <v>3842</v>
      </c>
      <c r="I375" s="2987" t="s">
        <v>3486</v>
      </c>
      <c r="J375" s="2987" t="s">
        <v>3599</v>
      </c>
      <c r="K375" s="2988">
        <v>96.17</v>
      </c>
    </row>
    <row r="376" spans="2:11" ht="18" customHeight="1">
      <c r="B376" s="2986">
        <v>344</v>
      </c>
      <c r="C376" s="2987" t="s">
        <v>3482</v>
      </c>
      <c r="D376" s="2987" t="s">
        <v>3594</v>
      </c>
      <c r="E376" s="2987" t="s">
        <v>3687</v>
      </c>
      <c r="F376" s="2987">
        <v>2</v>
      </c>
      <c r="G376" s="2987">
        <v>604</v>
      </c>
      <c r="H376" s="2987" t="s">
        <v>3843</v>
      </c>
      <c r="I376" s="2987" t="s">
        <v>3486</v>
      </c>
      <c r="J376" s="2987" t="s">
        <v>3597</v>
      </c>
      <c r="K376" s="2988">
        <v>128.26</v>
      </c>
    </row>
    <row r="377" spans="2:11" ht="18" customHeight="1">
      <c r="B377" s="2986">
        <v>345</v>
      </c>
      <c r="C377" s="2987" t="s">
        <v>3482</v>
      </c>
      <c r="D377" s="2987" t="s">
        <v>3594</v>
      </c>
      <c r="E377" s="2987" t="s">
        <v>3687</v>
      </c>
      <c r="F377" s="2987">
        <v>2</v>
      </c>
      <c r="G377" s="2987">
        <v>701</v>
      </c>
      <c r="H377" s="2987" t="s">
        <v>3844</v>
      </c>
      <c r="I377" s="2987" t="s">
        <v>3486</v>
      </c>
      <c r="J377" s="2987" t="s">
        <v>3602</v>
      </c>
      <c r="K377" s="2988">
        <v>111.01</v>
      </c>
    </row>
    <row r="378" spans="2:11" ht="18" customHeight="1">
      <c r="B378" s="2986">
        <v>346</v>
      </c>
      <c r="C378" s="2987" t="s">
        <v>3482</v>
      </c>
      <c r="D378" s="2987" t="s">
        <v>3594</v>
      </c>
      <c r="E378" s="2987" t="s">
        <v>3687</v>
      </c>
      <c r="F378" s="2987">
        <v>2</v>
      </c>
      <c r="G378" s="2987">
        <v>702</v>
      </c>
      <c r="H378" s="2987" t="s">
        <v>3845</v>
      </c>
      <c r="I378" s="2987" t="s">
        <v>3486</v>
      </c>
      <c r="J378" s="2987" t="s">
        <v>3599</v>
      </c>
      <c r="K378" s="2988">
        <v>96.17</v>
      </c>
    </row>
    <row r="379" spans="2:11" ht="18" customHeight="1">
      <c r="B379" s="2986">
        <v>347</v>
      </c>
      <c r="C379" s="2987" t="s">
        <v>3482</v>
      </c>
      <c r="D379" s="2987" t="s">
        <v>3594</v>
      </c>
      <c r="E379" s="2987" t="s">
        <v>3687</v>
      </c>
      <c r="F379" s="2987">
        <v>2</v>
      </c>
      <c r="G379" s="2987">
        <v>703</v>
      </c>
      <c r="H379" s="2987" t="s">
        <v>3846</v>
      </c>
      <c r="I379" s="2987" t="s">
        <v>3486</v>
      </c>
      <c r="J379" s="2987" t="s">
        <v>3599</v>
      </c>
      <c r="K379" s="2988">
        <v>96.17</v>
      </c>
    </row>
    <row r="380" spans="2:11" ht="18" customHeight="1">
      <c r="B380" s="2986">
        <v>348</v>
      </c>
      <c r="C380" s="2987" t="s">
        <v>3482</v>
      </c>
      <c r="D380" s="2987" t="s">
        <v>3594</v>
      </c>
      <c r="E380" s="2987" t="s">
        <v>3687</v>
      </c>
      <c r="F380" s="2987">
        <v>2</v>
      </c>
      <c r="G380" s="2987">
        <v>704</v>
      </c>
      <c r="H380" s="2987" t="s">
        <v>3847</v>
      </c>
      <c r="I380" s="2987" t="s">
        <v>3486</v>
      </c>
      <c r="J380" s="2987" t="s">
        <v>3597</v>
      </c>
      <c r="K380" s="2988">
        <v>128.26</v>
      </c>
    </row>
    <row r="381" spans="2:11" ht="18" customHeight="1">
      <c r="B381" s="2986">
        <v>349</v>
      </c>
      <c r="C381" s="2987" t="s">
        <v>3482</v>
      </c>
      <c r="D381" s="2987" t="s">
        <v>3594</v>
      </c>
      <c r="E381" s="2987" t="s">
        <v>3687</v>
      </c>
      <c r="F381" s="2987">
        <v>2</v>
      </c>
      <c r="G381" s="2987">
        <v>801</v>
      </c>
      <c r="H381" s="2987" t="s">
        <v>3848</v>
      </c>
      <c r="I381" s="2987" t="s">
        <v>3486</v>
      </c>
      <c r="J381" s="2987" t="s">
        <v>3602</v>
      </c>
      <c r="K381" s="2988">
        <v>111.01</v>
      </c>
    </row>
    <row r="382" spans="2:11" ht="18" customHeight="1">
      <c r="B382" s="2986">
        <v>350</v>
      </c>
      <c r="C382" s="2987" t="s">
        <v>3482</v>
      </c>
      <c r="D382" s="2987" t="s">
        <v>3594</v>
      </c>
      <c r="E382" s="2987" t="s">
        <v>3687</v>
      </c>
      <c r="F382" s="2987">
        <v>2</v>
      </c>
      <c r="G382" s="2987">
        <v>802</v>
      </c>
      <c r="H382" s="2987" t="s">
        <v>3849</v>
      </c>
      <c r="I382" s="2987" t="s">
        <v>3486</v>
      </c>
      <c r="J382" s="2987" t="s">
        <v>3599</v>
      </c>
      <c r="K382" s="2988">
        <v>96.17</v>
      </c>
    </row>
    <row r="383" spans="2:11" ht="18" customHeight="1">
      <c r="B383" s="2986">
        <v>351</v>
      </c>
      <c r="C383" s="2987" t="s">
        <v>3482</v>
      </c>
      <c r="D383" s="2987" t="s">
        <v>3594</v>
      </c>
      <c r="E383" s="2987" t="s">
        <v>3687</v>
      </c>
      <c r="F383" s="2987">
        <v>2</v>
      </c>
      <c r="G383" s="2987">
        <v>803</v>
      </c>
      <c r="H383" s="2987" t="s">
        <v>3850</v>
      </c>
      <c r="I383" s="2987" t="s">
        <v>3486</v>
      </c>
      <c r="J383" s="2987" t="s">
        <v>3599</v>
      </c>
      <c r="K383" s="2988">
        <v>96.17</v>
      </c>
    </row>
    <row r="384" spans="2:11" ht="18" customHeight="1">
      <c r="B384" s="2986">
        <v>352</v>
      </c>
      <c r="C384" s="2987" t="s">
        <v>3482</v>
      </c>
      <c r="D384" s="2987" t="s">
        <v>3594</v>
      </c>
      <c r="E384" s="2987" t="s">
        <v>3687</v>
      </c>
      <c r="F384" s="2987">
        <v>2</v>
      </c>
      <c r="G384" s="2987">
        <v>804</v>
      </c>
      <c r="H384" s="2987" t="s">
        <v>3851</v>
      </c>
      <c r="I384" s="2987" t="s">
        <v>3486</v>
      </c>
      <c r="J384" s="2987" t="s">
        <v>3597</v>
      </c>
      <c r="K384" s="2988">
        <v>128.26</v>
      </c>
    </row>
    <row r="385" spans="2:11" ht="18" customHeight="1">
      <c r="B385" s="2986">
        <v>353</v>
      </c>
      <c r="C385" s="2987" t="s">
        <v>3482</v>
      </c>
      <c r="D385" s="2987" t="s">
        <v>3594</v>
      </c>
      <c r="E385" s="2987" t="s">
        <v>3687</v>
      </c>
      <c r="F385" s="2987">
        <v>2</v>
      </c>
      <c r="G385" s="2987">
        <v>901</v>
      </c>
      <c r="H385" s="2987" t="s">
        <v>3852</v>
      </c>
      <c r="I385" s="2987" t="s">
        <v>3486</v>
      </c>
      <c r="J385" s="2987" t="s">
        <v>3602</v>
      </c>
      <c r="K385" s="2988">
        <v>111.01</v>
      </c>
    </row>
    <row r="386" spans="2:11" ht="18" customHeight="1">
      <c r="B386" s="2986">
        <v>354</v>
      </c>
      <c r="C386" s="2987" t="s">
        <v>3482</v>
      </c>
      <c r="D386" s="2987" t="s">
        <v>3594</v>
      </c>
      <c r="E386" s="2987" t="s">
        <v>3687</v>
      </c>
      <c r="F386" s="2987">
        <v>2</v>
      </c>
      <c r="G386" s="2987">
        <v>902</v>
      </c>
      <c r="H386" s="2987" t="s">
        <v>3853</v>
      </c>
      <c r="I386" s="2987" t="s">
        <v>3486</v>
      </c>
      <c r="J386" s="2987" t="s">
        <v>3599</v>
      </c>
      <c r="K386" s="2988">
        <v>96.17</v>
      </c>
    </row>
    <row r="387" spans="2:11" ht="18" customHeight="1">
      <c r="B387" s="2986">
        <v>355</v>
      </c>
      <c r="C387" s="2987" t="s">
        <v>3482</v>
      </c>
      <c r="D387" s="2987" t="s">
        <v>3594</v>
      </c>
      <c r="E387" s="2987" t="s">
        <v>3687</v>
      </c>
      <c r="F387" s="2987">
        <v>2</v>
      </c>
      <c r="G387" s="2987">
        <v>903</v>
      </c>
      <c r="H387" s="2987" t="s">
        <v>3854</v>
      </c>
      <c r="I387" s="2987" t="s">
        <v>3486</v>
      </c>
      <c r="J387" s="2987" t="s">
        <v>3599</v>
      </c>
      <c r="K387" s="2988">
        <v>96.17</v>
      </c>
    </row>
    <row r="388" spans="2:11" ht="18" customHeight="1">
      <c r="B388" s="2986">
        <v>356</v>
      </c>
      <c r="C388" s="2987" t="s">
        <v>3482</v>
      </c>
      <c r="D388" s="2987" t="s">
        <v>3594</v>
      </c>
      <c r="E388" s="2987" t="s">
        <v>3687</v>
      </c>
      <c r="F388" s="2987">
        <v>2</v>
      </c>
      <c r="G388" s="2987">
        <v>904</v>
      </c>
      <c r="H388" s="2987" t="s">
        <v>3855</v>
      </c>
      <c r="I388" s="2987" t="s">
        <v>3486</v>
      </c>
      <c r="J388" s="2987" t="s">
        <v>3597</v>
      </c>
      <c r="K388" s="2988">
        <v>128.26</v>
      </c>
    </row>
    <row r="389" spans="2:11" s="3021" customFormat="1" ht="18" customHeight="1">
      <c r="B389" s="3018"/>
      <c r="C389" s="3019"/>
      <c r="D389" s="3019"/>
      <c r="E389" s="3019"/>
      <c r="F389" s="3019"/>
      <c r="G389" s="3019"/>
      <c r="H389" s="3019"/>
      <c r="I389" s="3019"/>
      <c r="J389" s="3019"/>
      <c r="K389" s="3020">
        <f>SUM(K221:K388)</f>
        <v>18127.619999999992</v>
      </c>
    </row>
    <row r="390" spans="2:11" ht="18" customHeight="1">
      <c r="B390" s="2986">
        <v>357</v>
      </c>
      <c r="C390" s="2987" t="s">
        <v>3482</v>
      </c>
      <c r="D390" s="2987" t="s">
        <v>3594</v>
      </c>
      <c r="E390" s="2987" t="s">
        <v>3856</v>
      </c>
      <c r="F390" s="2987">
        <v>1</v>
      </c>
      <c r="G390" s="2987">
        <v>1001</v>
      </c>
      <c r="H390" s="2987" t="s">
        <v>3857</v>
      </c>
      <c r="I390" s="2987" t="s">
        <v>3486</v>
      </c>
      <c r="J390" s="2987" t="s">
        <v>3597</v>
      </c>
      <c r="K390" s="2988">
        <v>128.47999999999999</v>
      </c>
    </row>
    <row r="391" spans="2:11" ht="18" customHeight="1">
      <c r="B391" s="2986">
        <v>358</v>
      </c>
      <c r="C391" s="2987" t="s">
        <v>3482</v>
      </c>
      <c r="D391" s="2987" t="s">
        <v>3594</v>
      </c>
      <c r="E391" s="2987" t="s">
        <v>3856</v>
      </c>
      <c r="F391" s="2987">
        <v>1</v>
      </c>
      <c r="G391" s="2987">
        <v>1002</v>
      </c>
      <c r="H391" s="2987" t="s">
        <v>3858</v>
      </c>
      <c r="I391" s="2987" t="s">
        <v>3486</v>
      </c>
      <c r="J391" s="2987" t="s">
        <v>3599</v>
      </c>
      <c r="K391" s="2988">
        <v>96.34</v>
      </c>
    </row>
    <row r="392" spans="2:11" ht="18" customHeight="1">
      <c r="B392" s="2986">
        <v>359</v>
      </c>
      <c r="C392" s="2987" t="s">
        <v>3482</v>
      </c>
      <c r="D392" s="2987" t="s">
        <v>3594</v>
      </c>
      <c r="E392" s="2987" t="s">
        <v>3856</v>
      </c>
      <c r="F392" s="2987">
        <v>1</v>
      </c>
      <c r="G392" s="2987">
        <v>1003</v>
      </c>
      <c r="H392" s="2987" t="s">
        <v>3859</v>
      </c>
      <c r="I392" s="2987" t="s">
        <v>3486</v>
      </c>
      <c r="J392" s="2987" t="s">
        <v>3599</v>
      </c>
      <c r="K392" s="2988">
        <v>96.34</v>
      </c>
    </row>
    <row r="393" spans="2:11" ht="18" customHeight="1">
      <c r="B393" s="2986">
        <v>360</v>
      </c>
      <c r="C393" s="2987" t="s">
        <v>3482</v>
      </c>
      <c r="D393" s="2987" t="s">
        <v>3594</v>
      </c>
      <c r="E393" s="2987" t="s">
        <v>3856</v>
      </c>
      <c r="F393" s="2987">
        <v>1</v>
      </c>
      <c r="G393" s="2987">
        <v>1004</v>
      </c>
      <c r="H393" s="2987" t="s">
        <v>3860</v>
      </c>
      <c r="I393" s="2987" t="s">
        <v>3486</v>
      </c>
      <c r="J393" s="2987" t="s">
        <v>3602</v>
      </c>
      <c r="K393" s="2988">
        <v>111.2</v>
      </c>
    </row>
    <row r="394" spans="2:11" ht="18" customHeight="1">
      <c r="B394" s="2986">
        <v>361</v>
      </c>
      <c r="C394" s="2987" t="s">
        <v>3482</v>
      </c>
      <c r="D394" s="2987" t="s">
        <v>3594</v>
      </c>
      <c r="E394" s="2987" t="s">
        <v>3856</v>
      </c>
      <c r="F394" s="2987">
        <v>1</v>
      </c>
      <c r="G394" s="2987">
        <v>101</v>
      </c>
      <c r="H394" s="2987" t="s">
        <v>3861</v>
      </c>
      <c r="I394" s="2987" t="s">
        <v>3486</v>
      </c>
      <c r="J394" s="2987" t="s">
        <v>3597</v>
      </c>
      <c r="K394" s="2988">
        <v>128.47999999999999</v>
      </c>
    </row>
    <row r="395" spans="2:11" ht="18" customHeight="1">
      <c r="B395" s="2986">
        <v>362</v>
      </c>
      <c r="C395" s="2987" t="s">
        <v>3482</v>
      </c>
      <c r="D395" s="2987" t="s">
        <v>3594</v>
      </c>
      <c r="E395" s="2987" t="s">
        <v>3856</v>
      </c>
      <c r="F395" s="2987">
        <v>1</v>
      </c>
      <c r="G395" s="2987">
        <v>102</v>
      </c>
      <c r="H395" s="2987" t="s">
        <v>3862</v>
      </c>
      <c r="I395" s="2987" t="s">
        <v>3486</v>
      </c>
      <c r="J395" s="2987" t="s">
        <v>3599</v>
      </c>
      <c r="K395" s="2988">
        <v>96.34</v>
      </c>
    </row>
    <row r="396" spans="2:11" ht="18" customHeight="1">
      <c r="B396" s="2986">
        <v>363</v>
      </c>
      <c r="C396" s="2987" t="s">
        <v>3482</v>
      </c>
      <c r="D396" s="2987" t="s">
        <v>3594</v>
      </c>
      <c r="E396" s="2987" t="s">
        <v>3856</v>
      </c>
      <c r="F396" s="2987">
        <v>1</v>
      </c>
      <c r="G396" s="2987">
        <v>103</v>
      </c>
      <c r="H396" s="2987" t="s">
        <v>3863</v>
      </c>
      <c r="I396" s="2987" t="s">
        <v>3486</v>
      </c>
      <c r="J396" s="2987" t="s">
        <v>3599</v>
      </c>
      <c r="K396" s="2988">
        <v>96.34</v>
      </c>
    </row>
    <row r="397" spans="2:11" ht="18" customHeight="1">
      <c r="B397" s="2986">
        <v>364</v>
      </c>
      <c r="C397" s="2987" t="s">
        <v>3482</v>
      </c>
      <c r="D397" s="2987" t="s">
        <v>3594</v>
      </c>
      <c r="E397" s="2987" t="s">
        <v>3856</v>
      </c>
      <c r="F397" s="2987">
        <v>1</v>
      </c>
      <c r="G397" s="2987">
        <v>104</v>
      </c>
      <c r="H397" s="2987" t="s">
        <v>3864</v>
      </c>
      <c r="I397" s="2987" t="s">
        <v>3486</v>
      </c>
      <c r="J397" s="2987" t="s">
        <v>3602</v>
      </c>
      <c r="K397" s="2988">
        <v>111.2</v>
      </c>
    </row>
    <row r="398" spans="2:11" ht="18" customHeight="1">
      <c r="B398" s="2986">
        <v>365</v>
      </c>
      <c r="C398" s="2987" t="s">
        <v>3482</v>
      </c>
      <c r="D398" s="2987" t="s">
        <v>3594</v>
      </c>
      <c r="E398" s="2987" t="s">
        <v>3856</v>
      </c>
      <c r="F398" s="2987">
        <v>1</v>
      </c>
      <c r="G398" s="2987">
        <v>1101</v>
      </c>
      <c r="H398" s="2987" t="s">
        <v>3865</v>
      </c>
      <c r="I398" s="2987" t="s">
        <v>3486</v>
      </c>
      <c r="J398" s="2987" t="s">
        <v>3597</v>
      </c>
      <c r="K398" s="2988">
        <v>128.47999999999999</v>
      </c>
    </row>
    <row r="399" spans="2:11" ht="18" customHeight="1">
      <c r="B399" s="2986">
        <v>366</v>
      </c>
      <c r="C399" s="2987" t="s">
        <v>3482</v>
      </c>
      <c r="D399" s="2987" t="s">
        <v>3594</v>
      </c>
      <c r="E399" s="2987" t="s">
        <v>3856</v>
      </c>
      <c r="F399" s="2987">
        <v>1</v>
      </c>
      <c r="G399" s="2987">
        <v>1102</v>
      </c>
      <c r="H399" s="2987" t="s">
        <v>3866</v>
      </c>
      <c r="I399" s="2987" t="s">
        <v>3486</v>
      </c>
      <c r="J399" s="2987" t="s">
        <v>3599</v>
      </c>
      <c r="K399" s="2988">
        <v>96.34</v>
      </c>
    </row>
    <row r="400" spans="2:11" ht="18" customHeight="1">
      <c r="B400" s="2986">
        <v>367</v>
      </c>
      <c r="C400" s="2987" t="s">
        <v>3482</v>
      </c>
      <c r="D400" s="2987" t="s">
        <v>3594</v>
      </c>
      <c r="E400" s="2987" t="s">
        <v>3856</v>
      </c>
      <c r="F400" s="2987">
        <v>1</v>
      </c>
      <c r="G400" s="2987">
        <v>1103</v>
      </c>
      <c r="H400" s="2987" t="s">
        <v>3867</v>
      </c>
      <c r="I400" s="2987" t="s">
        <v>3486</v>
      </c>
      <c r="J400" s="2987" t="s">
        <v>3599</v>
      </c>
      <c r="K400" s="2988">
        <v>96.34</v>
      </c>
    </row>
    <row r="401" spans="2:11" ht="18" customHeight="1">
      <c r="B401" s="2986">
        <v>368</v>
      </c>
      <c r="C401" s="2987" t="s">
        <v>3482</v>
      </c>
      <c r="D401" s="2987" t="s">
        <v>3594</v>
      </c>
      <c r="E401" s="2987" t="s">
        <v>3856</v>
      </c>
      <c r="F401" s="2987">
        <v>1</v>
      </c>
      <c r="G401" s="2987">
        <v>1104</v>
      </c>
      <c r="H401" s="2987" t="s">
        <v>3868</v>
      </c>
      <c r="I401" s="2987" t="s">
        <v>3486</v>
      </c>
      <c r="J401" s="2987" t="s">
        <v>3602</v>
      </c>
      <c r="K401" s="2988">
        <v>111.2</v>
      </c>
    </row>
    <row r="402" spans="2:11" ht="18" customHeight="1">
      <c r="B402" s="2986">
        <v>369</v>
      </c>
      <c r="C402" s="2987" t="s">
        <v>3482</v>
      </c>
      <c r="D402" s="2987" t="s">
        <v>3594</v>
      </c>
      <c r="E402" s="2987" t="s">
        <v>3856</v>
      </c>
      <c r="F402" s="2987">
        <v>1</v>
      </c>
      <c r="G402" s="2987">
        <v>1201</v>
      </c>
      <c r="H402" s="2987" t="s">
        <v>3869</v>
      </c>
      <c r="I402" s="2987" t="s">
        <v>3486</v>
      </c>
      <c r="J402" s="2987" t="s">
        <v>3597</v>
      </c>
      <c r="K402" s="2988">
        <v>128.47999999999999</v>
      </c>
    </row>
    <row r="403" spans="2:11" ht="18" customHeight="1">
      <c r="B403" s="2986">
        <v>370</v>
      </c>
      <c r="C403" s="2987" t="s">
        <v>3482</v>
      </c>
      <c r="D403" s="2987" t="s">
        <v>3594</v>
      </c>
      <c r="E403" s="2987" t="s">
        <v>3856</v>
      </c>
      <c r="F403" s="2987">
        <v>1</v>
      </c>
      <c r="G403" s="2987">
        <v>1202</v>
      </c>
      <c r="H403" s="2987" t="s">
        <v>3870</v>
      </c>
      <c r="I403" s="2987" t="s">
        <v>3486</v>
      </c>
      <c r="J403" s="2987" t="s">
        <v>3599</v>
      </c>
      <c r="K403" s="2988">
        <v>96.34</v>
      </c>
    </row>
    <row r="404" spans="2:11" ht="18" customHeight="1">
      <c r="B404" s="2986">
        <v>371</v>
      </c>
      <c r="C404" s="2987" t="s">
        <v>3482</v>
      </c>
      <c r="D404" s="2987" t="s">
        <v>3594</v>
      </c>
      <c r="E404" s="2987" t="s">
        <v>3856</v>
      </c>
      <c r="F404" s="2987">
        <v>1</v>
      </c>
      <c r="G404" s="2987">
        <v>1203</v>
      </c>
      <c r="H404" s="2987" t="s">
        <v>3871</v>
      </c>
      <c r="I404" s="2987" t="s">
        <v>3486</v>
      </c>
      <c r="J404" s="2987" t="s">
        <v>3599</v>
      </c>
      <c r="K404" s="2988">
        <v>96.34</v>
      </c>
    </row>
    <row r="405" spans="2:11" ht="18" customHeight="1">
      <c r="B405" s="2986">
        <v>372</v>
      </c>
      <c r="C405" s="2987" t="s">
        <v>3482</v>
      </c>
      <c r="D405" s="2987" t="s">
        <v>3594</v>
      </c>
      <c r="E405" s="2987" t="s">
        <v>3856</v>
      </c>
      <c r="F405" s="2987">
        <v>1</v>
      </c>
      <c r="G405" s="2987">
        <v>1204</v>
      </c>
      <c r="H405" s="2987" t="s">
        <v>3872</v>
      </c>
      <c r="I405" s="2987" t="s">
        <v>3486</v>
      </c>
      <c r="J405" s="2987" t="s">
        <v>3602</v>
      </c>
      <c r="K405" s="2988">
        <v>111.2</v>
      </c>
    </row>
    <row r="406" spans="2:11" ht="18" customHeight="1">
      <c r="B406" s="2986">
        <v>373</v>
      </c>
      <c r="C406" s="2987" t="s">
        <v>3482</v>
      </c>
      <c r="D406" s="2987" t="s">
        <v>3594</v>
      </c>
      <c r="E406" s="2987" t="s">
        <v>3856</v>
      </c>
      <c r="F406" s="2987">
        <v>1</v>
      </c>
      <c r="G406" s="2987">
        <v>1301</v>
      </c>
      <c r="H406" s="2987" t="s">
        <v>3873</v>
      </c>
      <c r="I406" s="2987" t="s">
        <v>3486</v>
      </c>
      <c r="J406" s="2987" t="s">
        <v>3597</v>
      </c>
      <c r="K406" s="2988">
        <v>128.47999999999999</v>
      </c>
    </row>
    <row r="407" spans="2:11" ht="18" customHeight="1">
      <c r="B407" s="2986">
        <v>374</v>
      </c>
      <c r="C407" s="2987" t="s">
        <v>3482</v>
      </c>
      <c r="D407" s="2987" t="s">
        <v>3594</v>
      </c>
      <c r="E407" s="2987" t="s">
        <v>3856</v>
      </c>
      <c r="F407" s="2987">
        <v>1</v>
      </c>
      <c r="G407" s="2987">
        <v>1302</v>
      </c>
      <c r="H407" s="2987" t="s">
        <v>3874</v>
      </c>
      <c r="I407" s="2987" t="s">
        <v>3486</v>
      </c>
      <c r="J407" s="2987" t="s">
        <v>3599</v>
      </c>
      <c r="K407" s="2988">
        <v>96.34</v>
      </c>
    </row>
    <row r="408" spans="2:11" ht="18" customHeight="1">
      <c r="B408" s="2986">
        <v>375</v>
      </c>
      <c r="C408" s="2987" t="s">
        <v>3482</v>
      </c>
      <c r="D408" s="2987" t="s">
        <v>3594</v>
      </c>
      <c r="E408" s="2987" t="s">
        <v>3856</v>
      </c>
      <c r="F408" s="2987">
        <v>1</v>
      </c>
      <c r="G408" s="2987">
        <v>1303</v>
      </c>
      <c r="H408" s="2987" t="s">
        <v>3875</v>
      </c>
      <c r="I408" s="2987" t="s">
        <v>3486</v>
      </c>
      <c r="J408" s="2987" t="s">
        <v>3599</v>
      </c>
      <c r="K408" s="2988">
        <v>96.34</v>
      </c>
    </row>
    <row r="409" spans="2:11" ht="18" customHeight="1">
      <c r="B409" s="2986">
        <v>376</v>
      </c>
      <c r="C409" s="2987" t="s">
        <v>3482</v>
      </c>
      <c r="D409" s="2987" t="s">
        <v>3594</v>
      </c>
      <c r="E409" s="2987" t="s">
        <v>3856</v>
      </c>
      <c r="F409" s="2987">
        <v>1</v>
      </c>
      <c r="G409" s="2987">
        <v>1304</v>
      </c>
      <c r="H409" s="2987" t="s">
        <v>3876</v>
      </c>
      <c r="I409" s="2987" t="s">
        <v>3486</v>
      </c>
      <c r="J409" s="2987" t="s">
        <v>3602</v>
      </c>
      <c r="K409" s="2988">
        <v>111.2</v>
      </c>
    </row>
    <row r="410" spans="2:11" ht="18" customHeight="1">
      <c r="B410" s="2986">
        <v>377</v>
      </c>
      <c r="C410" s="2987" t="s">
        <v>3482</v>
      </c>
      <c r="D410" s="2987" t="s">
        <v>3594</v>
      </c>
      <c r="E410" s="2987" t="s">
        <v>3856</v>
      </c>
      <c r="F410" s="2987">
        <v>1</v>
      </c>
      <c r="G410" s="2987">
        <v>1401</v>
      </c>
      <c r="H410" s="2987" t="s">
        <v>3877</v>
      </c>
      <c r="I410" s="2987" t="s">
        <v>3486</v>
      </c>
      <c r="J410" s="2987" t="s">
        <v>3597</v>
      </c>
      <c r="K410" s="2988">
        <v>128.47999999999999</v>
      </c>
    </row>
    <row r="411" spans="2:11" ht="18" customHeight="1">
      <c r="B411" s="2986">
        <v>378</v>
      </c>
      <c r="C411" s="2987" t="s">
        <v>3482</v>
      </c>
      <c r="D411" s="2987" t="s">
        <v>3594</v>
      </c>
      <c r="E411" s="2987" t="s">
        <v>3856</v>
      </c>
      <c r="F411" s="2987">
        <v>1</v>
      </c>
      <c r="G411" s="2987">
        <v>1402</v>
      </c>
      <c r="H411" s="2987" t="s">
        <v>3878</v>
      </c>
      <c r="I411" s="2987" t="s">
        <v>3486</v>
      </c>
      <c r="J411" s="2987" t="s">
        <v>3599</v>
      </c>
      <c r="K411" s="2988">
        <v>96.34</v>
      </c>
    </row>
    <row r="412" spans="2:11" ht="18" customHeight="1">
      <c r="B412" s="2986">
        <v>379</v>
      </c>
      <c r="C412" s="2987" t="s">
        <v>3482</v>
      </c>
      <c r="D412" s="2987" t="s">
        <v>3594</v>
      </c>
      <c r="E412" s="2987" t="s">
        <v>3856</v>
      </c>
      <c r="F412" s="2987">
        <v>1</v>
      </c>
      <c r="G412" s="2987">
        <v>1403</v>
      </c>
      <c r="H412" s="2987" t="s">
        <v>3879</v>
      </c>
      <c r="I412" s="2987" t="s">
        <v>3486</v>
      </c>
      <c r="J412" s="2987" t="s">
        <v>3599</v>
      </c>
      <c r="K412" s="2988">
        <v>96.34</v>
      </c>
    </row>
    <row r="413" spans="2:11" ht="18" customHeight="1">
      <c r="B413" s="2986">
        <v>380</v>
      </c>
      <c r="C413" s="2987" t="s">
        <v>3482</v>
      </c>
      <c r="D413" s="2987" t="s">
        <v>3594</v>
      </c>
      <c r="E413" s="2987" t="s">
        <v>3856</v>
      </c>
      <c r="F413" s="2987">
        <v>1</v>
      </c>
      <c r="G413" s="2987">
        <v>1404</v>
      </c>
      <c r="H413" s="2987" t="s">
        <v>3880</v>
      </c>
      <c r="I413" s="2987" t="s">
        <v>3486</v>
      </c>
      <c r="J413" s="2987" t="s">
        <v>3602</v>
      </c>
      <c r="K413" s="2988">
        <v>111.2</v>
      </c>
    </row>
    <row r="414" spans="2:11" ht="18" customHeight="1">
      <c r="B414" s="2986">
        <v>381</v>
      </c>
      <c r="C414" s="2987" t="s">
        <v>3482</v>
      </c>
      <c r="D414" s="2987" t="s">
        <v>3594</v>
      </c>
      <c r="E414" s="2987" t="s">
        <v>3856</v>
      </c>
      <c r="F414" s="2987">
        <v>1</v>
      </c>
      <c r="G414" s="2987">
        <v>1501</v>
      </c>
      <c r="H414" s="2987" t="s">
        <v>3881</v>
      </c>
      <c r="I414" s="2987" t="s">
        <v>3486</v>
      </c>
      <c r="J414" s="2987" t="s">
        <v>3597</v>
      </c>
      <c r="K414" s="2988">
        <v>128.47999999999999</v>
      </c>
    </row>
    <row r="415" spans="2:11" ht="18" customHeight="1">
      <c r="B415" s="2986">
        <v>382</v>
      </c>
      <c r="C415" s="2987" t="s">
        <v>3482</v>
      </c>
      <c r="D415" s="2987" t="s">
        <v>3594</v>
      </c>
      <c r="E415" s="2987" t="s">
        <v>3856</v>
      </c>
      <c r="F415" s="2987">
        <v>1</v>
      </c>
      <c r="G415" s="2987">
        <v>1502</v>
      </c>
      <c r="H415" s="2987" t="s">
        <v>3882</v>
      </c>
      <c r="I415" s="2987" t="s">
        <v>3486</v>
      </c>
      <c r="J415" s="2987" t="s">
        <v>3599</v>
      </c>
      <c r="K415" s="2988">
        <v>96.34</v>
      </c>
    </row>
    <row r="416" spans="2:11" ht="18" customHeight="1">
      <c r="B416" s="2986">
        <v>383</v>
      </c>
      <c r="C416" s="2987" t="s">
        <v>3482</v>
      </c>
      <c r="D416" s="2987" t="s">
        <v>3594</v>
      </c>
      <c r="E416" s="2987" t="s">
        <v>3856</v>
      </c>
      <c r="F416" s="2987">
        <v>1</v>
      </c>
      <c r="G416" s="2987">
        <v>1503</v>
      </c>
      <c r="H416" s="2987" t="s">
        <v>3883</v>
      </c>
      <c r="I416" s="2987" t="s">
        <v>3486</v>
      </c>
      <c r="J416" s="2987" t="s">
        <v>3599</v>
      </c>
      <c r="K416" s="2988">
        <v>96.34</v>
      </c>
    </row>
    <row r="417" spans="2:11" ht="18" customHeight="1">
      <c r="B417" s="2986">
        <v>384</v>
      </c>
      <c r="C417" s="2987" t="s">
        <v>3482</v>
      </c>
      <c r="D417" s="2987" t="s">
        <v>3594</v>
      </c>
      <c r="E417" s="2987" t="s">
        <v>3856</v>
      </c>
      <c r="F417" s="2987">
        <v>1</v>
      </c>
      <c r="G417" s="2987">
        <v>1504</v>
      </c>
      <c r="H417" s="2987" t="s">
        <v>3884</v>
      </c>
      <c r="I417" s="2987" t="s">
        <v>3486</v>
      </c>
      <c r="J417" s="2987" t="s">
        <v>3602</v>
      </c>
      <c r="K417" s="2988">
        <v>111.2</v>
      </c>
    </row>
    <row r="418" spans="2:11" ht="18" customHeight="1">
      <c r="B418" s="2986">
        <v>385</v>
      </c>
      <c r="C418" s="2987" t="s">
        <v>3482</v>
      </c>
      <c r="D418" s="2987" t="s">
        <v>3594</v>
      </c>
      <c r="E418" s="2987" t="s">
        <v>3856</v>
      </c>
      <c r="F418" s="2987">
        <v>1</v>
      </c>
      <c r="G418" s="2987">
        <v>1601</v>
      </c>
      <c r="H418" s="2987" t="s">
        <v>3885</v>
      </c>
      <c r="I418" s="2987" t="s">
        <v>3486</v>
      </c>
      <c r="J418" s="2987" t="s">
        <v>3597</v>
      </c>
      <c r="K418" s="2988">
        <v>128.47999999999999</v>
      </c>
    </row>
    <row r="419" spans="2:11" ht="18" customHeight="1">
      <c r="B419" s="2986">
        <v>386</v>
      </c>
      <c r="C419" s="2987" t="s">
        <v>3482</v>
      </c>
      <c r="D419" s="2987" t="s">
        <v>3594</v>
      </c>
      <c r="E419" s="2987" t="s">
        <v>3856</v>
      </c>
      <c r="F419" s="2987">
        <v>1</v>
      </c>
      <c r="G419" s="2987">
        <v>1602</v>
      </c>
      <c r="H419" s="2987" t="s">
        <v>3886</v>
      </c>
      <c r="I419" s="2987" t="s">
        <v>3486</v>
      </c>
      <c r="J419" s="2987" t="s">
        <v>3599</v>
      </c>
      <c r="K419" s="2988">
        <v>96.34</v>
      </c>
    </row>
    <row r="420" spans="2:11" ht="18" customHeight="1">
      <c r="B420" s="2986">
        <v>387</v>
      </c>
      <c r="C420" s="2987" t="s">
        <v>3482</v>
      </c>
      <c r="D420" s="2987" t="s">
        <v>3594</v>
      </c>
      <c r="E420" s="2987" t="s">
        <v>3856</v>
      </c>
      <c r="F420" s="2987">
        <v>1</v>
      </c>
      <c r="G420" s="2987">
        <v>1603</v>
      </c>
      <c r="H420" s="2987" t="s">
        <v>3887</v>
      </c>
      <c r="I420" s="2987" t="s">
        <v>3486</v>
      </c>
      <c r="J420" s="2987" t="s">
        <v>3599</v>
      </c>
      <c r="K420" s="2988">
        <v>96.34</v>
      </c>
    </row>
    <row r="421" spans="2:11" ht="18" customHeight="1">
      <c r="B421" s="2986">
        <v>388</v>
      </c>
      <c r="C421" s="2987" t="s">
        <v>3482</v>
      </c>
      <c r="D421" s="2987" t="s">
        <v>3594</v>
      </c>
      <c r="E421" s="2987" t="s">
        <v>3856</v>
      </c>
      <c r="F421" s="2987">
        <v>1</v>
      </c>
      <c r="G421" s="2987">
        <v>1604</v>
      </c>
      <c r="H421" s="2987" t="s">
        <v>3888</v>
      </c>
      <c r="I421" s="2987" t="s">
        <v>3486</v>
      </c>
      <c r="J421" s="2987" t="s">
        <v>3602</v>
      </c>
      <c r="K421" s="2988">
        <v>111.2</v>
      </c>
    </row>
    <row r="422" spans="2:11" ht="18" customHeight="1">
      <c r="B422" s="2986">
        <v>389</v>
      </c>
      <c r="C422" s="2987" t="s">
        <v>3482</v>
      </c>
      <c r="D422" s="2987" t="s">
        <v>3594</v>
      </c>
      <c r="E422" s="2987" t="s">
        <v>3856</v>
      </c>
      <c r="F422" s="2987">
        <v>1</v>
      </c>
      <c r="G422" s="2987">
        <v>201</v>
      </c>
      <c r="H422" s="2987" t="s">
        <v>3889</v>
      </c>
      <c r="I422" s="2987" t="s">
        <v>3486</v>
      </c>
      <c r="J422" s="2987" t="s">
        <v>3597</v>
      </c>
      <c r="K422" s="2988">
        <v>128.47999999999999</v>
      </c>
    </row>
    <row r="423" spans="2:11" ht="18" customHeight="1">
      <c r="B423" s="2986">
        <v>390</v>
      </c>
      <c r="C423" s="2987" t="s">
        <v>3482</v>
      </c>
      <c r="D423" s="2987" t="s">
        <v>3594</v>
      </c>
      <c r="E423" s="2987" t="s">
        <v>3856</v>
      </c>
      <c r="F423" s="2987">
        <v>1</v>
      </c>
      <c r="G423" s="2987">
        <v>202</v>
      </c>
      <c r="H423" s="2987" t="s">
        <v>3890</v>
      </c>
      <c r="I423" s="2987" t="s">
        <v>3486</v>
      </c>
      <c r="J423" s="2987" t="s">
        <v>3599</v>
      </c>
      <c r="K423" s="2988">
        <v>96.34</v>
      </c>
    </row>
    <row r="424" spans="2:11" ht="18" customHeight="1">
      <c r="B424" s="2986">
        <v>391</v>
      </c>
      <c r="C424" s="2987" t="s">
        <v>3482</v>
      </c>
      <c r="D424" s="2987" t="s">
        <v>3594</v>
      </c>
      <c r="E424" s="2987" t="s">
        <v>3856</v>
      </c>
      <c r="F424" s="2987">
        <v>1</v>
      </c>
      <c r="G424" s="2987">
        <v>203</v>
      </c>
      <c r="H424" s="2987" t="s">
        <v>3891</v>
      </c>
      <c r="I424" s="2987" t="s">
        <v>3486</v>
      </c>
      <c r="J424" s="2987" t="s">
        <v>3599</v>
      </c>
      <c r="K424" s="2988">
        <v>96.34</v>
      </c>
    </row>
    <row r="425" spans="2:11" ht="18" customHeight="1">
      <c r="B425" s="2986">
        <v>392</v>
      </c>
      <c r="C425" s="2987" t="s">
        <v>3482</v>
      </c>
      <c r="D425" s="2987" t="s">
        <v>3594</v>
      </c>
      <c r="E425" s="2987" t="s">
        <v>3856</v>
      </c>
      <c r="F425" s="2987">
        <v>1</v>
      </c>
      <c r="G425" s="2987">
        <v>204</v>
      </c>
      <c r="H425" s="2987" t="s">
        <v>3892</v>
      </c>
      <c r="I425" s="2987" t="s">
        <v>3486</v>
      </c>
      <c r="J425" s="2987" t="s">
        <v>3602</v>
      </c>
      <c r="K425" s="2988">
        <v>111.2</v>
      </c>
    </row>
    <row r="426" spans="2:11" ht="18" customHeight="1">
      <c r="B426" s="2986">
        <v>393</v>
      </c>
      <c r="C426" s="2987" t="s">
        <v>3482</v>
      </c>
      <c r="D426" s="2987" t="s">
        <v>3594</v>
      </c>
      <c r="E426" s="2987" t="s">
        <v>3856</v>
      </c>
      <c r="F426" s="2987">
        <v>1</v>
      </c>
      <c r="G426" s="2987">
        <v>301</v>
      </c>
      <c r="H426" s="2987" t="s">
        <v>3893</v>
      </c>
      <c r="I426" s="2987" t="s">
        <v>3486</v>
      </c>
      <c r="J426" s="2987" t="s">
        <v>3597</v>
      </c>
      <c r="K426" s="2988">
        <v>128.47999999999999</v>
      </c>
    </row>
    <row r="427" spans="2:11" ht="18" customHeight="1">
      <c r="B427" s="2986">
        <v>394</v>
      </c>
      <c r="C427" s="2987" t="s">
        <v>3482</v>
      </c>
      <c r="D427" s="2987" t="s">
        <v>3594</v>
      </c>
      <c r="E427" s="2987" t="s">
        <v>3856</v>
      </c>
      <c r="F427" s="2987">
        <v>1</v>
      </c>
      <c r="G427" s="2987">
        <v>302</v>
      </c>
      <c r="H427" s="2987" t="s">
        <v>3894</v>
      </c>
      <c r="I427" s="2987" t="s">
        <v>3486</v>
      </c>
      <c r="J427" s="2987" t="s">
        <v>3599</v>
      </c>
      <c r="K427" s="2988">
        <v>96.34</v>
      </c>
    </row>
    <row r="428" spans="2:11" ht="18" customHeight="1">
      <c r="B428" s="2986">
        <v>395</v>
      </c>
      <c r="C428" s="2987" t="s">
        <v>3482</v>
      </c>
      <c r="D428" s="2987" t="s">
        <v>3594</v>
      </c>
      <c r="E428" s="2987" t="s">
        <v>3856</v>
      </c>
      <c r="F428" s="2987">
        <v>1</v>
      </c>
      <c r="G428" s="2987">
        <v>303</v>
      </c>
      <c r="H428" s="2987" t="s">
        <v>3895</v>
      </c>
      <c r="I428" s="2987" t="s">
        <v>3486</v>
      </c>
      <c r="J428" s="2987" t="s">
        <v>3599</v>
      </c>
      <c r="K428" s="2988">
        <v>96.34</v>
      </c>
    </row>
    <row r="429" spans="2:11" ht="18" customHeight="1">
      <c r="B429" s="2986">
        <v>396</v>
      </c>
      <c r="C429" s="2987" t="s">
        <v>3482</v>
      </c>
      <c r="D429" s="2987" t="s">
        <v>3594</v>
      </c>
      <c r="E429" s="2987" t="s">
        <v>3856</v>
      </c>
      <c r="F429" s="2987">
        <v>1</v>
      </c>
      <c r="G429" s="2987">
        <v>304</v>
      </c>
      <c r="H429" s="2987" t="s">
        <v>3896</v>
      </c>
      <c r="I429" s="2987" t="s">
        <v>3486</v>
      </c>
      <c r="J429" s="2987" t="s">
        <v>3602</v>
      </c>
      <c r="K429" s="2988">
        <v>111.2</v>
      </c>
    </row>
    <row r="430" spans="2:11" ht="18" customHeight="1">
      <c r="B430" s="2986">
        <v>397</v>
      </c>
      <c r="C430" s="2987" t="s">
        <v>3482</v>
      </c>
      <c r="D430" s="2987" t="s">
        <v>3594</v>
      </c>
      <c r="E430" s="2987" t="s">
        <v>3856</v>
      </c>
      <c r="F430" s="2987">
        <v>1</v>
      </c>
      <c r="G430" s="2987">
        <v>401</v>
      </c>
      <c r="H430" s="2987" t="s">
        <v>3897</v>
      </c>
      <c r="I430" s="2987" t="s">
        <v>3486</v>
      </c>
      <c r="J430" s="2987" t="s">
        <v>3597</v>
      </c>
      <c r="K430" s="2988">
        <v>128.47999999999999</v>
      </c>
    </row>
    <row r="431" spans="2:11" ht="18" customHeight="1">
      <c r="B431" s="2986">
        <v>398</v>
      </c>
      <c r="C431" s="2987" t="s">
        <v>3482</v>
      </c>
      <c r="D431" s="2987" t="s">
        <v>3594</v>
      </c>
      <c r="E431" s="2987" t="s">
        <v>3856</v>
      </c>
      <c r="F431" s="2987">
        <v>1</v>
      </c>
      <c r="G431" s="2987">
        <v>402</v>
      </c>
      <c r="H431" s="2987" t="s">
        <v>3898</v>
      </c>
      <c r="I431" s="2987" t="s">
        <v>3486</v>
      </c>
      <c r="J431" s="2987" t="s">
        <v>3599</v>
      </c>
      <c r="K431" s="2988">
        <v>96.34</v>
      </c>
    </row>
    <row r="432" spans="2:11" ht="18" customHeight="1">
      <c r="B432" s="2986">
        <v>399</v>
      </c>
      <c r="C432" s="2987" t="s">
        <v>3482</v>
      </c>
      <c r="D432" s="2987" t="s">
        <v>3594</v>
      </c>
      <c r="E432" s="2987" t="s">
        <v>3856</v>
      </c>
      <c r="F432" s="2987">
        <v>1</v>
      </c>
      <c r="G432" s="2987">
        <v>403</v>
      </c>
      <c r="H432" s="2987" t="s">
        <v>3899</v>
      </c>
      <c r="I432" s="2987" t="s">
        <v>3486</v>
      </c>
      <c r="J432" s="2987" t="s">
        <v>3599</v>
      </c>
      <c r="K432" s="2988">
        <v>96.34</v>
      </c>
    </row>
    <row r="433" spans="2:11" ht="18" customHeight="1">
      <c r="B433" s="2986">
        <v>400</v>
      </c>
      <c r="C433" s="2987" t="s">
        <v>3482</v>
      </c>
      <c r="D433" s="2987" t="s">
        <v>3594</v>
      </c>
      <c r="E433" s="2987" t="s">
        <v>3856</v>
      </c>
      <c r="F433" s="2987">
        <v>1</v>
      </c>
      <c r="G433" s="2987">
        <v>404</v>
      </c>
      <c r="H433" s="2987" t="s">
        <v>3900</v>
      </c>
      <c r="I433" s="2987" t="s">
        <v>3486</v>
      </c>
      <c r="J433" s="2987" t="s">
        <v>3602</v>
      </c>
      <c r="K433" s="2988">
        <v>111.2</v>
      </c>
    </row>
    <row r="434" spans="2:11" ht="18" customHeight="1">
      <c r="B434" s="2986">
        <v>401</v>
      </c>
      <c r="C434" s="2987" t="s">
        <v>3482</v>
      </c>
      <c r="D434" s="2987" t="s">
        <v>3594</v>
      </c>
      <c r="E434" s="2987" t="s">
        <v>3856</v>
      </c>
      <c r="F434" s="2987">
        <v>1</v>
      </c>
      <c r="G434" s="2987">
        <v>501</v>
      </c>
      <c r="H434" s="2987" t="s">
        <v>3901</v>
      </c>
      <c r="I434" s="2987" t="s">
        <v>3486</v>
      </c>
      <c r="J434" s="2987" t="s">
        <v>3597</v>
      </c>
      <c r="K434" s="2988">
        <v>128.47999999999999</v>
      </c>
    </row>
    <row r="435" spans="2:11" ht="18" customHeight="1">
      <c r="B435" s="2986">
        <v>402</v>
      </c>
      <c r="C435" s="2987" t="s">
        <v>3482</v>
      </c>
      <c r="D435" s="2987" t="s">
        <v>3594</v>
      </c>
      <c r="E435" s="2987" t="s">
        <v>3856</v>
      </c>
      <c r="F435" s="2987">
        <v>1</v>
      </c>
      <c r="G435" s="2987">
        <v>502</v>
      </c>
      <c r="H435" s="2987" t="s">
        <v>3902</v>
      </c>
      <c r="I435" s="2987" t="s">
        <v>3486</v>
      </c>
      <c r="J435" s="2987" t="s">
        <v>3599</v>
      </c>
      <c r="K435" s="2988">
        <v>96.34</v>
      </c>
    </row>
    <row r="436" spans="2:11" ht="18" customHeight="1">
      <c r="B436" s="2986">
        <v>403</v>
      </c>
      <c r="C436" s="2987" t="s">
        <v>3482</v>
      </c>
      <c r="D436" s="2987" t="s">
        <v>3594</v>
      </c>
      <c r="E436" s="2987" t="s">
        <v>3856</v>
      </c>
      <c r="F436" s="2987">
        <v>1</v>
      </c>
      <c r="G436" s="2987">
        <v>503</v>
      </c>
      <c r="H436" s="2987" t="s">
        <v>3903</v>
      </c>
      <c r="I436" s="2987" t="s">
        <v>3486</v>
      </c>
      <c r="J436" s="2987" t="s">
        <v>3599</v>
      </c>
      <c r="K436" s="2988">
        <v>96.34</v>
      </c>
    </row>
    <row r="437" spans="2:11" ht="18" customHeight="1">
      <c r="B437" s="2986">
        <v>404</v>
      </c>
      <c r="C437" s="2987" t="s">
        <v>3482</v>
      </c>
      <c r="D437" s="2987" t="s">
        <v>3594</v>
      </c>
      <c r="E437" s="2987" t="s">
        <v>3856</v>
      </c>
      <c r="F437" s="2987">
        <v>1</v>
      </c>
      <c r="G437" s="2987">
        <v>504</v>
      </c>
      <c r="H437" s="2987" t="s">
        <v>3904</v>
      </c>
      <c r="I437" s="2987" t="s">
        <v>3486</v>
      </c>
      <c r="J437" s="2987" t="s">
        <v>3602</v>
      </c>
      <c r="K437" s="2988">
        <v>111.2</v>
      </c>
    </row>
    <row r="438" spans="2:11" ht="18" customHeight="1">
      <c r="B438" s="2986">
        <v>405</v>
      </c>
      <c r="C438" s="2987" t="s">
        <v>3482</v>
      </c>
      <c r="D438" s="2987" t="s">
        <v>3594</v>
      </c>
      <c r="E438" s="2987" t="s">
        <v>3856</v>
      </c>
      <c r="F438" s="2987">
        <v>1</v>
      </c>
      <c r="G438" s="2987">
        <v>601</v>
      </c>
      <c r="H438" s="2987" t="s">
        <v>3905</v>
      </c>
      <c r="I438" s="2987" t="s">
        <v>3486</v>
      </c>
      <c r="J438" s="2987" t="s">
        <v>3597</v>
      </c>
      <c r="K438" s="2988">
        <v>128.47999999999999</v>
      </c>
    </row>
    <row r="439" spans="2:11" ht="18" customHeight="1">
      <c r="B439" s="2986">
        <v>406</v>
      </c>
      <c r="C439" s="2987" t="s">
        <v>3482</v>
      </c>
      <c r="D439" s="2987" t="s">
        <v>3594</v>
      </c>
      <c r="E439" s="2987" t="s">
        <v>3856</v>
      </c>
      <c r="F439" s="2987">
        <v>1</v>
      </c>
      <c r="G439" s="2987">
        <v>602</v>
      </c>
      <c r="H439" s="2987" t="s">
        <v>3906</v>
      </c>
      <c r="I439" s="2987" t="s">
        <v>3486</v>
      </c>
      <c r="J439" s="2987" t="s">
        <v>3599</v>
      </c>
      <c r="K439" s="2988">
        <v>96.34</v>
      </c>
    </row>
    <row r="440" spans="2:11" ht="18" customHeight="1">
      <c r="B440" s="2986">
        <v>407</v>
      </c>
      <c r="C440" s="2987" t="s">
        <v>3482</v>
      </c>
      <c r="D440" s="2987" t="s">
        <v>3594</v>
      </c>
      <c r="E440" s="2987" t="s">
        <v>3856</v>
      </c>
      <c r="F440" s="2987">
        <v>1</v>
      </c>
      <c r="G440" s="2987">
        <v>603</v>
      </c>
      <c r="H440" s="2987" t="s">
        <v>3907</v>
      </c>
      <c r="I440" s="2987" t="s">
        <v>3486</v>
      </c>
      <c r="J440" s="2987" t="s">
        <v>3599</v>
      </c>
      <c r="K440" s="2988">
        <v>96.34</v>
      </c>
    </row>
    <row r="441" spans="2:11" ht="18" customHeight="1">
      <c r="B441" s="2986">
        <v>408</v>
      </c>
      <c r="C441" s="2987" t="s">
        <v>3482</v>
      </c>
      <c r="D441" s="2987" t="s">
        <v>3594</v>
      </c>
      <c r="E441" s="2987" t="s">
        <v>3856</v>
      </c>
      <c r="F441" s="2987">
        <v>1</v>
      </c>
      <c r="G441" s="2987">
        <v>604</v>
      </c>
      <c r="H441" s="2987" t="s">
        <v>3908</v>
      </c>
      <c r="I441" s="2987" t="s">
        <v>3486</v>
      </c>
      <c r="J441" s="2987" t="s">
        <v>3602</v>
      </c>
      <c r="K441" s="2988">
        <v>111.2</v>
      </c>
    </row>
    <row r="442" spans="2:11" ht="18" customHeight="1">
      <c r="B442" s="2986">
        <v>409</v>
      </c>
      <c r="C442" s="2987" t="s">
        <v>3482</v>
      </c>
      <c r="D442" s="2987" t="s">
        <v>3594</v>
      </c>
      <c r="E442" s="2987" t="s">
        <v>3856</v>
      </c>
      <c r="F442" s="2987">
        <v>1</v>
      </c>
      <c r="G442" s="2987">
        <v>701</v>
      </c>
      <c r="H442" s="2987" t="s">
        <v>3909</v>
      </c>
      <c r="I442" s="2987" t="s">
        <v>3486</v>
      </c>
      <c r="J442" s="2987" t="s">
        <v>3597</v>
      </c>
      <c r="K442" s="2988">
        <v>128.47999999999999</v>
      </c>
    </row>
    <row r="443" spans="2:11" ht="18" customHeight="1">
      <c r="B443" s="2986">
        <v>410</v>
      </c>
      <c r="C443" s="2987" t="s">
        <v>3482</v>
      </c>
      <c r="D443" s="2987" t="s">
        <v>3594</v>
      </c>
      <c r="E443" s="2987" t="s">
        <v>3856</v>
      </c>
      <c r="F443" s="2987">
        <v>1</v>
      </c>
      <c r="G443" s="2987">
        <v>702</v>
      </c>
      <c r="H443" s="2987" t="s">
        <v>3910</v>
      </c>
      <c r="I443" s="2987" t="s">
        <v>3486</v>
      </c>
      <c r="J443" s="2987" t="s">
        <v>3599</v>
      </c>
      <c r="K443" s="2988">
        <v>96.34</v>
      </c>
    </row>
    <row r="444" spans="2:11" ht="18" customHeight="1">
      <c r="B444" s="2986">
        <v>411</v>
      </c>
      <c r="C444" s="2987" t="s">
        <v>3482</v>
      </c>
      <c r="D444" s="2987" t="s">
        <v>3594</v>
      </c>
      <c r="E444" s="2987" t="s">
        <v>3856</v>
      </c>
      <c r="F444" s="2987">
        <v>1</v>
      </c>
      <c r="G444" s="2987">
        <v>703</v>
      </c>
      <c r="H444" s="2987" t="s">
        <v>3911</v>
      </c>
      <c r="I444" s="2987" t="s">
        <v>3486</v>
      </c>
      <c r="J444" s="2987" t="s">
        <v>3599</v>
      </c>
      <c r="K444" s="2988">
        <v>96.34</v>
      </c>
    </row>
    <row r="445" spans="2:11" ht="18" customHeight="1">
      <c r="B445" s="2986">
        <v>412</v>
      </c>
      <c r="C445" s="2987" t="s">
        <v>3482</v>
      </c>
      <c r="D445" s="2987" t="s">
        <v>3594</v>
      </c>
      <c r="E445" s="2987" t="s">
        <v>3856</v>
      </c>
      <c r="F445" s="2987">
        <v>1</v>
      </c>
      <c r="G445" s="2987">
        <v>704</v>
      </c>
      <c r="H445" s="2987" t="s">
        <v>3912</v>
      </c>
      <c r="I445" s="2987" t="s">
        <v>3486</v>
      </c>
      <c r="J445" s="2987" t="s">
        <v>3602</v>
      </c>
      <c r="K445" s="2988">
        <v>111.2</v>
      </c>
    </row>
    <row r="446" spans="2:11" ht="18" customHeight="1">
      <c r="B446" s="2986">
        <v>413</v>
      </c>
      <c r="C446" s="2987" t="s">
        <v>3482</v>
      </c>
      <c r="D446" s="2987" t="s">
        <v>3594</v>
      </c>
      <c r="E446" s="2987" t="s">
        <v>3856</v>
      </c>
      <c r="F446" s="2987">
        <v>1</v>
      </c>
      <c r="G446" s="2987">
        <v>801</v>
      </c>
      <c r="H446" s="2987" t="s">
        <v>3913</v>
      </c>
      <c r="I446" s="2987" t="s">
        <v>3486</v>
      </c>
      <c r="J446" s="2987" t="s">
        <v>3597</v>
      </c>
      <c r="K446" s="2988">
        <v>128.47999999999999</v>
      </c>
    </row>
    <row r="447" spans="2:11" ht="18" customHeight="1">
      <c r="B447" s="2986">
        <v>414</v>
      </c>
      <c r="C447" s="2987" t="s">
        <v>3482</v>
      </c>
      <c r="D447" s="2987" t="s">
        <v>3594</v>
      </c>
      <c r="E447" s="2987" t="s">
        <v>3856</v>
      </c>
      <c r="F447" s="2987">
        <v>1</v>
      </c>
      <c r="G447" s="2987">
        <v>802</v>
      </c>
      <c r="H447" s="2987" t="s">
        <v>3914</v>
      </c>
      <c r="I447" s="2987" t="s">
        <v>3486</v>
      </c>
      <c r="J447" s="2987" t="s">
        <v>3599</v>
      </c>
      <c r="K447" s="2988">
        <v>96.34</v>
      </c>
    </row>
    <row r="448" spans="2:11" ht="18" customHeight="1">
      <c r="B448" s="2986">
        <v>415</v>
      </c>
      <c r="C448" s="2987" t="s">
        <v>3482</v>
      </c>
      <c r="D448" s="2987" t="s">
        <v>3594</v>
      </c>
      <c r="E448" s="2987" t="s">
        <v>3856</v>
      </c>
      <c r="F448" s="2987">
        <v>1</v>
      </c>
      <c r="G448" s="2987">
        <v>803</v>
      </c>
      <c r="H448" s="2987" t="s">
        <v>3915</v>
      </c>
      <c r="I448" s="2987" t="s">
        <v>3486</v>
      </c>
      <c r="J448" s="2987" t="s">
        <v>3599</v>
      </c>
      <c r="K448" s="2988">
        <v>96.34</v>
      </c>
    </row>
    <row r="449" spans="2:11" ht="18" customHeight="1">
      <c r="B449" s="2986">
        <v>416</v>
      </c>
      <c r="C449" s="2987" t="s">
        <v>3482</v>
      </c>
      <c r="D449" s="2987" t="s">
        <v>3594</v>
      </c>
      <c r="E449" s="2987" t="s">
        <v>3856</v>
      </c>
      <c r="F449" s="2987">
        <v>1</v>
      </c>
      <c r="G449" s="2987">
        <v>804</v>
      </c>
      <c r="H449" s="2987" t="s">
        <v>3916</v>
      </c>
      <c r="I449" s="2987" t="s">
        <v>3486</v>
      </c>
      <c r="J449" s="2987" t="s">
        <v>3602</v>
      </c>
      <c r="K449" s="2988">
        <v>111.2</v>
      </c>
    </row>
    <row r="450" spans="2:11" ht="18" customHeight="1">
      <c r="B450" s="2986">
        <v>417</v>
      </c>
      <c r="C450" s="2987" t="s">
        <v>3482</v>
      </c>
      <c r="D450" s="2987" t="s">
        <v>3594</v>
      </c>
      <c r="E450" s="2987" t="s">
        <v>3856</v>
      </c>
      <c r="F450" s="2987">
        <v>1</v>
      </c>
      <c r="G450" s="2987">
        <v>901</v>
      </c>
      <c r="H450" s="2987" t="s">
        <v>3917</v>
      </c>
      <c r="I450" s="2987" t="s">
        <v>3486</v>
      </c>
      <c r="J450" s="2987" t="s">
        <v>3597</v>
      </c>
      <c r="K450" s="2988">
        <v>128.47999999999999</v>
      </c>
    </row>
    <row r="451" spans="2:11" ht="18" customHeight="1">
      <c r="B451" s="2986">
        <v>418</v>
      </c>
      <c r="C451" s="2987" t="s">
        <v>3482</v>
      </c>
      <c r="D451" s="2987" t="s">
        <v>3594</v>
      </c>
      <c r="E451" s="2987" t="s">
        <v>3856</v>
      </c>
      <c r="F451" s="2987">
        <v>1</v>
      </c>
      <c r="G451" s="2987">
        <v>902</v>
      </c>
      <c r="H451" s="2987" t="s">
        <v>3918</v>
      </c>
      <c r="I451" s="2987" t="s">
        <v>3486</v>
      </c>
      <c r="J451" s="2987" t="s">
        <v>3599</v>
      </c>
      <c r="K451" s="2988">
        <v>96.34</v>
      </c>
    </row>
    <row r="452" spans="2:11" ht="18" customHeight="1">
      <c r="B452" s="2986">
        <v>419</v>
      </c>
      <c r="C452" s="2987" t="s">
        <v>3482</v>
      </c>
      <c r="D452" s="2987" t="s">
        <v>3594</v>
      </c>
      <c r="E452" s="2987" t="s">
        <v>3856</v>
      </c>
      <c r="F452" s="2987">
        <v>1</v>
      </c>
      <c r="G452" s="2987">
        <v>903</v>
      </c>
      <c r="H452" s="2987" t="s">
        <v>3919</v>
      </c>
      <c r="I452" s="2987" t="s">
        <v>3486</v>
      </c>
      <c r="J452" s="2987" t="s">
        <v>3599</v>
      </c>
      <c r="K452" s="2988">
        <v>96.34</v>
      </c>
    </row>
    <row r="453" spans="2:11" ht="18" customHeight="1">
      <c r="B453" s="2986">
        <v>420</v>
      </c>
      <c r="C453" s="2987" t="s">
        <v>3482</v>
      </c>
      <c r="D453" s="2987" t="s">
        <v>3594</v>
      </c>
      <c r="E453" s="2987" t="s">
        <v>3856</v>
      </c>
      <c r="F453" s="2987">
        <v>1</v>
      </c>
      <c r="G453" s="2987">
        <v>904</v>
      </c>
      <c r="H453" s="2987" t="s">
        <v>3920</v>
      </c>
      <c r="I453" s="2987" t="s">
        <v>3486</v>
      </c>
      <c r="J453" s="2987" t="s">
        <v>3602</v>
      </c>
      <c r="K453" s="2988">
        <v>111.2</v>
      </c>
    </row>
    <row r="454" spans="2:11" ht="18" customHeight="1">
      <c r="B454" s="2986">
        <v>421</v>
      </c>
      <c r="C454" s="2987" t="s">
        <v>3482</v>
      </c>
      <c r="D454" s="2987" t="s">
        <v>3594</v>
      </c>
      <c r="E454" s="2987" t="s">
        <v>3856</v>
      </c>
      <c r="F454" s="2987">
        <v>2</v>
      </c>
      <c r="G454" s="2987">
        <v>1001</v>
      </c>
      <c r="H454" s="2987" t="s">
        <v>3921</v>
      </c>
      <c r="I454" s="2987" t="s">
        <v>3486</v>
      </c>
      <c r="J454" s="2987" t="s">
        <v>3602</v>
      </c>
      <c r="K454" s="2988">
        <v>111.2</v>
      </c>
    </row>
    <row r="455" spans="2:11" ht="18" customHeight="1">
      <c r="B455" s="2986">
        <v>422</v>
      </c>
      <c r="C455" s="2987" t="s">
        <v>3482</v>
      </c>
      <c r="D455" s="2987" t="s">
        <v>3594</v>
      </c>
      <c r="E455" s="2987" t="s">
        <v>3856</v>
      </c>
      <c r="F455" s="2987">
        <v>2</v>
      </c>
      <c r="G455" s="2987">
        <v>1002</v>
      </c>
      <c r="H455" s="2987" t="s">
        <v>3922</v>
      </c>
      <c r="I455" s="2987" t="s">
        <v>3486</v>
      </c>
      <c r="J455" s="2987" t="s">
        <v>3599</v>
      </c>
      <c r="K455" s="2988">
        <v>96.34</v>
      </c>
    </row>
    <row r="456" spans="2:11" ht="18" customHeight="1">
      <c r="B456" s="2986">
        <v>423</v>
      </c>
      <c r="C456" s="2987" t="s">
        <v>3482</v>
      </c>
      <c r="D456" s="2987" t="s">
        <v>3594</v>
      </c>
      <c r="E456" s="2987" t="s">
        <v>3856</v>
      </c>
      <c r="F456" s="2987">
        <v>2</v>
      </c>
      <c r="G456" s="2987">
        <v>1003</v>
      </c>
      <c r="H456" s="2987" t="s">
        <v>3923</v>
      </c>
      <c r="I456" s="2987" t="s">
        <v>3486</v>
      </c>
      <c r="J456" s="2987" t="s">
        <v>3599</v>
      </c>
      <c r="K456" s="2988">
        <v>96.34</v>
      </c>
    </row>
    <row r="457" spans="2:11" ht="18" customHeight="1">
      <c r="B457" s="2986">
        <v>424</v>
      </c>
      <c r="C457" s="2987" t="s">
        <v>3482</v>
      </c>
      <c r="D457" s="2987" t="s">
        <v>3594</v>
      </c>
      <c r="E457" s="2987" t="s">
        <v>3856</v>
      </c>
      <c r="F457" s="2987">
        <v>2</v>
      </c>
      <c r="G457" s="2987">
        <v>1004</v>
      </c>
      <c r="H457" s="2987" t="s">
        <v>3924</v>
      </c>
      <c r="I457" s="2987" t="s">
        <v>3486</v>
      </c>
      <c r="J457" s="2987" t="s">
        <v>3597</v>
      </c>
      <c r="K457" s="2988">
        <v>128.47999999999999</v>
      </c>
    </row>
    <row r="458" spans="2:11" ht="18" customHeight="1">
      <c r="B458" s="2986">
        <v>425</v>
      </c>
      <c r="C458" s="2987" t="s">
        <v>3482</v>
      </c>
      <c r="D458" s="2987" t="s">
        <v>3594</v>
      </c>
      <c r="E458" s="2987" t="s">
        <v>3856</v>
      </c>
      <c r="F458" s="2987">
        <v>2</v>
      </c>
      <c r="G458" s="2987">
        <v>101</v>
      </c>
      <c r="H458" s="2987" t="s">
        <v>3925</v>
      </c>
      <c r="I458" s="2987" t="s">
        <v>3486</v>
      </c>
      <c r="J458" s="2987" t="s">
        <v>3602</v>
      </c>
      <c r="K458" s="2988">
        <v>111.2</v>
      </c>
    </row>
    <row r="459" spans="2:11" ht="18" customHeight="1">
      <c r="B459" s="2986">
        <v>426</v>
      </c>
      <c r="C459" s="2987" t="s">
        <v>3482</v>
      </c>
      <c r="D459" s="2987" t="s">
        <v>3594</v>
      </c>
      <c r="E459" s="2987" t="s">
        <v>3856</v>
      </c>
      <c r="F459" s="2987">
        <v>2</v>
      </c>
      <c r="G459" s="2987">
        <v>102</v>
      </c>
      <c r="H459" s="2987" t="s">
        <v>3926</v>
      </c>
      <c r="I459" s="2987" t="s">
        <v>3486</v>
      </c>
      <c r="J459" s="2987" t="s">
        <v>3599</v>
      </c>
      <c r="K459" s="2988">
        <v>96.34</v>
      </c>
    </row>
    <row r="460" spans="2:11" ht="18" customHeight="1">
      <c r="B460" s="2986">
        <v>427</v>
      </c>
      <c r="C460" s="2987" t="s">
        <v>3482</v>
      </c>
      <c r="D460" s="2987" t="s">
        <v>3594</v>
      </c>
      <c r="E460" s="2987" t="s">
        <v>3856</v>
      </c>
      <c r="F460" s="2987">
        <v>2</v>
      </c>
      <c r="G460" s="2987">
        <v>103</v>
      </c>
      <c r="H460" s="2987" t="s">
        <v>3927</v>
      </c>
      <c r="I460" s="2987" t="s">
        <v>3486</v>
      </c>
      <c r="J460" s="2987" t="s">
        <v>3599</v>
      </c>
      <c r="K460" s="2988">
        <v>96.34</v>
      </c>
    </row>
    <row r="461" spans="2:11" ht="18" customHeight="1">
      <c r="B461" s="2986">
        <v>428</v>
      </c>
      <c r="C461" s="2987" t="s">
        <v>3482</v>
      </c>
      <c r="D461" s="2987" t="s">
        <v>3594</v>
      </c>
      <c r="E461" s="2987" t="s">
        <v>3856</v>
      </c>
      <c r="F461" s="2987">
        <v>2</v>
      </c>
      <c r="G461" s="2987">
        <v>104</v>
      </c>
      <c r="H461" s="2987" t="s">
        <v>3928</v>
      </c>
      <c r="I461" s="2987" t="s">
        <v>3486</v>
      </c>
      <c r="J461" s="2987" t="s">
        <v>3597</v>
      </c>
      <c r="K461" s="2988">
        <v>128.47999999999999</v>
      </c>
    </row>
    <row r="462" spans="2:11" ht="18" customHeight="1">
      <c r="B462" s="2986">
        <v>429</v>
      </c>
      <c r="C462" s="2987" t="s">
        <v>3482</v>
      </c>
      <c r="D462" s="2987" t="s">
        <v>3594</v>
      </c>
      <c r="E462" s="2987" t="s">
        <v>3856</v>
      </c>
      <c r="F462" s="2987">
        <v>2</v>
      </c>
      <c r="G462" s="2987">
        <v>1101</v>
      </c>
      <c r="H462" s="2987" t="s">
        <v>3929</v>
      </c>
      <c r="I462" s="2987" t="s">
        <v>3486</v>
      </c>
      <c r="J462" s="2987" t="s">
        <v>3602</v>
      </c>
      <c r="K462" s="2988">
        <v>111.2</v>
      </c>
    </row>
    <row r="463" spans="2:11" ht="18" customHeight="1">
      <c r="B463" s="2986">
        <v>430</v>
      </c>
      <c r="C463" s="2987" t="s">
        <v>3482</v>
      </c>
      <c r="D463" s="2987" t="s">
        <v>3594</v>
      </c>
      <c r="E463" s="2987" t="s">
        <v>3856</v>
      </c>
      <c r="F463" s="2987">
        <v>2</v>
      </c>
      <c r="G463" s="2987">
        <v>1102</v>
      </c>
      <c r="H463" s="2987" t="s">
        <v>3930</v>
      </c>
      <c r="I463" s="2987" t="s">
        <v>3486</v>
      </c>
      <c r="J463" s="2987" t="s">
        <v>3599</v>
      </c>
      <c r="K463" s="2988">
        <v>96.34</v>
      </c>
    </row>
    <row r="464" spans="2:11" ht="18" customHeight="1">
      <c r="B464" s="2986">
        <v>431</v>
      </c>
      <c r="C464" s="2987" t="s">
        <v>3482</v>
      </c>
      <c r="D464" s="2987" t="s">
        <v>3594</v>
      </c>
      <c r="E464" s="2987" t="s">
        <v>3856</v>
      </c>
      <c r="F464" s="2987">
        <v>2</v>
      </c>
      <c r="G464" s="2987">
        <v>1103</v>
      </c>
      <c r="H464" s="2987" t="s">
        <v>3931</v>
      </c>
      <c r="I464" s="2987" t="s">
        <v>3486</v>
      </c>
      <c r="J464" s="2987" t="s">
        <v>3599</v>
      </c>
      <c r="K464" s="2988">
        <v>96.34</v>
      </c>
    </row>
    <row r="465" spans="2:11" ht="18" customHeight="1">
      <c r="B465" s="2986">
        <v>432</v>
      </c>
      <c r="C465" s="2987" t="s">
        <v>3482</v>
      </c>
      <c r="D465" s="2987" t="s">
        <v>3594</v>
      </c>
      <c r="E465" s="2987" t="s">
        <v>3856</v>
      </c>
      <c r="F465" s="2987">
        <v>2</v>
      </c>
      <c r="G465" s="2987">
        <v>1104</v>
      </c>
      <c r="H465" s="2987" t="s">
        <v>3932</v>
      </c>
      <c r="I465" s="2987" t="s">
        <v>3486</v>
      </c>
      <c r="J465" s="2987" t="s">
        <v>3597</v>
      </c>
      <c r="K465" s="2988">
        <v>128.47999999999999</v>
      </c>
    </row>
    <row r="466" spans="2:11" ht="18" customHeight="1">
      <c r="B466" s="2986">
        <v>433</v>
      </c>
      <c r="C466" s="2987" t="s">
        <v>3482</v>
      </c>
      <c r="D466" s="2987" t="s">
        <v>3594</v>
      </c>
      <c r="E466" s="2987" t="s">
        <v>3856</v>
      </c>
      <c r="F466" s="2987">
        <v>2</v>
      </c>
      <c r="G466" s="2987">
        <v>1201</v>
      </c>
      <c r="H466" s="2987" t="s">
        <v>3933</v>
      </c>
      <c r="I466" s="2987" t="s">
        <v>3486</v>
      </c>
      <c r="J466" s="2987" t="s">
        <v>3602</v>
      </c>
      <c r="K466" s="2988">
        <v>111.2</v>
      </c>
    </row>
    <row r="467" spans="2:11" ht="18" customHeight="1">
      <c r="B467" s="2986">
        <v>434</v>
      </c>
      <c r="C467" s="2987" t="s">
        <v>3482</v>
      </c>
      <c r="D467" s="2987" t="s">
        <v>3594</v>
      </c>
      <c r="E467" s="2987" t="s">
        <v>3856</v>
      </c>
      <c r="F467" s="2987">
        <v>2</v>
      </c>
      <c r="G467" s="2987">
        <v>1202</v>
      </c>
      <c r="H467" s="2987" t="s">
        <v>3934</v>
      </c>
      <c r="I467" s="2987" t="s">
        <v>3486</v>
      </c>
      <c r="J467" s="2987" t="s">
        <v>3599</v>
      </c>
      <c r="K467" s="2988">
        <v>96.34</v>
      </c>
    </row>
    <row r="468" spans="2:11" ht="18" customHeight="1">
      <c r="B468" s="2986">
        <v>435</v>
      </c>
      <c r="C468" s="2987" t="s">
        <v>3482</v>
      </c>
      <c r="D468" s="2987" t="s">
        <v>3594</v>
      </c>
      <c r="E468" s="2987" t="s">
        <v>3856</v>
      </c>
      <c r="F468" s="2987">
        <v>2</v>
      </c>
      <c r="G468" s="2987">
        <v>1203</v>
      </c>
      <c r="H468" s="2987" t="s">
        <v>3935</v>
      </c>
      <c r="I468" s="2987" t="s">
        <v>3486</v>
      </c>
      <c r="J468" s="2987" t="s">
        <v>3599</v>
      </c>
      <c r="K468" s="2988">
        <v>96.34</v>
      </c>
    </row>
    <row r="469" spans="2:11" ht="18" customHeight="1">
      <c r="B469" s="2986">
        <v>436</v>
      </c>
      <c r="C469" s="2987" t="s">
        <v>3482</v>
      </c>
      <c r="D469" s="2987" t="s">
        <v>3594</v>
      </c>
      <c r="E469" s="2987" t="s">
        <v>3856</v>
      </c>
      <c r="F469" s="2987">
        <v>2</v>
      </c>
      <c r="G469" s="2987">
        <v>1204</v>
      </c>
      <c r="H469" s="2987" t="s">
        <v>3936</v>
      </c>
      <c r="I469" s="2987" t="s">
        <v>3486</v>
      </c>
      <c r="J469" s="2987" t="s">
        <v>3597</v>
      </c>
      <c r="K469" s="2988">
        <v>128.47999999999999</v>
      </c>
    </row>
    <row r="470" spans="2:11" ht="18" customHeight="1">
      <c r="B470" s="2986">
        <v>437</v>
      </c>
      <c r="C470" s="2987" t="s">
        <v>3482</v>
      </c>
      <c r="D470" s="2987" t="s">
        <v>3594</v>
      </c>
      <c r="E470" s="2987" t="s">
        <v>3856</v>
      </c>
      <c r="F470" s="2987">
        <v>2</v>
      </c>
      <c r="G470" s="2987">
        <v>1301</v>
      </c>
      <c r="H470" s="2987" t="s">
        <v>3937</v>
      </c>
      <c r="I470" s="2987" t="s">
        <v>3486</v>
      </c>
      <c r="J470" s="2987" t="s">
        <v>3602</v>
      </c>
      <c r="K470" s="2988">
        <v>111.2</v>
      </c>
    </row>
    <row r="471" spans="2:11" ht="18" customHeight="1">
      <c r="B471" s="2986">
        <v>438</v>
      </c>
      <c r="C471" s="2987" t="s">
        <v>3482</v>
      </c>
      <c r="D471" s="2987" t="s">
        <v>3594</v>
      </c>
      <c r="E471" s="2987" t="s">
        <v>3856</v>
      </c>
      <c r="F471" s="2987">
        <v>2</v>
      </c>
      <c r="G471" s="2987">
        <v>1302</v>
      </c>
      <c r="H471" s="2987" t="s">
        <v>3938</v>
      </c>
      <c r="I471" s="2987" t="s">
        <v>3486</v>
      </c>
      <c r="J471" s="2987" t="s">
        <v>3599</v>
      </c>
      <c r="K471" s="2988">
        <v>96.34</v>
      </c>
    </row>
    <row r="472" spans="2:11" ht="18" customHeight="1">
      <c r="B472" s="2986">
        <v>439</v>
      </c>
      <c r="C472" s="2987" t="s">
        <v>3482</v>
      </c>
      <c r="D472" s="2987" t="s">
        <v>3594</v>
      </c>
      <c r="E472" s="2987" t="s">
        <v>3856</v>
      </c>
      <c r="F472" s="2987">
        <v>2</v>
      </c>
      <c r="G472" s="2987">
        <v>1303</v>
      </c>
      <c r="H472" s="2987" t="s">
        <v>3939</v>
      </c>
      <c r="I472" s="2987" t="s">
        <v>3486</v>
      </c>
      <c r="J472" s="2987" t="s">
        <v>3599</v>
      </c>
      <c r="K472" s="2988">
        <v>96.34</v>
      </c>
    </row>
    <row r="473" spans="2:11" ht="18" customHeight="1">
      <c r="B473" s="2986">
        <v>440</v>
      </c>
      <c r="C473" s="2987" t="s">
        <v>3482</v>
      </c>
      <c r="D473" s="2987" t="s">
        <v>3594</v>
      </c>
      <c r="E473" s="2987" t="s">
        <v>3856</v>
      </c>
      <c r="F473" s="2987">
        <v>2</v>
      </c>
      <c r="G473" s="2987">
        <v>1304</v>
      </c>
      <c r="H473" s="2987" t="s">
        <v>3940</v>
      </c>
      <c r="I473" s="2987" t="s">
        <v>3486</v>
      </c>
      <c r="J473" s="2987" t="s">
        <v>3597</v>
      </c>
      <c r="K473" s="2988">
        <v>128.47999999999999</v>
      </c>
    </row>
    <row r="474" spans="2:11" ht="18" customHeight="1">
      <c r="B474" s="2986">
        <v>441</v>
      </c>
      <c r="C474" s="2987" t="s">
        <v>3482</v>
      </c>
      <c r="D474" s="2987" t="s">
        <v>3594</v>
      </c>
      <c r="E474" s="2987" t="s">
        <v>3856</v>
      </c>
      <c r="F474" s="2987">
        <v>2</v>
      </c>
      <c r="G474" s="2987">
        <v>1401</v>
      </c>
      <c r="H474" s="2987" t="s">
        <v>3941</v>
      </c>
      <c r="I474" s="2987" t="s">
        <v>3486</v>
      </c>
      <c r="J474" s="2987" t="s">
        <v>3602</v>
      </c>
      <c r="K474" s="2988">
        <v>111.2</v>
      </c>
    </row>
    <row r="475" spans="2:11" ht="18" customHeight="1">
      <c r="B475" s="2986">
        <v>442</v>
      </c>
      <c r="C475" s="2987" t="s">
        <v>3482</v>
      </c>
      <c r="D475" s="2987" t="s">
        <v>3594</v>
      </c>
      <c r="E475" s="2987" t="s">
        <v>3856</v>
      </c>
      <c r="F475" s="2987">
        <v>2</v>
      </c>
      <c r="G475" s="2987">
        <v>1402</v>
      </c>
      <c r="H475" s="2987" t="s">
        <v>3942</v>
      </c>
      <c r="I475" s="2987" t="s">
        <v>3486</v>
      </c>
      <c r="J475" s="2987" t="s">
        <v>3599</v>
      </c>
      <c r="K475" s="2988">
        <v>96.34</v>
      </c>
    </row>
    <row r="476" spans="2:11" ht="18" customHeight="1">
      <c r="B476" s="2986">
        <v>443</v>
      </c>
      <c r="C476" s="2987" t="s">
        <v>3482</v>
      </c>
      <c r="D476" s="2987" t="s">
        <v>3594</v>
      </c>
      <c r="E476" s="2987" t="s">
        <v>3856</v>
      </c>
      <c r="F476" s="2987">
        <v>2</v>
      </c>
      <c r="G476" s="2987">
        <v>1403</v>
      </c>
      <c r="H476" s="2987" t="s">
        <v>3943</v>
      </c>
      <c r="I476" s="2987" t="s">
        <v>3486</v>
      </c>
      <c r="J476" s="2987" t="s">
        <v>3599</v>
      </c>
      <c r="K476" s="2988">
        <v>96.34</v>
      </c>
    </row>
    <row r="477" spans="2:11" ht="18" customHeight="1">
      <c r="B477" s="2986">
        <v>444</v>
      </c>
      <c r="C477" s="2987" t="s">
        <v>3482</v>
      </c>
      <c r="D477" s="2987" t="s">
        <v>3594</v>
      </c>
      <c r="E477" s="2987" t="s">
        <v>3856</v>
      </c>
      <c r="F477" s="2987">
        <v>2</v>
      </c>
      <c r="G477" s="2987">
        <v>1404</v>
      </c>
      <c r="H477" s="2987" t="s">
        <v>3944</v>
      </c>
      <c r="I477" s="2987" t="s">
        <v>3486</v>
      </c>
      <c r="J477" s="2987" t="s">
        <v>3597</v>
      </c>
      <c r="K477" s="2988">
        <v>128.47999999999999</v>
      </c>
    </row>
    <row r="478" spans="2:11" ht="18" customHeight="1">
      <c r="B478" s="2986">
        <v>445</v>
      </c>
      <c r="C478" s="2987" t="s">
        <v>3482</v>
      </c>
      <c r="D478" s="2987" t="s">
        <v>3594</v>
      </c>
      <c r="E478" s="2987" t="s">
        <v>3856</v>
      </c>
      <c r="F478" s="2987">
        <v>2</v>
      </c>
      <c r="G478" s="2987">
        <v>1501</v>
      </c>
      <c r="H478" s="2987" t="s">
        <v>3945</v>
      </c>
      <c r="I478" s="2987" t="s">
        <v>3486</v>
      </c>
      <c r="J478" s="2987" t="s">
        <v>3602</v>
      </c>
      <c r="K478" s="2988">
        <v>111.2</v>
      </c>
    </row>
    <row r="479" spans="2:11" ht="18" customHeight="1">
      <c r="B479" s="2986">
        <v>446</v>
      </c>
      <c r="C479" s="2987" t="s">
        <v>3482</v>
      </c>
      <c r="D479" s="2987" t="s">
        <v>3594</v>
      </c>
      <c r="E479" s="2987" t="s">
        <v>3856</v>
      </c>
      <c r="F479" s="2987">
        <v>2</v>
      </c>
      <c r="G479" s="2987">
        <v>1502</v>
      </c>
      <c r="H479" s="2987" t="s">
        <v>3946</v>
      </c>
      <c r="I479" s="2987" t="s">
        <v>3486</v>
      </c>
      <c r="J479" s="2987" t="s">
        <v>3599</v>
      </c>
      <c r="K479" s="2988">
        <v>96.34</v>
      </c>
    </row>
    <row r="480" spans="2:11" ht="18" customHeight="1">
      <c r="B480" s="2986">
        <v>447</v>
      </c>
      <c r="C480" s="2987" t="s">
        <v>3482</v>
      </c>
      <c r="D480" s="2987" t="s">
        <v>3594</v>
      </c>
      <c r="E480" s="2987" t="s">
        <v>3856</v>
      </c>
      <c r="F480" s="2987">
        <v>2</v>
      </c>
      <c r="G480" s="2987">
        <v>1503</v>
      </c>
      <c r="H480" s="2987" t="s">
        <v>3947</v>
      </c>
      <c r="I480" s="2987" t="s">
        <v>3486</v>
      </c>
      <c r="J480" s="2987" t="s">
        <v>3599</v>
      </c>
      <c r="K480" s="2988">
        <v>96.34</v>
      </c>
    </row>
    <row r="481" spans="2:11" ht="18" customHeight="1">
      <c r="B481" s="2986">
        <v>448</v>
      </c>
      <c r="C481" s="2987" t="s">
        <v>3482</v>
      </c>
      <c r="D481" s="2987" t="s">
        <v>3594</v>
      </c>
      <c r="E481" s="2987" t="s">
        <v>3856</v>
      </c>
      <c r="F481" s="2987">
        <v>2</v>
      </c>
      <c r="G481" s="2987">
        <v>1504</v>
      </c>
      <c r="H481" s="2987" t="s">
        <v>3948</v>
      </c>
      <c r="I481" s="2987" t="s">
        <v>3486</v>
      </c>
      <c r="J481" s="2987" t="s">
        <v>3597</v>
      </c>
      <c r="K481" s="2988">
        <v>128.47999999999999</v>
      </c>
    </row>
    <row r="482" spans="2:11" ht="18" customHeight="1">
      <c r="B482" s="2986">
        <v>449</v>
      </c>
      <c r="C482" s="2987" t="s">
        <v>3482</v>
      </c>
      <c r="D482" s="2987" t="s">
        <v>3594</v>
      </c>
      <c r="E482" s="2987" t="s">
        <v>3856</v>
      </c>
      <c r="F482" s="2987">
        <v>2</v>
      </c>
      <c r="G482" s="2987">
        <v>1601</v>
      </c>
      <c r="H482" s="2987" t="s">
        <v>3949</v>
      </c>
      <c r="I482" s="2987" t="s">
        <v>3486</v>
      </c>
      <c r="J482" s="2987" t="s">
        <v>3602</v>
      </c>
      <c r="K482" s="2988">
        <v>111.2</v>
      </c>
    </row>
    <row r="483" spans="2:11" ht="18" customHeight="1">
      <c r="B483" s="2986">
        <v>450</v>
      </c>
      <c r="C483" s="2987" t="s">
        <v>3482</v>
      </c>
      <c r="D483" s="2987" t="s">
        <v>3594</v>
      </c>
      <c r="E483" s="2987" t="s">
        <v>3856</v>
      </c>
      <c r="F483" s="2987">
        <v>2</v>
      </c>
      <c r="G483" s="2987">
        <v>1602</v>
      </c>
      <c r="H483" s="2987" t="s">
        <v>3950</v>
      </c>
      <c r="I483" s="2987" t="s">
        <v>3486</v>
      </c>
      <c r="J483" s="2987" t="s">
        <v>3599</v>
      </c>
      <c r="K483" s="2988">
        <v>96.34</v>
      </c>
    </row>
    <row r="484" spans="2:11" ht="18" customHeight="1">
      <c r="B484" s="2986">
        <v>451</v>
      </c>
      <c r="C484" s="2987" t="s">
        <v>3482</v>
      </c>
      <c r="D484" s="2987" t="s">
        <v>3594</v>
      </c>
      <c r="E484" s="2987" t="s">
        <v>3856</v>
      </c>
      <c r="F484" s="2987">
        <v>2</v>
      </c>
      <c r="G484" s="2987">
        <v>1603</v>
      </c>
      <c r="H484" s="2987" t="s">
        <v>3951</v>
      </c>
      <c r="I484" s="2987" t="s">
        <v>3486</v>
      </c>
      <c r="J484" s="2987" t="s">
        <v>3599</v>
      </c>
      <c r="K484" s="2988">
        <v>96.34</v>
      </c>
    </row>
    <row r="485" spans="2:11" ht="18" customHeight="1">
      <c r="B485" s="2986">
        <v>452</v>
      </c>
      <c r="C485" s="2987" t="s">
        <v>3482</v>
      </c>
      <c r="D485" s="2987" t="s">
        <v>3594</v>
      </c>
      <c r="E485" s="2987" t="s">
        <v>3856</v>
      </c>
      <c r="F485" s="2987">
        <v>2</v>
      </c>
      <c r="G485" s="2987">
        <v>1604</v>
      </c>
      <c r="H485" s="2987" t="s">
        <v>3952</v>
      </c>
      <c r="I485" s="2987" t="s">
        <v>3486</v>
      </c>
      <c r="J485" s="2987" t="s">
        <v>3597</v>
      </c>
      <c r="K485" s="2988">
        <v>128.47999999999999</v>
      </c>
    </row>
    <row r="486" spans="2:11" ht="18" customHeight="1">
      <c r="B486" s="2986">
        <v>453</v>
      </c>
      <c r="C486" s="2987" t="s">
        <v>3482</v>
      </c>
      <c r="D486" s="2987" t="s">
        <v>3594</v>
      </c>
      <c r="E486" s="2987" t="s">
        <v>3856</v>
      </c>
      <c r="F486" s="2987">
        <v>2</v>
      </c>
      <c r="G486" s="2987">
        <v>201</v>
      </c>
      <c r="H486" s="2987" t="s">
        <v>3953</v>
      </c>
      <c r="I486" s="2987" t="s">
        <v>3486</v>
      </c>
      <c r="J486" s="2987" t="s">
        <v>3602</v>
      </c>
      <c r="K486" s="2988">
        <v>111.2</v>
      </c>
    </row>
    <row r="487" spans="2:11" ht="18" customHeight="1">
      <c r="B487" s="2986">
        <v>454</v>
      </c>
      <c r="C487" s="2987" t="s">
        <v>3482</v>
      </c>
      <c r="D487" s="2987" t="s">
        <v>3594</v>
      </c>
      <c r="E487" s="2987" t="s">
        <v>3856</v>
      </c>
      <c r="F487" s="2987">
        <v>2</v>
      </c>
      <c r="G487" s="2987">
        <v>202</v>
      </c>
      <c r="H487" s="2987" t="s">
        <v>3954</v>
      </c>
      <c r="I487" s="2987" t="s">
        <v>3486</v>
      </c>
      <c r="J487" s="2987" t="s">
        <v>3599</v>
      </c>
      <c r="K487" s="2988">
        <v>96.34</v>
      </c>
    </row>
    <row r="488" spans="2:11" ht="18" customHeight="1">
      <c r="B488" s="2986">
        <v>455</v>
      </c>
      <c r="C488" s="2987" t="s">
        <v>3482</v>
      </c>
      <c r="D488" s="2987" t="s">
        <v>3594</v>
      </c>
      <c r="E488" s="2987" t="s">
        <v>3856</v>
      </c>
      <c r="F488" s="2987">
        <v>2</v>
      </c>
      <c r="G488" s="2987">
        <v>203</v>
      </c>
      <c r="H488" s="2987" t="s">
        <v>3955</v>
      </c>
      <c r="I488" s="2987" t="s">
        <v>3486</v>
      </c>
      <c r="J488" s="2987" t="s">
        <v>3599</v>
      </c>
      <c r="K488" s="2988">
        <v>96.34</v>
      </c>
    </row>
    <row r="489" spans="2:11" ht="18" customHeight="1">
      <c r="B489" s="2986">
        <v>456</v>
      </c>
      <c r="C489" s="2987" t="s">
        <v>3482</v>
      </c>
      <c r="D489" s="2987" t="s">
        <v>3594</v>
      </c>
      <c r="E489" s="2987" t="s">
        <v>3856</v>
      </c>
      <c r="F489" s="2987">
        <v>2</v>
      </c>
      <c r="G489" s="2987">
        <v>204</v>
      </c>
      <c r="H489" s="2987" t="s">
        <v>3956</v>
      </c>
      <c r="I489" s="2987" t="s">
        <v>3486</v>
      </c>
      <c r="J489" s="2987" t="s">
        <v>3597</v>
      </c>
      <c r="K489" s="2988">
        <v>128.47999999999999</v>
      </c>
    </row>
    <row r="490" spans="2:11" ht="18" customHeight="1">
      <c r="B490" s="2986">
        <v>457</v>
      </c>
      <c r="C490" s="2987" t="s">
        <v>3482</v>
      </c>
      <c r="D490" s="2987" t="s">
        <v>3594</v>
      </c>
      <c r="E490" s="2987" t="s">
        <v>3856</v>
      </c>
      <c r="F490" s="2987">
        <v>2</v>
      </c>
      <c r="G490" s="2987">
        <v>301</v>
      </c>
      <c r="H490" s="2987" t="s">
        <v>3957</v>
      </c>
      <c r="I490" s="2987" t="s">
        <v>3486</v>
      </c>
      <c r="J490" s="2987" t="s">
        <v>3602</v>
      </c>
      <c r="K490" s="2988">
        <v>111.2</v>
      </c>
    </row>
    <row r="491" spans="2:11" ht="18" customHeight="1">
      <c r="B491" s="2986">
        <v>458</v>
      </c>
      <c r="C491" s="2987" t="s">
        <v>3482</v>
      </c>
      <c r="D491" s="2987" t="s">
        <v>3594</v>
      </c>
      <c r="E491" s="2987" t="s">
        <v>3856</v>
      </c>
      <c r="F491" s="2987">
        <v>2</v>
      </c>
      <c r="G491" s="2987">
        <v>302</v>
      </c>
      <c r="H491" s="2987" t="s">
        <v>3958</v>
      </c>
      <c r="I491" s="2987" t="s">
        <v>3486</v>
      </c>
      <c r="J491" s="2987" t="s">
        <v>3599</v>
      </c>
      <c r="K491" s="2988">
        <v>96.34</v>
      </c>
    </row>
    <row r="492" spans="2:11" ht="18" customHeight="1">
      <c r="B492" s="2986">
        <v>459</v>
      </c>
      <c r="C492" s="2987" t="s">
        <v>3482</v>
      </c>
      <c r="D492" s="2987" t="s">
        <v>3594</v>
      </c>
      <c r="E492" s="2987" t="s">
        <v>3856</v>
      </c>
      <c r="F492" s="2987">
        <v>2</v>
      </c>
      <c r="G492" s="2987">
        <v>303</v>
      </c>
      <c r="H492" s="2987" t="s">
        <v>3959</v>
      </c>
      <c r="I492" s="2987" t="s">
        <v>3486</v>
      </c>
      <c r="J492" s="2987" t="s">
        <v>3599</v>
      </c>
      <c r="K492" s="2988">
        <v>96.34</v>
      </c>
    </row>
    <row r="493" spans="2:11" ht="18" customHeight="1">
      <c r="B493" s="2986">
        <v>460</v>
      </c>
      <c r="C493" s="2987" t="s">
        <v>3482</v>
      </c>
      <c r="D493" s="2987" t="s">
        <v>3594</v>
      </c>
      <c r="E493" s="2987" t="s">
        <v>3856</v>
      </c>
      <c r="F493" s="2987">
        <v>2</v>
      </c>
      <c r="G493" s="2987">
        <v>304</v>
      </c>
      <c r="H493" s="2987" t="s">
        <v>3960</v>
      </c>
      <c r="I493" s="2987" t="s">
        <v>3486</v>
      </c>
      <c r="J493" s="2987" t="s">
        <v>3597</v>
      </c>
      <c r="K493" s="2988">
        <v>128.47999999999999</v>
      </c>
    </row>
    <row r="494" spans="2:11" ht="18" customHeight="1">
      <c r="B494" s="2986">
        <v>461</v>
      </c>
      <c r="C494" s="2987" t="s">
        <v>3482</v>
      </c>
      <c r="D494" s="2987" t="s">
        <v>3594</v>
      </c>
      <c r="E494" s="2987" t="s">
        <v>3856</v>
      </c>
      <c r="F494" s="2987">
        <v>2</v>
      </c>
      <c r="G494" s="2987">
        <v>401</v>
      </c>
      <c r="H494" s="2987" t="s">
        <v>3961</v>
      </c>
      <c r="I494" s="2987" t="s">
        <v>3486</v>
      </c>
      <c r="J494" s="2987" t="s">
        <v>3602</v>
      </c>
      <c r="K494" s="2988">
        <v>111.2</v>
      </c>
    </row>
    <row r="495" spans="2:11" ht="18" customHeight="1">
      <c r="B495" s="2986">
        <v>462</v>
      </c>
      <c r="C495" s="2987" t="s">
        <v>3482</v>
      </c>
      <c r="D495" s="2987" t="s">
        <v>3594</v>
      </c>
      <c r="E495" s="2987" t="s">
        <v>3856</v>
      </c>
      <c r="F495" s="2987">
        <v>2</v>
      </c>
      <c r="G495" s="2987">
        <v>402</v>
      </c>
      <c r="H495" s="2987" t="s">
        <v>3962</v>
      </c>
      <c r="I495" s="2987" t="s">
        <v>3486</v>
      </c>
      <c r="J495" s="2987" t="s">
        <v>3599</v>
      </c>
      <c r="K495" s="2988">
        <v>96.34</v>
      </c>
    </row>
    <row r="496" spans="2:11" ht="18" customHeight="1">
      <c r="B496" s="2986">
        <v>463</v>
      </c>
      <c r="C496" s="2987" t="s">
        <v>3482</v>
      </c>
      <c r="D496" s="2987" t="s">
        <v>3594</v>
      </c>
      <c r="E496" s="2987" t="s">
        <v>3856</v>
      </c>
      <c r="F496" s="2987">
        <v>2</v>
      </c>
      <c r="G496" s="2987">
        <v>403</v>
      </c>
      <c r="H496" s="2987" t="s">
        <v>3963</v>
      </c>
      <c r="I496" s="2987" t="s">
        <v>3486</v>
      </c>
      <c r="J496" s="2987" t="s">
        <v>3599</v>
      </c>
      <c r="K496" s="2988">
        <v>96.34</v>
      </c>
    </row>
    <row r="497" spans="2:11" ht="18" customHeight="1">
      <c r="B497" s="2986">
        <v>464</v>
      </c>
      <c r="C497" s="2987" t="s">
        <v>3482</v>
      </c>
      <c r="D497" s="2987" t="s">
        <v>3594</v>
      </c>
      <c r="E497" s="2987" t="s">
        <v>3856</v>
      </c>
      <c r="F497" s="2987">
        <v>2</v>
      </c>
      <c r="G497" s="2987">
        <v>404</v>
      </c>
      <c r="H497" s="2987" t="s">
        <v>3964</v>
      </c>
      <c r="I497" s="2987" t="s">
        <v>3486</v>
      </c>
      <c r="J497" s="2987" t="s">
        <v>3597</v>
      </c>
      <c r="K497" s="2988">
        <v>128.47999999999999</v>
      </c>
    </row>
    <row r="498" spans="2:11" ht="18" customHeight="1">
      <c r="B498" s="2986">
        <v>465</v>
      </c>
      <c r="C498" s="2987" t="s">
        <v>3482</v>
      </c>
      <c r="D498" s="2987" t="s">
        <v>3594</v>
      </c>
      <c r="E498" s="2987" t="s">
        <v>3856</v>
      </c>
      <c r="F498" s="2987">
        <v>2</v>
      </c>
      <c r="G498" s="2987">
        <v>501</v>
      </c>
      <c r="H498" s="2987" t="s">
        <v>3965</v>
      </c>
      <c r="I498" s="2987" t="s">
        <v>3486</v>
      </c>
      <c r="J498" s="2987" t="s">
        <v>3602</v>
      </c>
      <c r="K498" s="2988">
        <v>111.2</v>
      </c>
    </row>
    <row r="499" spans="2:11" ht="18" customHeight="1">
      <c r="B499" s="2986">
        <v>466</v>
      </c>
      <c r="C499" s="2987" t="s">
        <v>3482</v>
      </c>
      <c r="D499" s="2987" t="s">
        <v>3594</v>
      </c>
      <c r="E499" s="2987" t="s">
        <v>3856</v>
      </c>
      <c r="F499" s="2987">
        <v>2</v>
      </c>
      <c r="G499" s="2987">
        <v>502</v>
      </c>
      <c r="H499" s="2987" t="s">
        <v>3966</v>
      </c>
      <c r="I499" s="2987" t="s">
        <v>3486</v>
      </c>
      <c r="J499" s="2987" t="s">
        <v>3599</v>
      </c>
      <c r="K499" s="2988">
        <v>96.34</v>
      </c>
    </row>
    <row r="500" spans="2:11" ht="18" customHeight="1">
      <c r="B500" s="2986">
        <v>467</v>
      </c>
      <c r="C500" s="2987" t="s">
        <v>3482</v>
      </c>
      <c r="D500" s="2987" t="s">
        <v>3594</v>
      </c>
      <c r="E500" s="2987" t="s">
        <v>3856</v>
      </c>
      <c r="F500" s="2987">
        <v>2</v>
      </c>
      <c r="G500" s="2987">
        <v>503</v>
      </c>
      <c r="H500" s="2987" t="s">
        <v>3967</v>
      </c>
      <c r="I500" s="2987" t="s">
        <v>3486</v>
      </c>
      <c r="J500" s="2987" t="s">
        <v>3599</v>
      </c>
      <c r="K500" s="2988">
        <v>96.34</v>
      </c>
    </row>
    <row r="501" spans="2:11" ht="18" customHeight="1">
      <c r="B501" s="2986">
        <v>468</v>
      </c>
      <c r="C501" s="2987" t="s">
        <v>3482</v>
      </c>
      <c r="D501" s="2987" t="s">
        <v>3594</v>
      </c>
      <c r="E501" s="2987" t="s">
        <v>3856</v>
      </c>
      <c r="F501" s="2987">
        <v>2</v>
      </c>
      <c r="G501" s="2987">
        <v>504</v>
      </c>
      <c r="H501" s="2987" t="s">
        <v>3968</v>
      </c>
      <c r="I501" s="2987" t="s">
        <v>3486</v>
      </c>
      <c r="J501" s="2987" t="s">
        <v>3597</v>
      </c>
      <c r="K501" s="2988">
        <v>128.47999999999999</v>
      </c>
    </row>
    <row r="502" spans="2:11" ht="18" customHeight="1">
      <c r="B502" s="2986">
        <v>469</v>
      </c>
      <c r="C502" s="2987" t="s">
        <v>3482</v>
      </c>
      <c r="D502" s="2987" t="s">
        <v>3594</v>
      </c>
      <c r="E502" s="2987" t="s">
        <v>3856</v>
      </c>
      <c r="F502" s="2987">
        <v>2</v>
      </c>
      <c r="G502" s="2987">
        <v>601</v>
      </c>
      <c r="H502" s="2987" t="s">
        <v>3969</v>
      </c>
      <c r="I502" s="2987" t="s">
        <v>3486</v>
      </c>
      <c r="J502" s="2987" t="s">
        <v>3602</v>
      </c>
      <c r="K502" s="2988">
        <v>111.2</v>
      </c>
    </row>
    <row r="503" spans="2:11" ht="18" customHeight="1">
      <c r="B503" s="2986">
        <v>470</v>
      </c>
      <c r="C503" s="2987" t="s">
        <v>3482</v>
      </c>
      <c r="D503" s="2987" t="s">
        <v>3594</v>
      </c>
      <c r="E503" s="2987" t="s">
        <v>3856</v>
      </c>
      <c r="F503" s="2987">
        <v>2</v>
      </c>
      <c r="G503" s="2987">
        <v>602</v>
      </c>
      <c r="H503" s="2987" t="s">
        <v>3970</v>
      </c>
      <c r="I503" s="2987" t="s">
        <v>3486</v>
      </c>
      <c r="J503" s="2987" t="s">
        <v>3599</v>
      </c>
      <c r="K503" s="2988">
        <v>96.34</v>
      </c>
    </row>
    <row r="504" spans="2:11" ht="18" customHeight="1">
      <c r="B504" s="2986">
        <v>471</v>
      </c>
      <c r="C504" s="2987" t="s">
        <v>3482</v>
      </c>
      <c r="D504" s="2987" t="s">
        <v>3594</v>
      </c>
      <c r="E504" s="2987" t="s">
        <v>3856</v>
      </c>
      <c r="F504" s="2987">
        <v>2</v>
      </c>
      <c r="G504" s="2987">
        <v>603</v>
      </c>
      <c r="H504" s="2987" t="s">
        <v>3971</v>
      </c>
      <c r="I504" s="2987" t="s">
        <v>3486</v>
      </c>
      <c r="J504" s="2987" t="s">
        <v>3599</v>
      </c>
      <c r="K504" s="2988">
        <v>96.34</v>
      </c>
    </row>
    <row r="505" spans="2:11" ht="18" customHeight="1">
      <c r="B505" s="2986">
        <v>472</v>
      </c>
      <c r="C505" s="2987" t="s">
        <v>3482</v>
      </c>
      <c r="D505" s="2987" t="s">
        <v>3594</v>
      </c>
      <c r="E505" s="2987" t="s">
        <v>3856</v>
      </c>
      <c r="F505" s="2987">
        <v>2</v>
      </c>
      <c r="G505" s="2987">
        <v>604</v>
      </c>
      <c r="H505" s="2987" t="s">
        <v>3972</v>
      </c>
      <c r="I505" s="2987" t="s">
        <v>3486</v>
      </c>
      <c r="J505" s="2987" t="s">
        <v>3597</v>
      </c>
      <c r="K505" s="2988">
        <v>128.47999999999999</v>
      </c>
    </row>
    <row r="506" spans="2:11" ht="18" customHeight="1">
      <c r="B506" s="2986">
        <v>473</v>
      </c>
      <c r="C506" s="2987" t="s">
        <v>3482</v>
      </c>
      <c r="D506" s="2987" t="s">
        <v>3594</v>
      </c>
      <c r="E506" s="2987" t="s">
        <v>3856</v>
      </c>
      <c r="F506" s="2987">
        <v>2</v>
      </c>
      <c r="G506" s="2987">
        <v>701</v>
      </c>
      <c r="H506" s="2987" t="s">
        <v>3973</v>
      </c>
      <c r="I506" s="2987" t="s">
        <v>3486</v>
      </c>
      <c r="J506" s="2987" t="s">
        <v>3602</v>
      </c>
      <c r="K506" s="2988">
        <v>111.2</v>
      </c>
    </row>
    <row r="507" spans="2:11" ht="18" customHeight="1">
      <c r="B507" s="2986">
        <v>474</v>
      </c>
      <c r="C507" s="2987" t="s">
        <v>3482</v>
      </c>
      <c r="D507" s="2987" t="s">
        <v>3594</v>
      </c>
      <c r="E507" s="2987" t="s">
        <v>3856</v>
      </c>
      <c r="F507" s="2987">
        <v>2</v>
      </c>
      <c r="G507" s="2987">
        <v>702</v>
      </c>
      <c r="H507" s="2987" t="s">
        <v>3974</v>
      </c>
      <c r="I507" s="2987" t="s">
        <v>3486</v>
      </c>
      <c r="J507" s="2987" t="s">
        <v>3599</v>
      </c>
      <c r="K507" s="2988">
        <v>96.34</v>
      </c>
    </row>
    <row r="508" spans="2:11" ht="18" customHeight="1">
      <c r="B508" s="2986">
        <v>475</v>
      </c>
      <c r="C508" s="2987" t="s">
        <v>3482</v>
      </c>
      <c r="D508" s="2987" t="s">
        <v>3594</v>
      </c>
      <c r="E508" s="2987" t="s">
        <v>3856</v>
      </c>
      <c r="F508" s="2987">
        <v>2</v>
      </c>
      <c r="G508" s="2987">
        <v>703</v>
      </c>
      <c r="H508" s="2987" t="s">
        <v>3975</v>
      </c>
      <c r="I508" s="2987" t="s">
        <v>3486</v>
      </c>
      <c r="J508" s="2987" t="s">
        <v>3599</v>
      </c>
      <c r="K508" s="2988">
        <v>96.34</v>
      </c>
    </row>
    <row r="509" spans="2:11" ht="18" customHeight="1">
      <c r="B509" s="2986">
        <v>476</v>
      </c>
      <c r="C509" s="2987" t="s">
        <v>3482</v>
      </c>
      <c r="D509" s="2987" t="s">
        <v>3594</v>
      </c>
      <c r="E509" s="2987" t="s">
        <v>3856</v>
      </c>
      <c r="F509" s="2987">
        <v>2</v>
      </c>
      <c r="G509" s="2987">
        <v>704</v>
      </c>
      <c r="H509" s="2987" t="s">
        <v>3976</v>
      </c>
      <c r="I509" s="2987" t="s">
        <v>3486</v>
      </c>
      <c r="J509" s="2987" t="s">
        <v>3597</v>
      </c>
      <c r="K509" s="2988">
        <v>128.47999999999999</v>
      </c>
    </row>
    <row r="510" spans="2:11" ht="18" customHeight="1">
      <c r="B510" s="2986">
        <v>477</v>
      </c>
      <c r="C510" s="2987" t="s">
        <v>3482</v>
      </c>
      <c r="D510" s="2987" t="s">
        <v>3594</v>
      </c>
      <c r="E510" s="2987" t="s">
        <v>3856</v>
      </c>
      <c r="F510" s="2987">
        <v>2</v>
      </c>
      <c r="G510" s="2987">
        <v>801</v>
      </c>
      <c r="H510" s="2987" t="s">
        <v>3977</v>
      </c>
      <c r="I510" s="2987" t="s">
        <v>3486</v>
      </c>
      <c r="J510" s="2987" t="s">
        <v>3602</v>
      </c>
      <c r="K510" s="2988">
        <v>111.2</v>
      </c>
    </row>
    <row r="511" spans="2:11" ht="18" customHeight="1">
      <c r="B511" s="2986">
        <v>478</v>
      </c>
      <c r="C511" s="2987" t="s">
        <v>3482</v>
      </c>
      <c r="D511" s="2987" t="s">
        <v>3594</v>
      </c>
      <c r="E511" s="2987" t="s">
        <v>3856</v>
      </c>
      <c r="F511" s="2987">
        <v>2</v>
      </c>
      <c r="G511" s="2987">
        <v>802</v>
      </c>
      <c r="H511" s="2987" t="s">
        <v>3978</v>
      </c>
      <c r="I511" s="2987" t="s">
        <v>3486</v>
      </c>
      <c r="J511" s="2987" t="s">
        <v>3599</v>
      </c>
      <c r="K511" s="2988">
        <v>96.34</v>
      </c>
    </row>
    <row r="512" spans="2:11" ht="18" customHeight="1">
      <c r="B512" s="2986">
        <v>479</v>
      </c>
      <c r="C512" s="2987" t="s">
        <v>3482</v>
      </c>
      <c r="D512" s="2987" t="s">
        <v>3594</v>
      </c>
      <c r="E512" s="2987" t="s">
        <v>3856</v>
      </c>
      <c r="F512" s="2987">
        <v>2</v>
      </c>
      <c r="G512" s="2987">
        <v>803</v>
      </c>
      <c r="H512" s="2987" t="s">
        <v>3979</v>
      </c>
      <c r="I512" s="2987" t="s">
        <v>3486</v>
      </c>
      <c r="J512" s="2987" t="s">
        <v>3599</v>
      </c>
      <c r="K512" s="2988">
        <v>96.34</v>
      </c>
    </row>
    <row r="513" spans="2:11" ht="18" customHeight="1">
      <c r="B513" s="2986">
        <v>480</v>
      </c>
      <c r="C513" s="2987" t="s">
        <v>3482</v>
      </c>
      <c r="D513" s="2987" t="s">
        <v>3594</v>
      </c>
      <c r="E513" s="2987" t="s">
        <v>3856</v>
      </c>
      <c r="F513" s="2987">
        <v>2</v>
      </c>
      <c r="G513" s="2987">
        <v>804</v>
      </c>
      <c r="H513" s="2987" t="s">
        <v>3980</v>
      </c>
      <c r="I513" s="2987" t="s">
        <v>3486</v>
      </c>
      <c r="J513" s="2987" t="s">
        <v>3597</v>
      </c>
      <c r="K513" s="2988">
        <v>128.47999999999999</v>
      </c>
    </row>
    <row r="514" spans="2:11" ht="18" customHeight="1">
      <c r="B514" s="2986">
        <v>481</v>
      </c>
      <c r="C514" s="2987" t="s">
        <v>3482</v>
      </c>
      <c r="D514" s="2987" t="s">
        <v>3594</v>
      </c>
      <c r="E514" s="2987" t="s">
        <v>3856</v>
      </c>
      <c r="F514" s="2987">
        <v>2</v>
      </c>
      <c r="G514" s="2987">
        <v>901</v>
      </c>
      <c r="H514" s="2987" t="s">
        <v>3981</v>
      </c>
      <c r="I514" s="2987" t="s">
        <v>3486</v>
      </c>
      <c r="J514" s="2987" t="s">
        <v>3602</v>
      </c>
      <c r="K514" s="2988">
        <v>111.2</v>
      </c>
    </row>
    <row r="515" spans="2:11" ht="18" customHeight="1">
      <c r="B515" s="2986">
        <v>482</v>
      </c>
      <c r="C515" s="2987" t="s">
        <v>3482</v>
      </c>
      <c r="D515" s="2987" t="s">
        <v>3594</v>
      </c>
      <c r="E515" s="2987" t="s">
        <v>3856</v>
      </c>
      <c r="F515" s="2987">
        <v>2</v>
      </c>
      <c r="G515" s="2987">
        <v>902</v>
      </c>
      <c r="H515" s="2987" t="s">
        <v>3982</v>
      </c>
      <c r="I515" s="2987" t="s">
        <v>3486</v>
      </c>
      <c r="J515" s="2987" t="s">
        <v>3599</v>
      </c>
      <c r="K515" s="2988">
        <v>96.34</v>
      </c>
    </row>
    <row r="516" spans="2:11" ht="18" customHeight="1">
      <c r="B516" s="2986">
        <v>483</v>
      </c>
      <c r="C516" s="2987" t="s">
        <v>3482</v>
      </c>
      <c r="D516" s="2987" t="s">
        <v>3594</v>
      </c>
      <c r="E516" s="2987" t="s">
        <v>3856</v>
      </c>
      <c r="F516" s="2987">
        <v>2</v>
      </c>
      <c r="G516" s="2987">
        <v>903</v>
      </c>
      <c r="H516" s="2987" t="s">
        <v>3983</v>
      </c>
      <c r="I516" s="2987" t="s">
        <v>3486</v>
      </c>
      <c r="J516" s="2987" t="s">
        <v>3599</v>
      </c>
      <c r="K516" s="2988">
        <v>96.34</v>
      </c>
    </row>
    <row r="517" spans="2:11" ht="18" customHeight="1">
      <c r="B517" s="2986">
        <v>484</v>
      </c>
      <c r="C517" s="2987" t="s">
        <v>3482</v>
      </c>
      <c r="D517" s="2987" t="s">
        <v>3594</v>
      </c>
      <c r="E517" s="2987" t="s">
        <v>3856</v>
      </c>
      <c r="F517" s="2987">
        <v>2</v>
      </c>
      <c r="G517" s="2987">
        <v>904</v>
      </c>
      <c r="H517" s="2987" t="s">
        <v>3984</v>
      </c>
      <c r="I517" s="2987" t="s">
        <v>3486</v>
      </c>
      <c r="J517" s="2987" t="s">
        <v>3597</v>
      </c>
      <c r="K517" s="2988">
        <v>128.47999999999999</v>
      </c>
    </row>
    <row r="518" spans="2:11" s="3021" customFormat="1" ht="18" customHeight="1">
      <c r="B518" s="3018"/>
      <c r="C518" s="3019"/>
      <c r="D518" s="3019"/>
      <c r="E518" s="3019"/>
      <c r="F518" s="3019"/>
      <c r="G518" s="3019"/>
      <c r="H518" s="3019"/>
      <c r="I518" s="3019"/>
      <c r="J518" s="3019"/>
      <c r="K518" s="3020">
        <f>SUM(K390:K517)</f>
        <v>13835.520000000006</v>
      </c>
    </row>
    <row r="519" spans="2:11" ht="18" customHeight="1">
      <c r="B519" s="2986">
        <v>485</v>
      </c>
      <c r="C519" s="2987" t="s">
        <v>3482</v>
      </c>
      <c r="D519" s="2987" t="s">
        <v>3594</v>
      </c>
      <c r="E519" s="2987" t="s">
        <v>3985</v>
      </c>
      <c r="F519" s="2987"/>
      <c r="G519" s="2987">
        <v>1001</v>
      </c>
      <c r="H519" s="2987" t="s">
        <v>3986</v>
      </c>
      <c r="I519" s="2987" t="s">
        <v>3486</v>
      </c>
      <c r="J519" s="2987" t="s">
        <v>3597</v>
      </c>
      <c r="K519" s="2988">
        <v>128.26</v>
      </c>
    </row>
    <row r="520" spans="2:11" ht="18" customHeight="1">
      <c r="B520" s="2986">
        <v>486</v>
      </c>
      <c r="C520" s="2987" t="s">
        <v>3482</v>
      </c>
      <c r="D520" s="2987" t="s">
        <v>3594</v>
      </c>
      <c r="E520" s="2987" t="s">
        <v>3985</v>
      </c>
      <c r="F520" s="2987"/>
      <c r="G520" s="2987">
        <v>1002</v>
      </c>
      <c r="H520" s="2987" t="s">
        <v>3987</v>
      </c>
      <c r="I520" s="2987" t="s">
        <v>3486</v>
      </c>
      <c r="J520" s="2987" t="s">
        <v>3599</v>
      </c>
      <c r="K520" s="2988">
        <v>96.17</v>
      </c>
    </row>
    <row r="521" spans="2:11" ht="18" customHeight="1">
      <c r="B521" s="2986">
        <v>487</v>
      </c>
      <c r="C521" s="2987" t="s">
        <v>3482</v>
      </c>
      <c r="D521" s="2987" t="s">
        <v>3594</v>
      </c>
      <c r="E521" s="2987" t="s">
        <v>3985</v>
      </c>
      <c r="F521" s="2987"/>
      <c r="G521" s="2987">
        <v>1003</v>
      </c>
      <c r="H521" s="2987" t="s">
        <v>3988</v>
      </c>
      <c r="I521" s="2987" t="s">
        <v>3486</v>
      </c>
      <c r="J521" s="2987" t="s">
        <v>3599</v>
      </c>
      <c r="K521" s="2988">
        <v>96.17</v>
      </c>
    </row>
    <row r="522" spans="2:11" ht="18" customHeight="1">
      <c r="B522" s="2986">
        <v>488</v>
      </c>
      <c r="C522" s="2987" t="s">
        <v>3482</v>
      </c>
      <c r="D522" s="2987" t="s">
        <v>3594</v>
      </c>
      <c r="E522" s="2987" t="s">
        <v>3985</v>
      </c>
      <c r="F522" s="2987"/>
      <c r="G522" s="2987">
        <v>1004</v>
      </c>
      <c r="H522" s="2987" t="s">
        <v>3989</v>
      </c>
      <c r="I522" s="2987" t="s">
        <v>3486</v>
      </c>
      <c r="J522" s="2987" t="s">
        <v>3602</v>
      </c>
      <c r="K522" s="2988">
        <v>111.02</v>
      </c>
    </row>
    <row r="523" spans="2:11" ht="18" customHeight="1">
      <c r="B523" s="2986">
        <v>489</v>
      </c>
      <c r="C523" s="2987" t="s">
        <v>3482</v>
      </c>
      <c r="D523" s="2987" t="s">
        <v>3594</v>
      </c>
      <c r="E523" s="2987" t="s">
        <v>3985</v>
      </c>
      <c r="F523" s="2987"/>
      <c r="G523" s="2987">
        <v>101</v>
      </c>
      <c r="H523" s="2987" t="s">
        <v>3990</v>
      </c>
      <c r="I523" s="2987" t="s">
        <v>3486</v>
      </c>
      <c r="J523" s="2987" t="s">
        <v>3597</v>
      </c>
      <c r="K523" s="2988">
        <v>128.26</v>
      </c>
    </row>
    <row r="524" spans="2:11" ht="18" customHeight="1">
      <c r="B524" s="2986">
        <v>490</v>
      </c>
      <c r="C524" s="2987" t="s">
        <v>3482</v>
      </c>
      <c r="D524" s="2987" t="s">
        <v>3594</v>
      </c>
      <c r="E524" s="2987" t="s">
        <v>3985</v>
      </c>
      <c r="F524" s="2987"/>
      <c r="G524" s="2987">
        <v>102</v>
      </c>
      <c r="H524" s="2987" t="s">
        <v>3991</v>
      </c>
      <c r="I524" s="2987" t="s">
        <v>3486</v>
      </c>
      <c r="J524" s="2987" t="s">
        <v>3599</v>
      </c>
      <c r="K524" s="2988">
        <v>96.17</v>
      </c>
    </row>
    <row r="525" spans="2:11" ht="18" customHeight="1">
      <c r="B525" s="2986">
        <v>491</v>
      </c>
      <c r="C525" s="2987" t="s">
        <v>3482</v>
      </c>
      <c r="D525" s="2987" t="s">
        <v>3594</v>
      </c>
      <c r="E525" s="2987" t="s">
        <v>3985</v>
      </c>
      <c r="F525" s="2987"/>
      <c r="G525" s="2987">
        <v>103</v>
      </c>
      <c r="H525" s="2987" t="s">
        <v>3992</v>
      </c>
      <c r="I525" s="2987" t="s">
        <v>3486</v>
      </c>
      <c r="J525" s="2987" t="s">
        <v>3599</v>
      </c>
      <c r="K525" s="2988">
        <v>96.17</v>
      </c>
    </row>
    <row r="526" spans="2:11" ht="18" customHeight="1">
      <c r="B526" s="2986">
        <v>492</v>
      </c>
      <c r="C526" s="2987" t="s">
        <v>3482</v>
      </c>
      <c r="D526" s="2987" t="s">
        <v>3594</v>
      </c>
      <c r="E526" s="2987" t="s">
        <v>3985</v>
      </c>
      <c r="F526" s="2987"/>
      <c r="G526" s="2987">
        <v>104</v>
      </c>
      <c r="H526" s="2987" t="s">
        <v>3993</v>
      </c>
      <c r="I526" s="2987" t="s">
        <v>3486</v>
      </c>
      <c r="J526" s="2987" t="s">
        <v>3602</v>
      </c>
      <c r="K526" s="2988">
        <v>111.02</v>
      </c>
    </row>
    <row r="527" spans="2:11" ht="18" customHeight="1">
      <c r="B527" s="2986">
        <v>493</v>
      </c>
      <c r="C527" s="2987" t="s">
        <v>3482</v>
      </c>
      <c r="D527" s="2987" t="s">
        <v>3594</v>
      </c>
      <c r="E527" s="2987" t="s">
        <v>3985</v>
      </c>
      <c r="F527" s="2987"/>
      <c r="G527" s="2987">
        <v>1101</v>
      </c>
      <c r="H527" s="2987" t="s">
        <v>3994</v>
      </c>
      <c r="I527" s="2987" t="s">
        <v>3486</v>
      </c>
      <c r="J527" s="2987" t="s">
        <v>3597</v>
      </c>
      <c r="K527" s="2988">
        <v>128.26</v>
      </c>
    </row>
    <row r="528" spans="2:11" ht="18" customHeight="1">
      <c r="B528" s="2986">
        <v>494</v>
      </c>
      <c r="C528" s="2987" t="s">
        <v>3482</v>
      </c>
      <c r="D528" s="2987" t="s">
        <v>3594</v>
      </c>
      <c r="E528" s="2987" t="s">
        <v>3985</v>
      </c>
      <c r="F528" s="2987"/>
      <c r="G528" s="2987">
        <v>1102</v>
      </c>
      <c r="H528" s="2987" t="s">
        <v>3995</v>
      </c>
      <c r="I528" s="2987" t="s">
        <v>3486</v>
      </c>
      <c r="J528" s="2987" t="s">
        <v>3599</v>
      </c>
      <c r="K528" s="2988">
        <v>96.17</v>
      </c>
    </row>
    <row r="529" spans="2:11" ht="18" customHeight="1">
      <c r="B529" s="2986">
        <v>495</v>
      </c>
      <c r="C529" s="2987" t="s">
        <v>3482</v>
      </c>
      <c r="D529" s="2987" t="s">
        <v>3594</v>
      </c>
      <c r="E529" s="2987" t="s">
        <v>3985</v>
      </c>
      <c r="F529" s="2987"/>
      <c r="G529" s="2987">
        <v>1103</v>
      </c>
      <c r="H529" s="2987" t="s">
        <v>3996</v>
      </c>
      <c r="I529" s="2987" t="s">
        <v>3486</v>
      </c>
      <c r="J529" s="2987" t="s">
        <v>3599</v>
      </c>
      <c r="K529" s="2988">
        <v>96.17</v>
      </c>
    </row>
    <row r="530" spans="2:11" ht="18" customHeight="1">
      <c r="B530" s="2986">
        <v>496</v>
      </c>
      <c r="C530" s="2987" t="s">
        <v>3482</v>
      </c>
      <c r="D530" s="2987" t="s">
        <v>3594</v>
      </c>
      <c r="E530" s="2987" t="s">
        <v>3985</v>
      </c>
      <c r="F530" s="2987"/>
      <c r="G530" s="2987">
        <v>1104</v>
      </c>
      <c r="H530" s="2987" t="s">
        <v>3997</v>
      </c>
      <c r="I530" s="2987" t="s">
        <v>3486</v>
      </c>
      <c r="J530" s="2987" t="s">
        <v>3602</v>
      </c>
      <c r="K530" s="2988">
        <v>111.02</v>
      </c>
    </row>
    <row r="531" spans="2:11" ht="18" customHeight="1">
      <c r="B531" s="2986">
        <v>497</v>
      </c>
      <c r="C531" s="2987" t="s">
        <v>3482</v>
      </c>
      <c r="D531" s="2987" t="s">
        <v>3594</v>
      </c>
      <c r="E531" s="2987" t="s">
        <v>3985</v>
      </c>
      <c r="F531" s="2987"/>
      <c r="G531" s="2987">
        <v>1201</v>
      </c>
      <c r="H531" s="2987" t="s">
        <v>3998</v>
      </c>
      <c r="I531" s="2987" t="s">
        <v>3486</v>
      </c>
      <c r="J531" s="2987" t="s">
        <v>3597</v>
      </c>
      <c r="K531" s="2988">
        <v>128.26</v>
      </c>
    </row>
    <row r="532" spans="2:11" ht="18" customHeight="1">
      <c r="B532" s="2986">
        <v>498</v>
      </c>
      <c r="C532" s="2987" t="s">
        <v>3482</v>
      </c>
      <c r="D532" s="2987" t="s">
        <v>3594</v>
      </c>
      <c r="E532" s="2987" t="s">
        <v>3985</v>
      </c>
      <c r="F532" s="2987"/>
      <c r="G532" s="2987">
        <v>1202</v>
      </c>
      <c r="H532" s="2987" t="s">
        <v>3999</v>
      </c>
      <c r="I532" s="2987" t="s">
        <v>3486</v>
      </c>
      <c r="J532" s="2987" t="s">
        <v>3599</v>
      </c>
      <c r="K532" s="2988">
        <v>96.17</v>
      </c>
    </row>
    <row r="533" spans="2:11" ht="18" customHeight="1">
      <c r="B533" s="2986">
        <v>499</v>
      </c>
      <c r="C533" s="2987" t="s">
        <v>3482</v>
      </c>
      <c r="D533" s="2987" t="s">
        <v>3594</v>
      </c>
      <c r="E533" s="2987" t="s">
        <v>3985</v>
      </c>
      <c r="F533" s="2987"/>
      <c r="G533" s="2987">
        <v>1203</v>
      </c>
      <c r="H533" s="2987" t="s">
        <v>4000</v>
      </c>
      <c r="I533" s="2987" t="s">
        <v>3486</v>
      </c>
      <c r="J533" s="2987" t="s">
        <v>3599</v>
      </c>
      <c r="K533" s="2988">
        <v>96.17</v>
      </c>
    </row>
    <row r="534" spans="2:11" ht="18" customHeight="1">
      <c r="B534" s="2986">
        <v>500</v>
      </c>
      <c r="C534" s="2987" t="s">
        <v>3482</v>
      </c>
      <c r="D534" s="2987" t="s">
        <v>3594</v>
      </c>
      <c r="E534" s="2987" t="s">
        <v>3985</v>
      </c>
      <c r="F534" s="2987"/>
      <c r="G534" s="2987">
        <v>1204</v>
      </c>
      <c r="H534" s="2987" t="s">
        <v>4001</v>
      </c>
      <c r="I534" s="2987" t="s">
        <v>3486</v>
      </c>
      <c r="J534" s="2987" t="s">
        <v>3602</v>
      </c>
      <c r="K534" s="2988">
        <v>111.02</v>
      </c>
    </row>
    <row r="535" spans="2:11" ht="18" customHeight="1">
      <c r="B535" s="2986">
        <v>501</v>
      </c>
      <c r="C535" s="2987" t="s">
        <v>3482</v>
      </c>
      <c r="D535" s="2987" t="s">
        <v>3594</v>
      </c>
      <c r="E535" s="2987" t="s">
        <v>3985</v>
      </c>
      <c r="F535" s="2987"/>
      <c r="G535" s="2987">
        <v>1301</v>
      </c>
      <c r="H535" s="2987" t="s">
        <v>4002</v>
      </c>
      <c r="I535" s="2987" t="s">
        <v>3486</v>
      </c>
      <c r="J535" s="2987" t="s">
        <v>3597</v>
      </c>
      <c r="K535" s="2988">
        <v>128.26</v>
      </c>
    </row>
    <row r="536" spans="2:11" ht="18" customHeight="1">
      <c r="B536" s="2986">
        <v>502</v>
      </c>
      <c r="C536" s="2987" t="s">
        <v>3482</v>
      </c>
      <c r="D536" s="2987" t="s">
        <v>3594</v>
      </c>
      <c r="E536" s="2987" t="s">
        <v>3985</v>
      </c>
      <c r="F536" s="2987"/>
      <c r="G536" s="2987">
        <v>1302</v>
      </c>
      <c r="H536" s="2987" t="s">
        <v>4003</v>
      </c>
      <c r="I536" s="2987" t="s">
        <v>3486</v>
      </c>
      <c r="J536" s="2987" t="s">
        <v>3599</v>
      </c>
      <c r="K536" s="2988">
        <v>96.17</v>
      </c>
    </row>
    <row r="537" spans="2:11" ht="18" customHeight="1">
      <c r="B537" s="2986">
        <v>503</v>
      </c>
      <c r="C537" s="2987" t="s">
        <v>3482</v>
      </c>
      <c r="D537" s="2987" t="s">
        <v>3594</v>
      </c>
      <c r="E537" s="2987" t="s">
        <v>3985</v>
      </c>
      <c r="F537" s="2987"/>
      <c r="G537" s="2987">
        <v>1303</v>
      </c>
      <c r="H537" s="2987" t="s">
        <v>4004</v>
      </c>
      <c r="I537" s="2987" t="s">
        <v>3486</v>
      </c>
      <c r="J537" s="2987" t="s">
        <v>3599</v>
      </c>
      <c r="K537" s="2988">
        <v>96.17</v>
      </c>
    </row>
    <row r="538" spans="2:11" ht="18" customHeight="1">
      <c r="B538" s="2986">
        <v>504</v>
      </c>
      <c r="C538" s="2987" t="s">
        <v>3482</v>
      </c>
      <c r="D538" s="2987" t="s">
        <v>3594</v>
      </c>
      <c r="E538" s="2987" t="s">
        <v>3985</v>
      </c>
      <c r="F538" s="2987"/>
      <c r="G538" s="2987">
        <v>1304</v>
      </c>
      <c r="H538" s="2987" t="s">
        <v>4005</v>
      </c>
      <c r="I538" s="2987" t="s">
        <v>3486</v>
      </c>
      <c r="J538" s="2987" t="s">
        <v>3602</v>
      </c>
      <c r="K538" s="2988">
        <v>111.02</v>
      </c>
    </row>
    <row r="539" spans="2:11" ht="18" customHeight="1">
      <c r="B539" s="2986">
        <v>505</v>
      </c>
      <c r="C539" s="2987" t="s">
        <v>3482</v>
      </c>
      <c r="D539" s="2987" t="s">
        <v>3594</v>
      </c>
      <c r="E539" s="2987" t="s">
        <v>3985</v>
      </c>
      <c r="F539" s="2987"/>
      <c r="G539" s="2987">
        <v>1401</v>
      </c>
      <c r="H539" s="2987" t="s">
        <v>4006</v>
      </c>
      <c r="I539" s="2987" t="s">
        <v>3486</v>
      </c>
      <c r="J539" s="2987" t="s">
        <v>3597</v>
      </c>
      <c r="K539" s="2988">
        <v>128.26</v>
      </c>
    </row>
    <row r="540" spans="2:11" ht="18" customHeight="1">
      <c r="B540" s="2986">
        <v>506</v>
      </c>
      <c r="C540" s="2987" t="s">
        <v>3482</v>
      </c>
      <c r="D540" s="2987" t="s">
        <v>3594</v>
      </c>
      <c r="E540" s="2987" t="s">
        <v>3985</v>
      </c>
      <c r="F540" s="2987"/>
      <c r="G540" s="2987">
        <v>1402</v>
      </c>
      <c r="H540" s="2987" t="s">
        <v>4007</v>
      </c>
      <c r="I540" s="2987" t="s">
        <v>3486</v>
      </c>
      <c r="J540" s="2987" t="s">
        <v>3599</v>
      </c>
      <c r="K540" s="2988">
        <v>96.17</v>
      </c>
    </row>
    <row r="541" spans="2:11" ht="18" customHeight="1">
      <c r="B541" s="2986">
        <v>507</v>
      </c>
      <c r="C541" s="2987" t="s">
        <v>3482</v>
      </c>
      <c r="D541" s="2987" t="s">
        <v>3594</v>
      </c>
      <c r="E541" s="2987" t="s">
        <v>3985</v>
      </c>
      <c r="F541" s="2987"/>
      <c r="G541" s="2987">
        <v>1403</v>
      </c>
      <c r="H541" s="2987" t="s">
        <v>4008</v>
      </c>
      <c r="I541" s="2987" t="s">
        <v>3486</v>
      </c>
      <c r="J541" s="2987" t="s">
        <v>3599</v>
      </c>
      <c r="K541" s="2988">
        <v>96.17</v>
      </c>
    </row>
    <row r="542" spans="2:11" ht="18" customHeight="1">
      <c r="B542" s="2986">
        <v>508</v>
      </c>
      <c r="C542" s="2987" t="s">
        <v>3482</v>
      </c>
      <c r="D542" s="2987" t="s">
        <v>3594</v>
      </c>
      <c r="E542" s="2987" t="s">
        <v>3985</v>
      </c>
      <c r="F542" s="2987"/>
      <c r="G542" s="2987">
        <v>1404</v>
      </c>
      <c r="H542" s="2987" t="s">
        <v>4009</v>
      </c>
      <c r="I542" s="2987" t="s">
        <v>3486</v>
      </c>
      <c r="J542" s="2987" t="s">
        <v>3602</v>
      </c>
      <c r="K542" s="2988">
        <v>111.02</v>
      </c>
    </row>
    <row r="543" spans="2:11" ht="18" customHeight="1">
      <c r="B543" s="2986">
        <v>509</v>
      </c>
      <c r="C543" s="2987" t="s">
        <v>3482</v>
      </c>
      <c r="D543" s="2987" t="s">
        <v>3594</v>
      </c>
      <c r="E543" s="2987" t="s">
        <v>3985</v>
      </c>
      <c r="F543" s="2987"/>
      <c r="G543" s="2987">
        <v>1501</v>
      </c>
      <c r="H543" s="2987" t="s">
        <v>4010</v>
      </c>
      <c r="I543" s="2987" t="s">
        <v>3486</v>
      </c>
      <c r="J543" s="2987" t="s">
        <v>3597</v>
      </c>
      <c r="K543" s="2988">
        <v>128.26</v>
      </c>
    </row>
    <row r="544" spans="2:11" ht="18" customHeight="1">
      <c r="B544" s="2986">
        <v>510</v>
      </c>
      <c r="C544" s="2987" t="s">
        <v>3482</v>
      </c>
      <c r="D544" s="2987" t="s">
        <v>3594</v>
      </c>
      <c r="E544" s="2987" t="s">
        <v>3985</v>
      </c>
      <c r="F544" s="2987"/>
      <c r="G544" s="2987">
        <v>1502</v>
      </c>
      <c r="H544" s="2987" t="s">
        <v>4011</v>
      </c>
      <c r="I544" s="2987" t="s">
        <v>3486</v>
      </c>
      <c r="J544" s="2987" t="s">
        <v>3599</v>
      </c>
      <c r="K544" s="2988">
        <v>96.17</v>
      </c>
    </row>
    <row r="545" spans="2:11" ht="18" customHeight="1">
      <c r="B545" s="2986">
        <v>511</v>
      </c>
      <c r="C545" s="2987" t="s">
        <v>3482</v>
      </c>
      <c r="D545" s="2987" t="s">
        <v>3594</v>
      </c>
      <c r="E545" s="2987" t="s">
        <v>3985</v>
      </c>
      <c r="F545" s="2987"/>
      <c r="G545" s="2987">
        <v>1503</v>
      </c>
      <c r="H545" s="2987" t="s">
        <v>4012</v>
      </c>
      <c r="I545" s="2987" t="s">
        <v>3486</v>
      </c>
      <c r="J545" s="2987" t="s">
        <v>3599</v>
      </c>
      <c r="K545" s="2988">
        <v>96.17</v>
      </c>
    </row>
    <row r="546" spans="2:11" ht="18" customHeight="1">
      <c r="B546" s="2986">
        <v>512</v>
      </c>
      <c r="C546" s="2987" t="s">
        <v>3482</v>
      </c>
      <c r="D546" s="2987" t="s">
        <v>3594</v>
      </c>
      <c r="E546" s="2987" t="s">
        <v>3985</v>
      </c>
      <c r="F546" s="2987"/>
      <c r="G546" s="2987">
        <v>1504</v>
      </c>
      <c r="H546" s="2987" t="s">
        <v>4013</v>
      </c>
      <c r="I546" s="2987" t="s">
        <v>3486</v>
      </c>
      <c r="J546" s="2987" t="s">
        <v>3602</v>
      </c>
      <c r="K546" s="2988">
        <v>111.02</v>
      </c>
    </row>
    <row r="547" spans="2:11" ht="18" customHeight="1">
      <c r="B547" s="2986">
        <v>513</v>
      </c>
      <c r="C547" s="2987" t="s">
        <v>3482</v>
      </c>
      <c r="D547" s="2987" t="s">
        <v>3594</v>
      </c>
      <c r="E547" s="2987" t="s">
        <v>3985</v>
      </c>
      <c r="F547" s="2987"/>
      <c r="G547" s="2987">
        <v>1601</v>
      </c>
      <c r="H547" s="2987" t="s">
        <v>4014</v>
      </c>
      <c r="I547" s="2987" t="s">
        <v>3486</v>
      </c>
      <c r="J547" s="2987" t="s">
        <v>3597</v>
      </c>
      <c r="K547" s="2988">
        <v>128.26</v>
      </c>
    </row>
    <row r="548" spans="2:11" ht="18" customHeight="1">
      <c r="B548" s="2986">
        <v>514</v>
      </c>
      <c r="C548" s="2987" t="s">
        <v>3482</v>
      </c>
      <c r="D548" s="2987" t="s">
        <v>3594</v>
      </c>
      <c r="E548" s="2987" t="s">
        <v>3985</v>
      </c>
      <c r="F548" s="2987"/>
      <c r="G548" s="2987">
        <v>1602</v>
      </c>
      <c r="H548" s="2987" t="s">
        <v>4015</v>
      </c>
      <c r="I548" s="2987" t="s">
        <v>3486</v>
      </c>
      <c r="J548" s="2987" t="s">
        <v>3599</v>
      </c>
      <c r="K548" s="2988">
        <v>96.17</v>
      </c>
    </row>
    <row r="549" spans="2:11" ht="18" customHeight="1">
      <c r="B549" s="2986">
        <v>515</v>
      </c>
      <c r="C549" s="2987" t="s">
        <v>3482</v>
      </c>
      <c r="D549" s="2987" t="s">
        <v>3594</v>
      </c>
      <c r="E549" s="2987" t="s">
        <v>3985</v>
      </c>
      <c r="F549" s="2987"/>
      <c r="G549" s="2987">
        <v>1603</v>
      </c>
      <c r="H549" s="2987" t="s">
        <v>4016</v>
      </c>
      <c r="I549" s="2987" t="s">
        <v>3486</v>
      </c>
      <c r="J549" s="2987" t="s">
        <v>3599</v>
      </c>
      <c r="K549" s="2988">
        <v>96.17</v>
      </c>
    </row>
    <row r="550" spans="2:11" ht="18" customHeight="1">
      <c r="B550" s="2986">
        <v>516</v>
      </c>
      <c r="C550" s="2987" t="s">
        <v>3482</v>
      </c>
      <c r="D550" s="2987" t="s">
        <v>3594</v>
      </c>
      <c r="E550" s="2987" t="s">
        <v>3985</v>
      </c>
      <c r="F550" s="2987"/>
      <c r="G550" s="2987">
        <v>1604</v>
      </c>
      <c r="H550" s="2987" t="s">
        <v>4017</v>
      </c>
      <c r="I550" s="2987" t="s">
        <v>3486</v>
      </c>
      <c r="J550" s="2987" t="s">
        <v>3602</v>
      </c>
      <c r="K550" s="2988">
        <v>111.02</v>
      </c>
    </row>
    <row r="551" spans="2:11" ht="18" customHeight="1">
      <c r="B551" s="2986">
        <v>517</v>
      </c>
      <c r="C551" s="2987" t="s">
        <v>3482</v>
      </c>
      <c r="D551" s="2987" t="s">
        <v>3594</v>
      </c>
      <c r="E551" s="2987" t="s">
        <v>3985</v>
      </c>
      <c r="F551" s="2987"/>
      <c r="G551" s="2987">
        <v>1701</v>
      </c>
      <c r="H551" s="2987" t="s">
        <v>4018</v>
      </c>
      <c r="I551" s="2987" t="s">
        <v>3486</v>
      </c>
      <c r="J551" s="2987" t="s">
        <v>3597</v>
      </c>
      <c r="K551" s="2988">
        <v>128.26</v>
      </c>
    </row>
    <row r="552" spans="2:11" ht="18" customHeight="1">
      <c r="B552" s="2986">
        <v>518</v>
      </c>
      <c r="C552" s="2987" t="s">
        <v>3482</v>
      </c>
      <c r="D552" s="2987" t="s">
        <v>3594</v>
      </c>
      <c r="E552" s="2987" t="s">
        <v>3985</v>
      </c>
      <c r="F552" s="2987"/>
      <c r="G552" s="2987">
        <v>1702</v>
      </c>
      <c r="H552" s="2987" t="s">
        <v>4019</v>
      </c>
      <c r="I552" s="2987" t="s">
        <v>3486</v>
      </c>
      <c r="J552" s="2987" t="s">
        <v>3599</v>
      </c>
      <c r="K552" s="2988">
        <v>96.17</v>
      </c>
    </row>
    <row r="553" spans="2:11" ht="18" customHeight="1">
      <c r="B553" s="2986">
        <v>519</v>
      </c>
      <c r="C553" s="2987" t="s">
        <v>3482</v>
      </c>
      <c r="D553" s="2987" t="s">
        <v>3594</v>
      </c>
      <c r="E553" s="2987" t="s">
        <v>3985</v>
      </c>
      <c r="F553" s="2987"/>
      <c r="G553" s="2987">
        <v>1703</v>
      </c>
      <c r="H553" s="2987" t="s">
        <v>4020</v>
      </c>
      <c r="I553" s="2987" t="s">
        <v>3486</v>
      </c>
      <c r="J553" s="2987" t="s">
        <v>3599</v>
      </c>
      <c r="K553" s="2988">
        <v>96.17</v>
      </c>
    </row>
    <row r="554" spans="2:11" ht="18" customHeight="1">
      <c r="B554" s="2986">
        <v>520</v>
      </c>
      <c r="C554" s="2987" t="s">
        <v>3482</v>
      </c>
      <c r="D554" s="2987" t="s">
        <v>3594</v>
      </c>
      <c r="E554" s="2987" t="s">
        <v>3985</v>
      </c>
      <c r="F554" s="2987"/>
      <c r="G554" s="2987">
        <v>1704</v>
      </c>
      <c r="H554" s="2987" t="s">
        <v>4021</v>
      </c>
      <c r="I554" s="2987" t="s">
        <v>3486</v>
      </c>
      <c r="J554" s="2987" t="s">
        <v>3602</v>
      </c>
      <c r="K554" s="2988">
        <v>111.02</v>
      </c>
    </row>
    <row r="555" spans="2:11" ht="18" customHeight="1">
      <c r="B555" s="2986">
        <v>521</v>
      </c>
      <c r="C555" s="2987" t="s">
        <v>3482</v>
      </c>
      <c r="D555" s="2987" t="s">
        <v>3594</v>
      </c>
      <c r="E555" s="2987" t="s">
        <v>3985</v>
      </c>
      <c r="F555" s="2987"/>
      <c r="G555" s="2987">
        <v>1801</v>
      </c>
      <c r="H555" s="2987" t="s">
        <v>4022</v>
      </c>
      <c r="I555" s="2987" t="s">
        <v>3486</v>
      </c>
      <c r="J555" s="2987" t="s">
        <v>3597</v>
      </c>
      <c r="K555" s="2988">
        <v>128.26</v>
      </c>
    </row>
    <row r="556" spans="2:11" ht="18" customHeight="1">
      <c r="B556" s="2986">
        <v>522</v>
      </c>
      <c r="C556" s="2987" t="s">
        <v>3482</v>
      </c>
      <c r="D556" s="2987" t="s">
        <v>3594</v>
      </c>
      <c r="E556" s="2987" t="s">
        <v>3985</v>
      </c>
      <c r="F556" s="2987"/>
      <c r="G556" s="2987">
        <v>1802</v>
      </c>
      <c r="H556" s="2987" t="s">
        <v>4023</v>
      </c>
      <c r="I556" s="2987" t="s">
        <v>3486</v>
      </c>
      <c r="J556" s="2987" t="s">
        <v>3599</v>
      </c>
      <c r="K556" s="2988">
        <v>96.17</v>
      </c>
    </row>
    <row r="557" spans="2:11" ht="18" customHeight="1">
      <c r="B557" s="2986">
        <v>523</v>
      </c>
      <c r="C557" s="2987" t="s">
        <v>3482</v>
      </c>
      <c r="D557" s="2987" t="s">
        <v>3594</v>
      </c>
      <c r="E557" s="2987" t="s">
        <v>3985</v>
      </c>
      <c r="F557" s="2987"/>
      <c r="G557" s="2987">
        <v>1803</v>
      </c>
      <c r="H557" s="2987" t="s">
        <v>4024</v>
      </c>
      <c r="I557" s="2987" t="s">
        <v>3486</v>
      </c>
      <c r="J557" s="2987" t="s">
        <v>3599</v>
      </c>
      <c r="K557" s="2988">
        <v>96.17</v>
      </c>
    </row>
    <row r="558" spans="2:11" ht="18" customHeight="1">
      <c r="B558" s="2986">
        <v>524</v>
      </c>
      <c r="C558" s="2987" t="s">
        <v>3482</v>
      </c>
      <c r="D558" s="2987" t="s">
        <v>3594</v>
      </c>
      <c r="E558" s="2987" t="s">
        <v>3985</v>
      </c>
      <c r="F558" s="2987"/>
      <c r="G558" s="2987">
        <v>1804</v>
      </c>
      <c r="H558" s="2987" t="s">
        <v>4025</v>
      </c>
      <c r="I558" s="2987" t="s">
        <v>3486</v>
      </c>
      <c r="J558" s="2987" t="s">
        <v>3602</v>
      </c>
      <c r="K558" s="2988">
        <v>111.02</v>
      </c>
    </row>
    <row r="559" spans="2:11" ht="18" customHeight="1">
      <c r="B559" s="2986">
        <v>525</v>
      </c>
      <c r="C559" s="2987" t="s">
        <v>3482</v>
      </c>
      <c r="D559" s="2987" t="s">
        <v>3594</v>
      </c>
      <c r="E559" s="2987" t="s">
        <v>3985</v>
      </c>
      <c r="F559" s="2987"/>
      <c r="G559" s="2987">
        <v>1901</v>
      </c>
      <c r="H559" s="2987" t="s">
        <v>4026</v>
      </c>
      <c r="I559" s="2987" t="s">
        <v>3486</v>
      </c>
      <c r="J559" s="2987" t="s">
        <v>3597</v>
      </c>
      <c r="K559" s="2988">
        <v>128.26</v>
      </c>
    </row>
    <row r="560" spans="2:11" ht="18" customHeight="1">
      <c r="B560" s="2986">
        <v>526</v>
      </c>
      <c r="C560" s="2987" t="s">
        <v>3482</v>
      </c>
      <c r="D560" s="2987" t="s">
        <v>3594</v>
      </c>
      <c r="E560" s="2987" t="s">
        <v>3985</v>
      </c>
      <c r="F560" s="2987"/>
      <c r="G560" s="2987">
        <v>1902</v>
      </c>
      <c r="H560" s="2987" t="s">
        <v>4027</v>
      </c>
      <c r="I560" s="2987" t="s">
        <v>3486</v>
      </c>
      <c r="J560" s="2987" t="s">
        <v>3599</v>
      </c>
      <c r="K560" s="2988">
        <v>96.17</v>
      </c>
    </row>
    <row r="561" spans="2:11" ht="18" customHeight="1">
      <c r="B561" s="2986">
        <v>527</v>
      </c>
      <c r="C561" s="2987" t="s">
        <v>3482</v>
      </c>
      <c r="D561" s="2987" t="s">
        <v>3594</v>
      </c>
      <c r="E561" s="2987" t="s">
        <v>3985</v>
      </c>
      <c r="F561" s="2987"/>
      <c r="G561" s="2987">
        <v>1903</v>
      </c>
      <c r="H561" s="2987" t="s">
        <v>4028</v>
      </c>
      <c r="I561" s="2987" t="s">
        <v>3486</v>
      </c>
      <c r="J561" s="2987" t="s">
        <v>3599</v>
      </c>
      <c r="K561" s="2988">
        <v>96.17</v>
      </c>
    </row>
    <row r="562" spans="2:11" ht="18" customHeight="1">
      <c r="B562" s="2986">
        <v>528</v>
      </c>
      <c r="C562" s="2987" t="s">
        <v>3482</v>
      </c>
      <c r="D562" s="2987" t="s">
        <v>3594</v>
      </c>
      <c r="E562" s="2987" t="s">
        <v>3985</v>
      </c>
      <c r="F562" s="2987"/>
      <c r="G562" s="2987">
        <v>1904</v>
      </c>
      <c r="H562" s="2987" t="s">
        <v>4029</v>
      </c>
      <c r="I562" s="2987" t="s">
        <v>3486</v>
      </c>
      <c r="J562" s="2987" t="s">
        <v>3602</v>
      </c>
      <c r="K562" s="2988">
        <v>111.02</v>
      </c>
    </row>
    <row r="563" spans="2:11" ht="18" customHeight="1">
      <c r="B563" s="2986">
        <v>529</v>
      </c>
      <c r="C563" s="2987" t="s">
        <v>3482</v>
      </c>
      <c r="D563" s="2987" t="s">
        <v>3594</v>
      </c>
      <c r="E563" s="2987" t="s">
        <v>3985</v>
      </c>
      <c r="F563" s="2987"/>
      <c r="G563" s="2987">
        <v>2001</v>
      </c>
      <c r="H563" s="2987" t="s">
        <v>4030</v>
      </c>
      <c r="I563" s="2987" t="s">
        <v>3486</v>
      </c>
      <c r="J563" s="2987" t="s">
        <v>3597</v>
      </c>
      <c r="K563" s="2988">
        <v>128.26</v>
      </c>
    </row>
    <row r="564" spans="2:11" ht="18" customHeight="1">
      <c r="B564" s="2986">
        <v>530</v>
      </c>
      <c r="C564" s="2987" t="s">
        <v>3482</v>
      </c>
      <c r="D564" s="2987" t="s">
        <v>3594</v>
      </c>
      <c r="E564" s="2987" t="s">
        <v>3985</v>
      </c>
      <c r="F564" s="2987"/>
      <c r="G564" s="2987">
        <v>2002</v>
      </c>
      <c r="H564" s="2987" t="s">
        <v>4031</v>
      </c>
      <c r="I564" s="2987" t="s">
        <v>3486</v>
      </c>
      <c r="J564" s="2987" t="s">
        <v>3599</v>
      </c>
      <c r="K564" s="2988">
        <v>96.17</v>
      </c>
    </row>
    <row r="565" spans="2:11" ht="18" customHeight="1">
      <c r="B565" s="2986">
        <v>531</v>
      </c>
      <c r="C565" s="2987" t="s">
        <v>3482</v>
      </c>
      <c r="D565" s="2987" t="s">
        <v>3594</v>
      </c>
      <c r="E565" s="2987" t="s">
        <v>3985</v>
      </c>
      <c r="F565" s="2987"/>
      <c r="G565" s="2987">
        <v>2003</v>
      </c>
      <c r="H565" s="2987" t="s">
        <v>4032</v>
      </c>
      <c r="I565" s="2987" t="s">
        <v>3486</v>
      </c>
      <c r="J565" s="2987" t="s">
        <v>3599</v>
      </c>
      <c r="K565" s="2988">
        <v>96.17</v>
      </c>
    </row>
    <row r="566" spans="2:11" ht="18" customHeight="1">
      <c r="B566" s="2986">
        <v>532</v>
      </c>
      <c r="C566" s="2987" t="s">
        <v>3482</v>
      </c>
      <c r="D566" s="2987" t="s">
        <v>3594</v>
      </c>
      <c r="E566" s="2987" t="s">
        <v>3985</v>
      </c>
      <c r="F566" s="2987"/>
      <c r="G566" s="2987">
        <v>2004</v>
      </c>
      <c r="H566" s="2987" t="s">
        <v>4033</v>
      </c>
      <c r="I566" s="2987" t="s">
        <v>3486</v>
      </c>
      <c r="J566" s="2987" t="s">
        <v>3602</v>
      </c>
      <c r="K566" s="2988">
        <v>111.02</v>
      </c>
    </row>
    <row r="567" spans="2:11" ht="18" customHeight="1">
      <c r="B567" s="2986">
        <v>533</v>
      </c>
      <c r="C567" s="2987" t="s">
        <v>3482</v>
      </c>
      <c r="D567" s="2987" t="s">
        <v>3594</v>
      </c>
      <c r="E567" s="2987" t="s">
        <v>3985</v>
      </c>
      <c r="F567" s="2987"/>
      <c r="G567" s="2987">
        <v>201</v>
      </c>
      <c r="H567" s="2987" t="s">
        <v>4034</v>
      </c>
      <c r="I567" s="2987" t="s">
        <v>3486</v>
      </c>
      <c r="J567" s="2987" t="s">
        <v>3597</v>
      </c>
      <c r="K567" s="2988">
        <v>128.26</v>
      </c>
    </row>
    <row r="568" spans="2:11" ht="18" customHeight="1">
      <c r="B568" s="2986">
        <v>534</v>
      </c>
      <c r="C568" s="2987" t="s">
        <v>3482</v>
      </c>
      <c r="D568" s="2987" t="s">
        <v>3594</v>
      </c>
      <c r="E568" s="2987" t="s">
        <v>3985</v>
      </c>
      <c r="F568" s="2987"/>
      <c r="G568" s="2987">
        <v>202</v>
      </c>
      <c r="H568" s="2987" t="s">
        <v>4035</v>
      </c>
      <c r="I568" s="2987" t="s">
        <v>3486</v>
      </c>
      <c r="J568" s="2987" t="s">
        <v>3599</v>
      </c>
      <c r="K568" s="2988">
        <v>96.17</v>
      </c>
    </row>
    <row r="569" spans="2:11" ht="18" customHeight="1">
      <c r="B569" s="2986">
        <v>535</v>
      </c>
      <c r="C569" s="2987" t="s">
        <v>3482</v>
      </c>
      <c r="D569" s="2987" t="s">
        <v>3594</v>
      </c>
      <c r="E569" s="2987" t="s">
        <v>3985</v>
      </c>
      <c r="F569" s="2987"/>
      <c r="G569" s="2987">
        <v>203</v>
      </c>
      <c r="H569" s="2987" t="s">
        <v>4036</v>
      </c>
      <c r="I569" s="2987" t="s">
        <v>3486</v>
      </c>
      <c r="J569" s="2987" t="s">
        <v>3599</v>
      </c>
      <c r="K569" s="2988">
        <v>96.17</v>
      </c>
    </row>
    <row r="570" spans="2:11" ht="18" customHeight="1">
      <c r="B570" s="2986">
        <v>536</v>
      </c>
      <c r="C570" s="2987" t="s">
        <v>3482</v>
      </c>
      <c r="D570" s="2987" t="s">
        <v>3594</v>
      </c>
      <c r="E570" s="2987" t="s">
        <v>3985</v>
      </c>
      <c r="F570" s="2987"/>
      <c r="G570" s="2987">
        <v>204</v>
      </c>
      <c r="H570" s="2987" t="s">
        <v>4037</v>
      </c>
      <c r="I570" s="2987" t="s">
        <v>3486</v>
      </c>
      <c r="J570" s="2987" t="s">
        <v>3602</v>
      </c>
      <c r="K570" s="2988">
        <v>111.02</v>
      </c>
    </row>
    <row r="571" spans="2:11" ht="18" customHeight="1">
      <c r="B571" s="2986">
        <v>537</v>
      </c>
      <c r="C571" s="2987" t="s">
        <v>3482</v>
      </c>
      <c r="D571" s="2987" t="s">
        <v>3594</v>
      </c>
      <c r="E571" s="2987" t="s">
        <v>3985</v>
      </c>
      <c r="F571" s="2987"/>
      <c r="G571" s="2987">
        <v>2101</v>
      </c>
      <c r="H571" s="2987" t="s">
        <v>4038</v>
      </c>
      <c r="I571" s="2987" t="s">
        <v>3486</v>
      </c>
      <c r="J571" s="2987" t="s">
        <v>3597</v>
      </c>
      <c r="K571" s="2988">
        <v>128.26</v>
      </c>
    </row>
    <row r="572" spans="2:11" ht="18" customHeight="1">
      <c r="B572" s="2986">
        <v>538</v>
      </c>
      <c r="C572" s="2987" t="s">
        <v>3482</v>
      </c>
      <c r="D572" s="2987" t="s">
        <v>3594</v>
      </c>
      <c r="E572" s="2987" t="s">
        <v>3985</v>
      </c>
      <c r="F572" s="2987"/>
      <c r="G572" s="2987">
        <v>2102</v>
      </c>
      <c r="H572" s="2987" t="s">
        <v>4039</v>
      </c>
      <c r="I572" s="2987" t="s">
        <v>3486</v>
      </c>
      <c r="J572" s="2987" t="s">
        <v>3599</v>
      </c>
      <c r="K572" s="2988">
        <v>96.17</v>
      </c>
    </row>
    <row r="573" spans="2:11" ht="18" customHeight="1">
      <c r="B573" s="2986">
        <v>539</v>
      </c>
      <c r="C573" s="2987" t="s">
        <v>3482</v>
      </c>
      <c r="D573" s="2987" t="s">
        <v>3594</v>
      </c>
      <c r="E573" s="2987" t="s">
        <v>3985</v>
      </c>
      <c r="F573" s="2987"/>
      <c r="G573" s="2987">
        <v>2103</v>
      </c>
      <c r="H573" s="2987" t="s">
        <v>4040</v>
      </c>
      <c r="I573" s="2987" t="s">
        <v>3486</v>
      </c>
      <c r="J573" s="2987" t="s">
        <v>3599</v>
      </c>
      <c r="K573" s="2988">
        <v>96.17</v>
      </c>
    </row>
    <row r="574" spans="2:11" ht="18" customHeight="1">
      <c r="B574" s="2986">
        <v>540</v>
      </c>
      <c r="C574" s="2987" t="s">
        <v>3482</v>
      </c>
      <c r="D574" s="2987" t="s">
        <v>3594</v>
      </c>
      <c r="E574" s="2987" t="s">
        <v>3985</v>
      </c>
      <c r="F574" s="2987"/>
      <c r="G574" s="2987">
        <v>2104</v>
      </c>
      <c r="H574" s="2987" t="s">
        <v>4041</v>
      </c>
      <c r="I574" s="2987" t="s">
        <v>3486</v>
      </c>
      <c r="J574" s="2987" t="s">
        <v>3602</v>
      </c>
      <c r="K574" s="2988">
        <v>111.02</v>
      </c>
    </row>
    <row r="575" spans="2:11" ht="18" customHeight="1">
      <c r="B575" s="2986">
        <v>541</v>
      </c>
      <c r="C575" s="2987" t="s">
        <v>3482</v>
      </c>
      <c r="D575" s="2987" t="s">
        <v>3594</v>
      </c>
      <c r="E575" s="2987" t="s">
        <v>3985</v>
      </c>
      <c r="F575" s="2987"/>
      <c r="G575" s="2987">
        <v>301</v>
      </c>
      <c r="H575" s="2987" t="s">
        <v>4042</v>
      </c>
      <c r="I575" s="2987" t="s">
        <v>3486</v>
      </c>
      <c r="J575" s="2987" t="s">
        <v>3597</v>
      </c>
      <c r="K575" s="2988">
        <v>128.26</v>
      </c>
    </row>
    <row r="576" spans="2:11" ht="18" customHeight="1">
      <c r="B576" s="2986">
        <v>542</v>
      </c>
      <c r="C576" s="2987" t="s">
        <v>3482</v>
      </c>
      <c r="D576" s="2987" t="s">
        <v>3594</v>
      </c>
      <c r="E576" s="2987" t="s">
        <v>3985</v>
      </c>
      <c r="F576" s="2987"/>
      <c r="G576" s="2987">
        <v>302</v>
      </c>
      <c r="H576" s="2987" t="s">
        <v>4043</v>
      </c>
      <c r="I576" s="2987" t="s">
        <v>3486</v>
      </c>
      <c r="J576" s="2987" t="s">
        <v>3599</v>
      </c>
      <c r="K576" s="2988">
        <v>96.17</v>
      </c>
    </row>
    <row r="577" spans="2:11" ht="18" customHeight="1">
      <c r="B577" s="2986">
        <v>543</v>
      </c>
      <c r="C577" s="2987" t="s">
        <v>3482</v>
      </c>
      <c r="D577" s="2987" t="s">
        <v>3594</v>
      </c>
      <c r="E577" s="2987" t="s">
        <v>3985</v>
      </c>
      <c r="F577" s="2987"/>
      <c r="G577" s="2987">
        <v>303</v>
      </c>
      <c r="H577" s="2987" t="s">
        <v>4044</v>
      </c>
      <c r="I577" s="2987" t="s">
        <v>3486</v>
      </c>
      <c r="J577" s="2987" t="s">
        <v>3599</v>
      </c>
      <c r="K577" s="2988">
        <v>96.17</v>
      </c>
    </row>
    <row r="578" spans="2:11" ht="18" customHeight="1">
      <c r="B578" s="2986">
        <v>544</v>
      </c>
      <c r="C578" s="2987" t="s">
        <v>3482</v>
      </c>
      <c r="D578" s="2987" t="s">
        <v>3594</v>
      </c>
      <c r="E578" s="2987" t="s">
        <v>3985</v>
      </c>
      <c r="F578" s="2987"/>
      <c r="G578" s="2987">
        <v>304</v>
      </c>
      <c r="H578" s="2987" t="s">
        <v>4045</v>
      </c>
      <c r="I578" s="2987" t="s">
        <v>3486</v>
      </c>
      <c r="J578" s="2987" t="s">
        <v>3602</v>
      </c>
      <c r="K578" s="2988">
        <v>111.02</v>
      </c>
    </row>
    <row r="579" spans="2:11" ht="18" customHeight="1">
      <c r="B579" s="2986">
        <v>545</v>
      </c>
      <c r="C579" s="2987" t="s">
        <v>3482</v>
      </c>
      <c r="D579" s="2987" t="s">
        <v>3594</v>
      </c>
      <c r="E579" s="2987" t="s">
        <v>3985</v>
      </c>
      <c r="F579" s="2987"/>
      <c r="G579" s="2987">
        <v>401</v>
      </c>
      <c r="H579" s="2987" t="s">
        <v>4046</v>
      </c>
      <c r="I579" s="2987" t="s">
        <v>3486</v>
      </c>
      <c r="J579" s="2987" t="s">
        <v>3597</v>
      </c>
      <c r="K579" s="2988">
        <v>128.26</v>
      </c>
    </row>
    <row r="580" spans="2:11" ht="18" customHeight="1">
      <c r="B580" s="2986">
        <v>546</v>
      </c>
      <c r="C580" s="2987" t="s">
        <v>3482</v>
      </c>
      <c r="D580" s="2987" t="s">
        <v>3594</v>
      </c>
      <c r="E580" s="2987" t="s">
        <v>3985</v>
      </c>
      <c r="F580" s="2987"/>
      <c r="G580" s="2987">
        <v>402</v>
      </c>
      <c r="H580" s="2987" t="s">
        <v>4047</v>
      </c>
      <c r="I580" s="2987" t="s">
        <v>3486</v>
      </c>
      <c r="J580" s="2987" t="s">
        <v>3599</v>
      </c>
      <c r="K580" s="2988">
        <v>96.17</v>
      </c>
    </row>
    <row r="581" spans="2:11" ht="18" customHeight="1">
      <c r="B581" s="2986">
        <v>547</v>
      </c>
      <c r="C581" s="2987" t="s">
        <v>3482</v>
      </c>
      <c r="D581" s="2987" t="s">
        <v>3594</v>
      </c>
      <c r="E581" s="2987" t="s">
        <v>3985</v>
      </c>
      <c r="F581" s="2987"/>
      <c r="G581" s="2987">
        <v>403</v>
      </c>
      <c r="H581" s="2987" t="s">
        <v>4048</v>
      </c>
      <c r="I581" s="2987" t="s">
        <v>3486</v>
      </c>
      <c r="J581" s="2987" t="s">
        <v>3599</v>
      </c>
      <c r="K581" s="2988">
        <v>96.17</v>
      </c>
    </row>
    <row r="582" spans="2:11" ht="18" customHeight="1">
      <c r="B582" s="2986">
        <v>548</v>
      </c>
      <c r="C582" s="2987" t="s">
        <v>3482</v>
      </c>
      <c r="D582" s="2987" t="s">
        <v>3594</v>
      </c>
      <c r="E582" s="2987" t="s">
        <v>3985</v>
      </c>
      <c r="F582" s="2987"/>
      <c r="G582" s="2987">
        <v>404</v>
      </c>
      <c r="H582" s="2987" t="s">
        <v>4049</v>
      </c>
      <c r="I582" s="2987" t="s">
        <v>3486</v>
      </c>
      <c r="J582" s="2987" t="s">
        <v>3602</v>
      </c>
      <c r="K582" s="2988">
        <v>111.02</v>
      </c>
    </row>
    <row r="583" spans="2:11" ht="18" customHeight="1">
      <c r="B583" s="2986">
        <v>549</v>
      </c>
      <c r="C583" s="2987" t="s">
        <v>3482</v>
      </c>
      <c r="D583" s="2987" t="s">
        <v>3594</v>
      </c>
      <c r="E583" s="2987" t="s">
        <v>3985</v>
      </c>
      <c r="F583" s="2987"/>
      <c r="G583" s="2987">
        <v>501</v>
      </c>
      <c r="H583" s="2987" t="s">
        <v>4050</v>
      </c>
      <c r="I583" s="2987" t="s">
        <v>3486</v>
      </c>
      <c r="J583" s="2987" t="s">
        <v>3597</v>
      </c>
      <c r="K583" s="2988">
        <v>128.26</v>
      </c>
    </row>
    <row r="584" spans="2:11" ht="18" customHeight="1">
      <c r="B584" s="2986">
        <v>550</v>
      </c>
      <c r="C584" s="2987" t="s">
        <v>3482</v>
      </c>
      <c r="D584" s="2987" t="s">
        <v>3594</v>
      </c>
      <c r="E584" s="2987" t="s">
        <v>3985</v>
      </c>
      <c r="F584" s="2987"/>
      <c r="G584" s="2987">
        <v>502</v>
      </c>
      <c r="H584" s="2987" t="s">
        <v>4051</v>
      </c>
      <c r="I584" s="2987" t="s">
        <v>3486</v>
      </c>
      <c r="J584" s="2987" t="s">
        <v>3599</v>
      </c>
      <c r="K584" s="2988">
        <v>96.17</v>
      </c>
    </row>
    <row r="585" spans="2:11" ht="18" customHeight="1">
      <c r="B585" s="2986">
        <v>551</v>
      </c>
      <c r="C585" s="2987" t="s">
        <v>3482</v>
      </c>
      <c r="D585" s="2987" t="s">
        <v>3594</v>
      </c>
      <c r="E585" s="2987" t="s">
        <v>3985</v>
      </c>
      <c r="F585" s="2987"/>
      <c r="G585" s="2987">
        <v>503</v>
      </c>
      <c r="H585" s="2987" t="s">
        <v>4052</v>
      </c>
      <c r="I585" s="2987" t="s">
        <v>3486</v>
      </c>
      <c r="J585" s="2987" t="s">
        <v>3599</v>
      </c>
      <c r="K585" s="2988">
        <v>96.17</v>
      </c>
    </row>
    <row r="586" spans="2:11" ht="18" customHeight="1">
      <c r="B586" s="2986">
        <v>552</v>
      </c>
      <c r="C586" s="2987" t="s">
        <v>3482</v>
      </c>
      <c r="D586" s="2987" t="s">
        <v>3594</v>
      </c>
      <c r="E586" s="2987" t="s">
        <v>3985</v>
      </c>
      <c r="F586" s="2987"/>
      <c r="G586" s="2987">
        <v>504</v>
      </c>
      <c r="H586" s="2987" t="s">
        <v>4053</v>
      </c>
      <c r="I586" s="2987" t="s">
        <v>3486</v>
      </c>
      <c r="J586" s="2987" t="s">
        <v>3602</v>
      </c>
      <c r="K586" s="2988">
        <v>111.02</v>
      </c>
    </row>
    <row r="587" spans="2:11" ht="18" customHeight="1">
      <c r="B587" s="2986">
        <v>553</v>
      </c>
      <c r="C587" s="2987" t="s">
        <v>3482</v>
      </c>
      <c r="D587" s="2987" t="s">
        <v>3594</v>
      </c>
      <c r="E587" s="2987" t="s">
        <v>3985</v>
      </c>
      <c r="F587" s="2987"/>
      <c r="G587" s="2987">
        <v>601</v>
      </c>
      <c r="H587" s="2987" t="s">
        <v>4054</v>
      </c>
      <c r="I587" s="2987" t="s">
        <v>3486</v>
      </c>
      <c r="J587" s="2987" t="s">
        <v>3597</v>
      </c>
      <c r="K587" s="2988">
        <v>128.26</v>
      </c>
    </row>
    <row r="588" spans="2:11" ht="18" customHeight="1">
      <c r="B588" s="2986">
        <v>554</v>
      </c>
      <c r="C588" s="2987" t="s">
        <v>3482</v>
      </c>
      <c r="D588" s="2987" t="s">
        <v>3594</v>
      </c>
      <c r="E588" s="2987" t="s">
        <v>3985</v>
      </c>
      <c r="F588" s="2987"/>
      <c r="G588" s="2987">
        <v>602</v>
      </c>
      <c r="H588" s="2987" t="s">
        <v>4055</v>
      </c>
      <c r="I588" s="2987" t="s">
        <v>3486</v>
      </c>
      <c r="J588" s="2987" t="s">
        <v>3599</v>
      </c>
      <c r="K588" s="2988">
        <v>96.17</v>
      </c>
    </row>
    <row r="589" spans="2:11" ht="18" customHeight="1">
      <c r="B589" s="2986">
        <v>555</v>
      </c>
      <c r="C589" s="2987" t="s">
        <v>3482</v>
      </c>
      <c r="D589" s="2987" t="s">
        <v>3594</v>
      </c>
      <c r="E589" s="2987" t="s">
        <v>3985</v>
      </c>
      <c r="F589" s="2987"/>
      <c r="G589" s="2987">
        <v>603</v>
      </c>
      <c r="H589" s="2987" t="s">
        <v>4056</v>
      </c>
      <c r="I589" s="2987" t="s">
        <v>3486</v>
      </c>
      <c r="J589" s="2987" t="s">
        <v>3599</v>
      </c>
      <c r="K589" s="2988">
        <v>96.17</v>
      </c>
    </row>
    <row r="590" spans="2:11" ht="18" customHeight="1">
      <c r="B590" s="2986">
        <v>556</v>
      </c>
      <c r="C590" s="2987" t="s">
        <v>3482</v>
      </c>
      <c r="D590" s="2987" t="s">
        <v>3594</v>
      </c>
      <c r="E590" s="2987" t="s">
        <v>3985</v>
      </c>
      <c r="F590" s="2987"/>
      <c r="G590" s="2987">
        <v>604</v>
      </c>
      <c r="H590" s="2987" t="s">
        <v>4057</v>
      </c>
      <c r="I590" s="2987" t="s">
        <v>3486</v>
      </c>
      <c r="J590" s="2987" t="s">
        <v>3602</v>
      </c>
      <c r="K590" s="2988">
        <v>111.02</v>
      </c>
    </row>
    <row r="591" spans="2:11" ht="18" customHeight="1">
      <c r="B591" s="2986">
        <v>557</v>
      </c>
      <c r="C591" s="2987" t="s">
        <v>3482</v>
      </c>
      <c r="D591" s="2987" t="s">
        <v>3594</v>
      </c>
      <c r="E591" s="2987" t="s">
        <v>3985</v>
      </c>
      <c r="F591" s="2987"/>
      <c r="G591" s="2987">
        <v>701</v>
      </c>
      <c r="H591" s="2987" t="s">
        <v>4058</v>
      </c>
      <c r="I591" s="2987" t="s">
        <v>3486</v>
      </c>
      <c r="J591" s="2987" t="s">
        <v>3597</v>
      </c>
      <c r="K591" s="2988">
        <v>128.26</v>
      </c>
    </row>
    <row r="592" spans="2:11" ht="18" customHeight="1">
      <c r="B592" s="2986">
        <v>558</v>
      </c>
      <c r="C592" s="2987" t="s">
        <v>3482</v>
      </c>
      <c r="D592" s="2987" t="s">
        <v>3594</v>
      </c>
      <c r="E592" s="2987" t="s">
        <v>3985</v>
      </c>
      <c r="F592" s="2987"/>
      <c r="G592" s="2987">
        <v>702</v>
      </c>
      <c r="H592" s="2987" t="s">
        <v>4059</v>
      </c>
      <c r="I592" s="2987" t="s">
        <v>3486</v>
      </c>
      <c r="J592" s="2987" t="s">
        <v>3599</v>
      </c>
      <c r="K592" s="2988">
        <v>96.17</v>
      </c>
    </row>
    <row r="593" spans="2:11" ht="18" customHeight="1">
      <c r="B593" s="2986">
        <v>559</v>
      </c>
      <c r="C593" s="2987" t="s">
        <v>3482</v>
      </c>
      <c r="D593" s="2987" t="s">
        <v>3594</v>
      </c>
      <c r="E593" s="2987" t="s">
        <v>3985</v>
      </c>
      <c r="F593" s="2987"/>
      <c r="G593" s="2987">
        <v>703</v>
      </c>
      <c r="H593" s="2987" t="s">
        <v>4060</v>
      </c>
      <c r="I593" s="2987" t="s">
        <v>3486</v>
      </c>
      <c r="J593" s="2987" t="s">
        <v>3599</v>
      </c>
      <c r="K593" s="2988">
        <v>96.17</v>
      </c>
    </row>
    <row r="594" spans="2:11" ht="18" customHeight="1">
      <c r="B594" s="2986">
        <v>560</v>
      </c>
      <c r="C594" s="2987" t="s">
        <v>3482</v>
      </c>
      <c r="D594" s="2987" t="s">
        <v>3594</v>
      </c>
      <c r="E594" s="2987" t="s">
        <v>3985</v>
      </c>
      <c r="F594" s="2987"/>
      <c r="G594" s="2987">
        <v>704</v>
      </c>
      <c r="H594" s="2987" t="s">
        <v>4061</v>
      </c>
      <c r="I594" s="2987" t="s">
        <v>3486</v>
      </c>
      <c r="J594" s="2987" t="s">
        <v>3602</v>
      </c>
      <c r="K594" s="2988">
        <v>111.02</v>
      </c>
    </row>
    <row r="595" spans="2:11" ht="18" customHeight="1">
      <c r="B595" s="2986">
        <v>561</v>
      </c>
      <c r="C595" s="2987" t="s">
        <v>3482</v>
      </c>
      <c r="D595" s="2987" t="s">
        <v>3594</v>
      </c>
      <c r="E595" s="2987" t="s">
        <v>3985</v>
      </c>
      <c r="F595" s="2987"/>
      <c r="G595" s="2987">
        <v>801</v>
      </c>
      <c r="H595" s="2987" t="s">
        <v>4062</v>
      </c>
      <c r="I595" s="2987" t="s">
        <v>3486</v>
      </c>
      <c r="J595" s="2987" t="s">
        <v>3597</v>
      </c>
      <c r="K595" s="2988">
        <v>128.26</v>
      </c>
    </row>
    <row r="596" spans="2:11" ht="18" customHeight="1">
      <c r="B596" s="2986">
        <v>562</v>
      </c>
      <c r="C596" s="2987" t="s">
        <v>3482</v>
      </c>
      <c r="D596" s="2987" t="s">
        <v>3594</v>
      </c>
      <c r="E596" s="2987" t="s">
        <v>3985</v>
      </c>
      <c r="F596" s="2987"/>
      <c r="G596" s="2987">
        <v>802</v>
      </c>
      <c r="H596" s="2987" t="s">
        <v>4063</v>
      </c>
      <c r="I596" s="2987" t="s">
        <v>3486</v>
      </c>
      <c r="J596" s="2987" t="s">
        <v>3599</v>
      </c>
      <c r="K596" s="2988">
        <v>96.17</v>
      </c>
    </row>
    <row r="597" spans="2:11" ht="18" customHeight="1">
      <c r="B597" s="2986">
        <v>563</v>
      </c>
      <c r="C597" s="2987" t="s">
        <v>3482</v>
      </c>
      <c r="D597" s="2987" t="s">
        <v>3594</v>
      </c>
      <c r="E597" s="2987" t="s">
        <v>3985</v>
      </c>
      <c r="F597" s="2987"/>
      <c r="G597" s="2987">
        <v>803</v>
      </c>
      <c r="H597" s="2987" t="s">
        <v>4064</v>
      </c>
      <c r="I597" s="2987" t="s">
        <v>3486</v>
      </c>
      <c r="J597" s="2987" t="s">
        <v>3599</v>
      </c>
      <c r="K597" s="2988">
        <v>96.17</v>
      </c>
    </row>
    <row r="598" spans="2:11" ht="18" customHeight="1">
      <c r="B598" s="2986">
        <v>564</v>
      </c>
      <c r="C598" s="2987" t="s">
        <v>3482</v>
      </c>
      <c r="D598" s="2987" t="s">
        <v>3594</v>
      </c>
      <c r="E598" s="2987" t="s">
        <v>3985</v>
      </c>
      <c r="F598" s="2987"/>
      <c r="G598" s="2987">
        <v>804</v>
      </c>
      <c r="H598" s="2987" t="s">
        <v>4065</v>
      </c>
      <c r="I598" s="2987" t="s">
        <v>3486</v>
      </c>
      <c r="J598" s="2987" t="s">
        <v>3602</v>
      </c>
      <c r="K598" s="2988">
        <v>111.02</v>
      </c>
    </row>
    <row r="599" spans="2:11" ht="18" customHeight="1">
      <c r="B599" s="2986">
        <v>565</v>
      </c>
      <c r="C599" s="2987" t="s">
        <v>3482</v>
      </c>
      <c r="D599" s="2987" t="s">
        <v>3594</v>
      </c>
      <c r="E599" s="2987" t="s">
        <v>3985</v>
      </c>
      <c r="F599" s="2987"/>
      <c r="G599" s="2987">
        <v>901</v>
      </c>
      <c r="H599" s="2987" t="s">
        <v>4066</v>
      </c>
      <c r="I599" s="2987" t="s">
        <v>3486</v>
      </c>
      <c r="J599" s="2987" t="s">
        <v>3597</v>
      </c>
      <c r="K599" s="2988">
        <v>128.26</v>
      </c>
    </row>
    <row r="600" spans="2:11" ht="18" customHeight="1">
      <c r="B600" s="2986">
        <v>566</v>
      </c>
      <c r="C600" s="2987" t="s">
        <v>3482</v>
      </c>
      <c r="D600" s="2987" t="s">
        <v>3594</v>
      </c>
      <c r="E600" s="2987" t="s">
        <v>3985</v>
      </c>
      <c r="F600" s="2987"/>
      <c r="G600" s="2987">
        <v>902</v>
      </c>
      <c r="H600" s="2987" t="s">
        <v>4067</v>
      </c>
      <c r="I600" s="2987" t="s">
        <v>3486</v>
      </c>
      <c r="J600" s="2987" t="s">
        <v>3599</v>
      </c>
      <c r="K600" s="2988">
        <v>96.17</v>
      </c>
    </row>
    <row r="601" spans="2:11" ht="18" customHeight="1">
      <c r="B601" s="2986">
        <v>567</v>
      </c>
      <c r="C601" s="2987" t="s">
        <v>3482</v>
      </c>
      <c r="D601" s="2987" t="s">
        <v>3594</v>
      </c>
      <c r="E601" s="2987" t="s">
        <v>3985</v>
      </c>
      <c r="F601" s="2987"/>
      <c r="G601" s="2987">
        <v>903</v>
      </c>
      <c r="H601" s="2987" t="s">
        <v>4068</v>
      </c>
      <c r="I601" s="2987" t="s">
        <v>3486</v>
      </c>
      <c r="J601" s="2987" t="s">
        <v>3599</v>
      </c>
      <c r="K601" s="2988">
        <v>96.17</v>
      </c>
    </row>
    <row r="602" spans="2:11" ht="18" customHeight="1">
      <c r="B602" s="2986">
        <v>568</v>
      </c>
      <c r="C602" s="2987" t="s">
        <v>3482</v>
      </c>
      <c r="D602" s="2987" t="s">
        <v>3594</v>
      </c>
      <c r="E602" s="2987" t="s">
        <v>3985</v>
      </c>
      <c r="F602" s="2987"/>
      <c r="G602" s="2987">
        <v>904</v>
      </c>
      <c r="H602" s="2987" t="s">
        <v>4069</v>
      </c>
      <c r="I602" s="2987" t="s">
        <v>3486</v>
      </c>
      <c r="J602" s="2987" t="s">
        <v>3602</v>
      </c>
      <c r="K602" s="2988">
        <v>111.02</v>
      </c>
    </row>
    <row r="603" spans="2:11" s="3021" customFormat="1" ht="18" customHeight="1">
      <c r="B603" s="3018"/>
      <c r="C603" s="3019"/>
      <c r="D603" s="3019"/>
      <c r="E603" s="3019"/>
      <c r="F603" s="3019"/>
      <c r="G603" s="3019"/>
      <c r="H603" s="3019"/>
      <c r="I603" s="3019"/>
      <c r="J603" s="3019"/>
      <c r="K603" s="3020">
        <f>SUM(K519:K602)</f>
        <v>9064.0200000000095</v>
      </c>
    </row>
    <row r="604" spans="2:11" ht="18" customHeight="1">
      <c r="B604" s="2986">
        <v>569</v>
      </c>
      <c r="C604" s="2987" t="s">
        <v>3482</v>
      </c>
      <c r="D604" s="2987" t="s">
        <v>3594</v>
      </c>
      <c r="E604" s="2987" t="s">
        <v>4070</v>
      </c>
      <c r="F604" s="2987">
        <v>1</v>
      </c>
      <c r="G604" s="2987">
        <v>1001</v>
      </c>
      <c r="H604" s="2987" t="s">
        <v>4071</v>
      </c>
      <c r="I604" s="2987" t="s">
        <v>3486</v>
      </c>
      <c r="J604" s="2987" t="s">
        <v>3597</v>
      </c>
      <c r="K604" s="2988">
        <v>128.26</v>
      </c>
    </row>
    <row r="605" spans="2:11" ht="18" customHeight="1">
      <c r="B605" s="2986">
        <v>570</v>
      </c>
      <c r="C605" s="2987" t="s">
        <v>3482</v>
      </c>
      <c r="D605" s="2987" t="s">
        <v>3594</v>
      </c>
      <c r="E605" s="2987" t="s">
        <v>4070</v>
      </c>
      <c r="F605" s="2987">
        <v>1</v>
      </c>
      <c r="G605" s="2987">
        <v>1002</v>
      </c>
      <c r="H605" s="2987" t="s">
        <v>4072</v>
      </c>
      <c r="I605" s="2987" t="s">
        <v>3486</v>
      </c>
      <c r="J605" s="2987" t="s">
        <v>3599</v>
      </c>
      <c r="K605" s="2988">
        <v>96.17</v>
      </c>
    </row>
    <row r="606" spans="2:11" ht="18" customHeight="1">
      <c r="B606" s="2986">
        <v>571</v>
      </c>
      <c r="C606" s="2987" t="s">
        <v>3482</v>
      </c>
      <c r="D606" s="2987" t="s">
        <v>3594</v>
      </c>
      <c r="E606" s="2987" t="s">
        <v>4070</v>
      </c>
      <c r="F606" s="2987">
        <v>1</v>
      </c>
      <c r="G606" s="2987">
        <v>1003</v>
      </c>
      <c r="H606" s="2987" t="s">
        <v>4073</v>
      </c>
      <c r="I606" s="2987" t="s">
        <v>3486</v>
      </c>
      <c r="J606" s="2987" t="s">
        <v>3599</v>
      </c>
      <c r="K606" s="2988">
        <v>96.17</v>
      </c>
    </row>
    <row r="607" spans="2:11" ht="18" customHeight="1">
      <c r="B607" s="2986">
        <v>572</v>
      </c>
      <c r="C607" s="2987" t="s">
        <v>3482</v>
      </c>
      <c r="D607" s="2987" t="s">
        <v>3594</v>
      </c>
      <c r="E607" s="2987" t="s">
        <v>4070</v>
      </c>
      <c r="F607" s="2987">
        <v>1</v>
      </c>
      <c r="G607" s="2987">
        <v>1004</v>
      </c>
      <c r="H607" s="2987" t="s">
        <v>4074</v>
      </c>
      <c r="I607" s="2987" t="s">
        <v>3486</v>
      </c>
      <c r="J607" s="2987" t="s">
        <v>3602</v>
      </c>
      <c r="K607" s="2988">
        <v>111.01</v>
      </c>
    </row>
    <row r="608" spans="2:11" ht="18" customHeight="1">
      <c r="B608" s="2986">
        <v>573</v>
      </c>
      <c r="C608" s="2987" t="s">
        <v>3482</v>
      </c>
      <c r="D608" s="2987" t="s">
        <v>3594</v>
      </c>
      <c r="E608" s="2987" t="s">
        <v>4070</v>
      </c>
      <c r="F608" s="2987">
        <v>1</v>
      </c>
      <c r="G608" s="2987">
        <v>101</v>
      </c>
      <c r="H608" s="2987" t="s">
        <v>4075</v>
      </c>
      <c r="I608" s="2987" t="s">
        <v>3486</v>
      </c>
      <c r="J608" s="2987" t="s">
        <v>3597</v>
      </c>
      <c r="K608" s="2988">
        <v>128.26</v>
      </c>
    </row>
    <row r="609" spans="2:11" ht="18" customHeight="1">
      <c r="B609" s="2986">
        <v>574</v>
      </c>
      <c r="C609" s="2987" t="s">
        <v>3482</v>
      </c>
      <c r="D609" s="2987" t="s">
        <v>3594</v>
      </c>
      <c r="E609" s="2987" t="s">
        <v>4070</v>
      </c>
      <c r="F609" s="2987">
        <v>1</v>
      </c>
      <c r="G609" s="2987">
        <v>102</v>
      </c>
      <c r="H609" s="2987" t="s">
        <v>4076</v>
      </c>
      <c r="I609" s="2987" t="s">
        <v>3486</v>
      </c>
      <c r="J609" s="2987" t="s">
        <v>3599</v>
      </c>
      <c r="K609" s="2988">
        <v>96.17</v>
      </c>
    </row>
    <row r="610" spans="2:11" ht="18" customHeight="1">
      <c r="B610" s="2986">
        <v>575</v>
      </c>
      <c r="C610" s="2987" t="s">
        <v>3482</v>
      </c>
      <c r="D610" s="2987" t="s">
        <v>3594</v>
      </c>
      <c r="E610" s="2987" t="s">
        <v>4070</v>
      </c>
      <c r="F610" s="2987">
        <v>1</v>
      </c>
      <c r="G610" s="2987">
        <v>103</v>
      </c>
      <c r="H610" s="2987" t="s">
        <v>4077</v>
      </c>
      <c r="I610" s="2987" t="s">
        <v>3486</v>
      </c>
      <c r="J610" s="2987" t="s">
        <v>3599</v>
      </c>
      <c r="K610" s="2988">
        <v>96.17</v>
      </c>
    </row>
    <row r="611" spans="2:11" ht="18" customHeight="1">
      <c r="B611" s="2986">
        <v>576</v>
      </c>
      <c r="C611" s="2987" t="s">
        <v>3482</v>
      </c>
      <c r="D611" s="2987" t="s">
        <v>3594</v>
      </c>
      <c r="E611" s="2987" t="s">
        <v>4070</v>
      </c>
      <c r="F611" s="2987">
        <v>1</v>
      </c>
      <c r="G611" s="2987">
        <v>104</v>
      </c>
      <c r="H611" s="2987" t="s">
        <v>4078</v>
      </c>
      <c r="I611" s="2987" t="s">
        <v>3486</v>
      </c>
      <c r="J611" s="2987" t="s">
        <v>3602</v>
      </c>
      <c r="K611" s="2988">
        <v>111.01</v>
      </c>
    </row>
    <row r="612" spans="2:11" ht="18" customHeight="1">
      <c r="B612" s="2986">
        <v>577</v>
      </c>
      <c r="C612" s="2987" t="s">
        <v>3482</v>
      </c>
      <c r="D612" s="2987" t="s">
        <v>3594</v>
      </c>
      <c r="E612" s="2987" t="s">
        <v>4070</v>
      </c>
      <c r="F612" s="2987">
        <v>1</v>
      </c>
      <c r="G612" s="2987">
        <v>1101</v>
      </c>
      <c r="H612" s="2987" t="s">
        <v>4079</v>
      </c>
      <c r="I612" s="2987" t="s">
        <v>3486</v>
      </c>
      <c r="J612" s="2987" t="s">
        <v>3597</v>
      </c>
      <c r="K612" s="2988">
        <v>128.26</v>
      </c>
    </row>
    <row r="613" spans="2:11" ht="18" customHeight="1">
      <c r="B613" s="2986">
        <v>578</v>
      </c>
      <c r="C613" s="2987" t="s">
        <v>3482</v>
      </c>
      <c r="D613" s="2987" t="s">
        <v>3594</v>
      </c>
      <c r="E613" s="2987" t="s">
        <v>4070</v>
      </c>
      <c r="F613" s="2987">
        <v>1</v>
      </c>
      <c r="G613" s="2987">
        <v>1102</v>
      </c>
      <c r="H613" s="2987" t="s">
        <v>4080</v>
      </c>
      <c r="I613" s="2987" t="s">
        <v>3486</v>
      </c>
      <c r="J613" s="2987" t="s">
        <v>3599</v>
      </c>
      <c r="K613" s="2988">
        <v>96.17</v>
      </c>
    </row>
    <row r="614" spans="2:11" ht="18" customHeight="1">
      <c r="B614" s="2986">
        <v>579</v>
      </c>
      <c r="C614" s="2987" t="s">
        <v>3482</v>
      </c>
      <c r="D614" s="2987" t="s">
        <v>3594</v>
      </c>
      <c r="E614" s="2987" t="s">
        <v>4070</v>
      </c>
      <c r="F614" s="2987">
        <v>1</v>
      </c>
      <c r="G614" s="2987">
        <v>1103</v>
      </c>
      <c r="H614" s="2987" t="s">
        <v>4081</v>
      </c>
      <c r="I614" s="2987" t="s">
        <v>3486</v>
      </c>
      <c r="J614" s="2987" t="s">
        <v>3599</v>
      </c>
      <c r="K614" s="2988">
        <v>96.17</v>
      </c>
    </row>
    <row r="615" spans="2:11" ht="18" customHeight="1">
      <c r="B615" s="2986">
        <v>580</v>
      </c>
      <c r="C615" s="2987" t="s">
        <v>3482</v>
      </c>
      <c r="D615" s="2987" t="s">
        <v>3594</v>
      </c>
      <c r="E615" s="2987" t="s">
        <v>4070</v>
      </c>
      <c r="F615" s="2987">
        <v>1</v>
      </c>
      <c r="G615" s="2987">
        <v>1104</v>
      </c>
      <c r="H615" s="2987" t="s">
        <v>4082</v>
      </c>
      <c r="I615" s="2987" t="s">
        <v>3486</v>
      </c>
      <c r="J615" s="2987" t="s">
        <v>3602</v>
      </c>
      <c r="K615" s="2988">
        <v>111.01</v>
      </c>
    </row>
    <row r="616" spans="2:11" ht="18" customHeight="1">
      <c r="B616" s="2986">
        <v>581</v>
      </c>
      <c r="C616" s="2987" t="s">
        <v>3482</v>
      </c>
      <c r="D616" s="2987" t="s">
        <v>3594</v>
      </c>
      <c r="E616" s="2987" t="s">
        <v>4070</v>
      </c>
      <c r="F616" s="2987">
        <v>1</v>
      </c>
      <c r="G616" s="2987">
        <v>1201</v>
      </c>
      <c r="H616" s="2987" t="s">
        <v>4083</v>
      </c>
      <c r="I616" s="2987" t="s">
        <v>3486</v>
      </c>
      <c r="J616" s="2987" t="s">
        <v>3597</v>
      </c>
      <c r="K616" s="2988">
        <v>128.26</v>
      </c>
    </row>
    <row r="617" spans="2:11" ht="18" customHeight="1">
      <c r="B617" s="2986">
        <v>582</v>
      </c>
      <c r="C617" s="2987" t="s">
        <v>3482</v>
      </c>
      <c r="D617" s="2987" t="s">
        <v>3594</v>
      </c>
      <c r="E617" s="2987" t="s">
        <v>4070</v>
      </c>
      <c r="F617" s="2987">
        <v>1</v>
      </c>
      <c r="G617" s="2987">
        <v>1202</v>
      </c>
      <c r="H617" s="2987" t="s">
        <v>4084</v>
      </c>
      <c r="I617" s="2987" t="s">
        <v>3486</v>
      </c>
      <c r="J617" s="2987" t="s">
        <v>3599</v>
      </c>
      <c r="K617" s="2988">
        <v>96.17</v>
      </c>
    </row>
    <row r="618" spans="2:11" ht="18" customHeight="1">
      <c r="B618" s="2986">
        <v>583</v>
      </c>
      <c r="C618" s="2987" t="s">
        <v>3482</v>
      </c>
      <c r="D618" s="2987" t="s">
        <v>3594</v>
      </c>
      <c r="E618" s="2987" t="s">
        <v>4070</v>
      </c>
      <c r="F618" s="2987">
        <v>1</v>
      </c>
      <c r="G618" s="2987">
        <v>1203</v>
      </c>
      <c r="H618" s="2987" t="s">
        <v>4085</v>
      </c>
      <c r="I618" s="2987" t="s">
        <v>3486</v>
      </c>
      <c r="J618" s="2987" t="s">
        <v>3599</v>
      </c>
      <c r="K618" s="2988">
        <v>96.17</v>
      </c>
    </row>
    <row r="619" spans="2:11" ht="18" customHeight="1">
      <c r="B619" s="2986">
        <v>584</v>
      </c>
      <c r="C619" s="2987" t="s">
        <v>3482</v>
      </c>
      <c r="D619" s="2987" t="s">
        <v>3594</v>
      </c>
      <c r="E619" s="2987" t="s">
        <v>4070</v>
      </c>
      <c r="F619" s="2987">
        <v>1</v>
      </c>
      <c r="G619" s="2987">
        <v>1204</v>
      </c>
      <c r="H619" s="2987" t="s">
        <v>4086</v>
      </c>
      <c r="I619" s="2987" t="s">
        <v>3486</v>
      </c>
      <c r="J619" s="2987" t="s">
        <v>3602</v>
      </c>
      <c r="K619" s="2988">
        <v>111.01</v>
      </c>
    </row>
    <row r="620" spans="2:11" ht="18" customHeight="1">
      <c r="B620" s="2986">
        <v>585</v>
      </c>
      <c r="C620" s="2987" t="s">
        <v>3482</v>
      </c>
      <c r="D620" s="2987" t="s">
        <v>3594</v>
      </c>
      <c r="E620" s="2987" t="s">
        <v>4070</v>
      </c>
      <c r="F620" s="2987">
        <v>1</v>
      </c>
      <c r="G620" s="2987">
        <v>1301</v>
      </c>
      <c r="H620" s="2987" t="s">
        <v>4087</v>
      </c>
      <c r="I620" s="2987" t="s">
        <v>3486</v>
      </c>
      <c r="J620" s="2987" t="s">
        <v>3597</v>
      </c>
      <c r="K620" s="2988">
        <v>128.26</v>
      </c>
    </row>
    <row r="621" spans="2:11" ht="18" customHeight="1">
      <c r="B621" s="2986">
        <v>586</v>
      </c>
      <c r="C621" s="2987" t="s">
        <v>3482</v>
      </c>
      <c r="D621" s="2987" t="s">
        <v>3594</v>
      </c>
      <c r="E621" s="2987" t="s">
        <v>4070</v>
      </c>
      <c r="F621" s="2987">
        <v>1</v>
      </c>
      <c r="G621" s="2987">
        <v>1302</v>
      </c>
      <c r="H621" s="2987" t="s">
        <v>4088</v>
      </c>
      <c r="I621" s="2987" t="s">
        <v>3486</v>
      </c>
      <c r="J621" s="2987" t="s">
        <v>3599</v>
      </c>
      <c r="K621" s="2988">
        <v>96.17</v>
      </c>
    </row>
    <row r="622" spans="2:11" ht="18" customHeight="1">
      <c r="B622" s="2986">
        <v>587</v>
      </c>
      <c r="C622" s="2987" t="s">
        <v>3482</v>
      </c>
      <c r="D622" s="2987" t="s">
        <v>3594</v>
      </c>
      <c r="E622" s="2987" t="s">
        <v>4070</v>
      </c>
      <c r="F622" s="2987">
        <v>1</v>
      </c>
      <c r="G622" s="2987">
        <v>1303</v>
      </c>
      <c r="H622" s="2987" t="s">
        <v>4089</v>
      </c>
      <c r="I622" s="2987" t="s">
        <v>3486</v>
      </c>
      <c r="J622" s="2987" t="s">
        <v>3599</v>
      </c>
      <c r="K622" s="2988">
        <v>96.17</v>
      </c>
    </row>
    <row r="623" spans="2:11" ht="18" customHeight="1">
      <c r="B623" s="2986">
        <v>588</v>
      </c>
      <c r="C623" s="2987" t="s">
        <v>3482</v>
      </c>
      <c r="D623" s="2987" t="s">
        <v>3594</v>
      </c>
      <c r="E623" s="2987" t="s">
        <v>4070</v>
      </c>
      <c r="F623" s="2987">
        <v>1</v>
      </c>
      <c r="G623" s="2987">
        <v>1304</v>
      </c>
      <c r="H623" s="2987" t="s">
        <v>4090</v>
      </c>
      <c r="I623" s="2987" t="s">
        <v>3486</v>
      </c>
      <c r="J623" s="2987" t="s">
        <v>3602</v>
      </c>
      <c r="K623" s="2988">
        <v>111.01</v>
      </c>
    </row>
    <row r="624" spans="2:11" ht="18" customHeight="1">
      <c r="B624" s="2986">
        <v>589</v>
      </c>
      <c r="C624" s="2987" t="s">
        <v>3482</v>
      </c>
      <c r="D624" s="2987" t="s">
        <v>3594</v>
      </c>
      <c r="E624" s="2987" t="s">
        <v>4070</v>
      </c>
      <c r="F624" s="2987">
        <v>1</v>
      </c>
      <c r="G624" s="2987">
        <v>1401</v>
      </c>
      <c r="H624" s="2987" t="s">
        <v>4091</v>
      </c>
      <c r="I624" s="2987" t="s">
        <v>3486</v>
      </c>
      <c r="J624" s="2987" t="s">
        <v>3597</v>
      </c>
      <c r="K624" s="2988">
        <v>128.26</v>
      </c>
    </row>
    <row r="625" spans="2:11" ht="18" customHeight="1">
      <c r="B625" s="2986">
        <v>590</v>
      </c>
      <c r="C625" s="2987" t="s">
        <v>3482</v>
      </c>
      <c r="D625" s="2987" t="s">
        <v>3594</v>
      </c>
      <c r="E625" s="2987" t="s">
        <v>4070</v>
      </c>
      <c r="F625" s="2987">
        <v>1</v>
      </c>
      <c r="G625" s="2987">
        <v>1402</v>
      </c>
      <c r="H625" s="2987" t="s">
        <v>4092</v>
      </c>
      <c r="I625" s="2987" t="s">
        <v>3486</v>
      </c>
      <c r="J625" s="2987" t="s">
        <v>3599</v>
      </c>
      <c r="K625" s="2988">
        <v>96.17</v>
      </c>
    </row>
    <row r="626" spans="2:11" ht="18" customHeight="1">
      <c r="B626" s="2986">
        <v>591</v>
      </c>
      <c r="C626" s="2987" t="s">
        <v>3482</v>
      </c>
      <c r="D626" s="2987" t="s">
        <v>3594</v>
      </c>
      <c r="E626" s="2987" t="s">
        <v>4070</v>
      </c>
      <c r="F626" s="2987">
        <v>1</v>
      </c>
      <c r="G626" s="2987">
        <v>1403</v>
      </c>
      <c r="H626" s="2987" t="s">
        <v>4093</v>
      </c>
      <c r="I626" s="2987" t="s">
        <v>3486</v>
      </c>
      <c r="J626" s="2987" t="s">
        <v>3599</v>
      </c>
      <c r="K626" s="2988">
        <v>96.17</v>
      </c>
    </row>
    <row r="627" spans="2:11" ht="18" customHeight="1">
      <c r="B627" s="2986">
        <v>592</v>
      </c>
      <c r="C627" s="2987" t="s">
        <v>3482</v>
      </c>
      <c r="D627" s="2987" t="s">
        <v>3594</v>
      </c>
      <c r="E627" s="2987" t="s">
        <v>4070</v>
      </c>
      <c r="F627" s="2987">
        <v>1</v>
      </c>
      <c r="G627" s="2987">
        <v>1404</v>
      </c>
      <c r="H627" s="2987" t="s">
        <v>4094</v>
      </c>
      <c r="I627" s="2987" t="s">
        <v>3486</v>
      </c>
      <c r="J627" s="2987" t="s">
        <v>3602</v>
      </c>
      <c r="K627" s="2988">
        <v>111.01</v>
      </c>
    </row>
    <row r="628" spans="2:11" ht="18" customHeight="1">
      <c r="B628" s="2986">
        <v>593</v>
      </c>
      <c r="C628" s="2987" t="s">
        <v>3482</v>
      </c>
      <c r="D628" s="2987" t="s">
        <v>3594</v>
      </c>
      <c r="E628" s="2987" t="s">
        <v>4070</v>
      </c>
      <c r="F628" s="2987">
        <v>1</v>
      </c>
      <c r="G628" s="2987">
        <v>1501</v>
      </c>
      <c r="H628" s="2987" t="s">
        <v>4095</v>
      </c>
      <c r="I628" s="2987" t="s">
        <v>3486</v>
      </c>
      <c r="J628" s="2987" t="s">
        <v>3597</v>
      </c>
      <c r="K628" s="2988">
        <v>128.26</v>
      </c>
    </row>
    <row r="629" spans="2:11" ht="18" customHeight="1">
      <c r="B629" s="2986">
        <v>594</v>
      </c>
      <c r="C629" s="2987" t="s">
        <v>3482</v>
      </c>
      <c r="D629" s="2987" t="s">
        <v>3594</v>
      </c>
      <c r="E629" s="2987" t="s">
        <v>4070</v>
      </c>
      <c r="F629" s="2987">
        <v>1</v>
      </c>
      <c r="G629" s="2987">
        <v>1502</v>
      </c>
      <c r="H629" s="2987" t="s">
        <v>4096</v>
      </c>
      <c r="I629" s="2987" t="s">
        <v>3486</v>
      </c>
      <c r="J629" s="2987" t="s">
        <v>3599</v>
      </c>
      <c r="K629" s="2988">
        <v>96.17</v>
      </c>
    </row>
    <row r="630" spans="2:11" ht="18" customHeight="1">
      <c r="B630" s="2986">
        <v>595</v>
      </c>
      <c r="C630" s="2987" t="s">
        <v>3482</v>
      </c>
      <c r="D630" s="2987" t="s">
        <v>3594</v>
      </c>
      <c r="E630" s="2987" t="s">
        <v>4070</v>
      </c>
      <c r="F630" s="2987">
        <v>1</v>
      </c>
      <c r="G630" s="2987">
        <v>1503</v>
      </c>
      <c r="H630" s="2987" t="s">
        <v>4097</v>
      </c>
      <c r="I630" s="2987" t="s">
        <v>3486</v>
      </c>
      <c r="J630" s="2987" t="s">
        <v>3599</v>
      </c>
      <c r="K630" s="2988">
        <v>96.17</v>
      </c>
    </row>
    <row r="631" spans="2:11" ht="18" customHeight="1">
      <c r="B631" s="2986">
        <v>596</v>
      </c>
      <c r="C631" s="2987" t="s">
        <v>3482</v>
      </c>
      <c r="D631" s="2987" t="s">
        <v>3594</v>
      </c>
      <c r="E631" s="2987" t="s">
        <v>4070</v>
      </c>
      <c r="F631" s="2987">
        <v>1</v>
      </c>
      <c r="G631" s="2987">
        <v>1504</v>
      </c>
      <c r="H631" s="2987" t="s">
        <v>4098</v>
      </c>
      <c r="I631" s="2987" t="s">
        <v>3486</v>
      </c>
      <c r="J631" s="2987" t="s">
        <v>3602</v>
      </c>
      <c r="K631" s="2988">
        <v>111.01</v>
      </c>
    </row>
    <row r="632" spans="2:11" ht="18" customHeight="1">
      <c r="B632" s="2986">
        <v>597</v>
      </c>
      <c r="C632" s="2987" t="s">
        <v>3482</v>
      </c>
      <c r="D632" s="2987" t="s">
        <v>3594</v>
      </c>
      <c r="E632" s="2987" t="s">
        <v>4070</v>
      </c>
      <c r="F632" s="2987">
        <v>1</v>
      </c>
      <c r="G632" s="2987">
        <v>1601</v>
      </c>
      <c r="H632" s="2987" t="s">
        <v>4099</v>
      </c>
      <c r="I632" s="2987" t="s">
        <v>3486</v>
      </c>
      <c r="J632" s="2987" t="s">
        <v>3597</v>
      </c>
      <c r="K632" s="2988">
        <v>128.26</v>
      </c>
    </row>
    <row r="633" spans="2:11" ht="18" customHeight="1">
      <c r="B633" s="2986">
        <v>598</v>
      </c>
      <c r="C633" s="2987" t="s">
        <v>3482</v>
      </c>
      <c r="D633" s="2987" t="s">
        <v>3594</v>
      </c>
      <c r="E633" s="2987" t="s">
        <v>4070</v>
      </c>
      <c r="F633" s="2987">
        <v>1</v>
      </c>
      <c r="G633" s="2987">
        <v>1602</v>
      </c>
      <c r="H633" s="2987" t="s">
        <v>4100</v>
      </c>
      <c r="I633" s="2987" t="s">
        <v>3486</v>
      </c>
      <c r="J633" s="2987" t="s">
        <v>3599</v>
      </c>
      <c r="K633" s="2988">
        <v>96.17</v>
      </c>
    </row>
    <row r="634" spans="2:11" ht="18" customHeight="1">
      <c r="B634" s="2986">
        <v>599</v>
      </c>
      <c r="C634" s="2987" t="s">
        <v>3482</v>
      </c>
      <c r="D634" s="2987" t="s">
        <v>3594</v>
      </c>
      <c r="E634" s="2987" t="s">
        <v>4070</v>
      </c>
      <c r="F634" s="2987">
        <v>1</v>
      </c>
      <c r="G634" s="2987">
        <v>1603</v>
      </c>
      <c r="H634" s="2987" t="s">
        <v>4101</v>
      </c>
      <c r="I634" s="2987" t="s">
        <v>3486</v>
      </c>
      <c r="J634" s="2987" t="s">
        <v>3599</v>
      </c>
      <c r="K634" s="2988">
        <v>96.17</v>
      </c>
    </row>
    <row r="635" spans="2:11" ht="18" customHeight="1">
      <c r="B635" s="2986">
        <v>600</v>
      </c>
      <c r="C635" s="2987" t="s">
        <v>3482</v>
      </c>
      <c r="D635" s="2987" t="s">
        <v>3594</v>
      </c>
      <c r="E635" s="2987" t="s">
        <v>4070</v>
      </c>
      <c r="F635" s="2987">
        <v>1</v>
      </c>
      <c r="G635" s="2987">
        <v>1604</v>
      </c>
      <c r="H635" s="2987" t="s">
        <v>4102</v>
      </c>
      <c r="I635" s="2987" t="s">
        <v>3486</v>
      </c>
      <c r="J635" s="2987" t="s">
        <v>3602</v>
      </c>
      <c r="K635" s="2988">
        <v>111.01</v>
      </c>
    </row>
    <row r="636" spans="2:11" ht="18" customHeight="1">
      <c r="B636" s="2986">
        <v>601</v>
      </c>
      <c r="C636" s="2987" t="s">
        <v>3482</v>
      </c>
      <c r="D636" s="2987" t="s">
        <v>3594</v>
      </c>
      <c r="E636" s="2987" t="s">
        <v>4070</v>
      </c>
      <c r="F636" s="2987">
        <v>1</v>
      </c>
      <c r="G636" s="2987">
        <v>1701</v>
      </c>
      <c r="H636" s="2987" t="s">
        <v>4103</v>
      </c>
      <c r="I636" s="2987" t="s">
        <v>3486</v>
      </c>
      <c r="J636" s="2987" t="s">
        <v>3597</v>
      </c>
      <c r="K636" s="2988">
        <v>128.26</v>
      </c>
    </row>
    <row r="637" spans="2:11" ht="18" customHeight="1">
      <c r="B637" s="2986">
        <v>602</v>
      </c>
      <c r="C637" s="2987" t="s">
        <v>3482</v>
      </c>
      <c r="D637" s="2987" t="s">
        <v>3594</v>
      </c>
      <c r="E637" s="2987" t="s">
        <v>4070</v>
      </c>
      <c r="F637" s="2987">
        <v>1</v>
      </c>
      <c r="G637" s="2987">
        <v>1702</v>
      </c>
      <c r="H637" s="2987" t="s">
        <v>4104</v>
      </c>
      <c r="I637" s="2987" t="s">
        <v>3486</v>
      </c>
      <c r="J637" s="2987" t="s">
        <v>3599</v>
      </c>
      <c r="K637" s="2988">
        <v>96.17</v>
      </c>
    </row>
    <row r="638" spans="2:11" ht="18" customHeight="1">
      <c r="B638" s="2986">
        <v>603</v>
      </c>
      <c r="C638" s="2987" t="s">
        <v>3482</v>
      </c>
      <c r="D638" s="2987" t="s">
        <v>3594</v>
      </c>
      <c r="E638" s="2987" t="s">
        <v>4070</v>
      </c>
      <c r="F638" s="2987">
        <v>1</v>
      </c>
      <c r="G638" s="2987">
        <v>1703</v>
      </c>
      <c r="H638" s="2987" t="s">
        <v>4105</v>
      </c>
      <c r="I638" s="2987" t="s">
        <v>3486</v>
      </c>
      <c r="J638" s="2987" t="s">
        <v>3599</v>
      </c>
      <c r="K638" s="2988">
        <v>96.17</v>
      </c>
    </row>
    <row r="639" spans="2:11" ht="18" customHeight="1">
      <c r="B639" s="2986">
        <v>604</v>
      </c>
      <c r="C639" s="2987" t="s">
        <v>3482</v>
      </c>
      <c r="D639" s="2987" t="s">
        <v>3594</v>
      </c>
      <c r="E639" s="2987" t="s">
        <v>4070</v>
      </c>
      <c r="F639" s="2987">
        <v>1</v>
      </c>
      <c r="G639" s="2987">
        <v>1704</v>
      </c>
      <c r="H639" s="2987" t="s">
        <v>4106</v>
      </c>
      <c r="I639" s="2987" t="s">
        <v>3486</v>
      </c>
      <c r="J639" s="2987" t="s">
        <v>3602</v>
      </c>
      <c r="K639" s="2988">
        <v>111.01</v>
      </c>
    </row>
    <row r="640" spans="2:11" ht="18" customHeight="1">
      <c r="B640" s="2986">
        <v>605</v>
      </c>
      <c r="C640" s="2987" t="s">
        <v>3482</v>
      </c>
      <c r="D640" s="2987" t="s">
        <v>3594</v>
      </c>
      <c r="E640" s="2987" t="s">
        <v>4070</v>
      </c>
      <c r="F640" s="2987">
        <v>1</v>
      </c>
      <c r="G640" s="2987">
        <v>1801</v>
      </c>
      <c r="H640" s="2987" t="s">
        <v>4107</v>
      </c>
      <c r="I640" s="2987" t="s">
        <v>3486</v>
      </c>
      <c r="J640" s="2987" t="s">
        <v>3597</v>
      </c>
      <c r="K640" s="2988">
        <v>128.26</v>
      </c>
    </row>
    <row r="641" spans="2:11" ht="18" customHeight="1">
      <c r="B641" s="2986">
        <v>606</v>
      </c>
      <c r="C641" s="2987" t="s">
        <v>3482</v>
      </c>
      <c r="D641" s="2987" t="s">
        <v>3594</v>
      </c>
      <c r="E641" s="2987" t="s">
        <v>4070</v>
      </c>
      <c r="F641" s="2987">
        <v>1</v>
      </c>
      <c r="G641" s="2987">
        <v>1802</v>
      </c>
      <c r="H641" s="2987" t="s">
        <v>4108</v>
      </c>
      <c r="I641" s="2987" t="s">
        <v>3486</v>
      </c>
      <c r="J641" s="2987" t="s">
        <v>3599</v>
      </c>
      <c r="K641" s="2988">
        <v>96.17</v>
      </c>
    </row>
    <row r="642" spans="2:11" ht="18" customHeight="1">
      <c r="B642" s="2986">
        <v>607</v>
      </c>
      <c r="C642" s="2987" t="s">
        <v>3482</v>
      </c>
      <c r="D642" s="2987" t="s">
        <v>3594</v>
      </c>
      <c r="E642" s="2987" t="s">
        <v>4070</v>
      </c>
      <c r="F642" s="2987">
        <v>1</v>
      </c>
      <c r="G642" s="2987">
        <v>1803</v>
      </c>
      <c r="H642" s="2987" t="s">
        <v>4109</v>
      </c>
      <c r="I642" s="2987" t="s">
        <v>3486</v>
      </c>
      <c r="J642" s="2987" t="s">
        <v>3599</v>
      </c>
      <c r="K642" s="2988">
        <v>96.17</v>
      </c>
    </row>
    <row r="643" spans="2:11" ht="18" customHeight="1">
      <c r="B643" s="2986">
        <v>608</v>
      </c>
      <c r="C643" s="2987" t="s">
        <v>3482</v>
      </c>
      <c r="D643" s="2987" t="s">
        <v>3594</v>
      </c>
      <c r="E643" s="2987" t="s">
        <v>4070</v>
      </c>
      <c r="F643" s="2987">
        <v>1</v>
      </c>
      <c r="G643" s="2987">
        <v>1804</v>
      </c>
      <c r="H643" s="2987" t="s">
        <v>4110</v>
      </c>
      <c r="I643" s="2987" t="s">
        <v>3486</v>
      </c>
      <c r="J643" s="2987" t="s">
        <v>3602</v>
      </c>
      <c r="K643" s="2988">
        <v>111.01</v>
      </c>
    </row>
    <row r="644" spans="2:11" ht="18" customHeight="1">
      <c r="B644" s="2986">
        <v>609</v>
      </c>
      <c r="C644" s="2987" t="s">
        <v>3482</v>
      </c>
      <c r="D644" s="2987" t="s">
        <v>3594</v>
      </c>
      <c r="E644" s="2987" t="s">
        <v>4070</v>
      </c>
      <c r="F644" s="2987">
        <v>1</v>
      </c>
      <c r="G644" s="2987">
        <v>1901</v>
      </c>
      <c r="H644" s="2987" t="s">
        <v>4111</v>
      </c>
      <c r="I644" s="2987" t="s">
        <v>3486</v>
      </c>
      <c r="J644" s="2987" t="s">
        <v>3597</v>
      </c>
      <c r="K644" s="2988">
        <v>128.26</v>
      </c>
    </row>
    <row r="645" spans="2:11" ht="18" customHeight="1">
      <c r="B645" s="2986">
        <v>610</v>
      </c>
      <c r="C645" s="2987" t="s">
        <v>3482</v>
      </c>
      <c r="D645" s="2987" t="s">
        <v>3594</v>
      </c>
      <c r="E645" s="2987" t="s">
        <v>4070</v>
      </c>
      <c r="F645" s="2987">
        <v>1</v>
      </c>
      <c r="G645" s="2987">
        <v>1902</v>
      </c>
      <c r="H645" s="2987" t="s">
        <v>4112</v>
      </c>
      <c r="I645" s="2987" t="s">
        <v>3486</v>
      </c>
      <c r="J645" s="2987" t="s">
        <v>3599</v>
      </c>
      <c r="K645" s="2988">
        <v>96.17</v>
      </c>
    </row>
    <row r="646" spans="2:11" ht="18" customHeight="1">
      <c r="B646" s="2986">
        <v>611</v>
      </c>
      <c r="C646" s="2987" t="s">
        <v>3482</v>
      </c>
      <c r="D646" s="2987" t="s">
        <v>3594</v>
      </c>
      <c r="E646" s="2987" t="s">
        <v>4070</v>
      </c>
      <c r="F646" s="2987">
        <v>1</v>
      </c>
      <c r="G646" s="2987">
        <v>1903</v>
      </c>
      <c r="H646" s="2987" t="s">
        <v>4113</v>
      </c>
      <c r="I646" s="2987" t="s">
        <v>3486</v>
      </c>
      <c r="J646" s="2987" t="s">
        <v>3599</v>
      </c>
      <c r="K646" s="2988">
        <v>96.17</v>
      </c>
    </row>
    <row r="647" spans="2:11" ht="18" customHeight="1">
      <c r="B647" s="2986">
        <v>612</v>
      </c>
      <c r="C647" s="2987" t="s">
        <v>3482</v>
      </c>
      <c r="D647" s="2987" t="s">
        <v>3594</v>
      </c>
      <c r="E647" s="2987" t="s">
        <v>4070</v>
      </c>
      <c r="F647" s="2987">
        <v>1</v>
      </c>
      <c r="G647" s="2987">
        <v>1904</v>
      </c>
      <c r="H647" s="2987" t="s">
        <v>4114</v>
      </c>
      <c r="I647" s="2987" t="s">
        <v>3486</v>
      </c>
      <c r="J647" s="2987" t="s">
        <v>3602</v>
      </c>
      <c r="K647" s="2988">
        <v>111.01</v>
      </c>
    </row>
    <row r="648" spans="2:11" ht="18" customHeight="1">
      <c r="B648" s="2986">
        <v>613</v>
      </c>
      <c r="C648" s="2987" t="s">
        <v>3482</v>
      </c>
      <c r="D648" s="2987" t="s">
        <v>3594</v>
      </c>
      <c r="E648" s="2987" t="s">
        <v>4070</v>
      </c>
      <c r="F648" s="2987">
        <v>1</v>
      </c>
      <c r="G648" s="2987">
        <v>2001</v>
      </c>
      <c r="H648" s="2987" t="s">
        <v>4115</v>
      </c>
      <c r="I648" s="2987" t="s">
        <v>3486</v>
      </c>
      <c r="J648" s="2987" t="s">
        <v>3597</v>
      </c>
      <c r="K648" s="2988">
        <v>128.26</v>
      </c>
    </row>
    <row r="649" spans="2:11" ht="18" customHeight="1">
      <c r="B649" s="2986">
        <v>614</v>
      </c>
      <c r="C649" s="2987" t="s">
        <v>3482</v>
      </c>
      <c r="D649" s="2987" t="s">
        <v>3594</v>
      </c>
      <c r="E649" s="2987" t="s">
        <v>4070</v>
      </c>
      <c r="F649" s="2987">
        <v>1</v>
      </c>
      <c r="G649" s="2987">
        <v>2002</v>
      </c>
      <c r="H649" s="2987" t="s">
        <v>4116</v>
      </c>
      <c r="I649" s="2987" t="s">
        <v>3486</v>
      </c>
      <c r="J649" s="2987" t="s">
        <v>3599</v>
      </c>
      <c r="K649" s="2988">
        <v>96.17</v>
      </c>
    </row>
    <row r="650" spans="2:11" ht="18" customHeight="1">
      <c r="B650" s="2986">
        <v>615</v>
      </c>
      <c r="C650" s="2987" t="s">
        <v>3482</v>
      </c>
      <c r="D650" s="2987" t="s">
        <v>3594</v>
      </c>
      <c r="E650" s="2987" t="s">
        <v>4070</v>
      </c>
      <c r="F650" s="2987">
        <v>1</v>
      </c>
      <c r="G650" s="2987">
        <v>2003</v>
      </c>
      <c r="H650" s="2987" t="s">
        <v>4117</v>
      </c>
      <c r="I650" s="2987" t="s">
        <v>3486</v>
      </c>
      <c r="J650" s="2987" t="s">
        <v>3599</v>
      </c>
      <c r="K650" s="2988">
        <v>96.17</v>
      </c>
    </row>
    <row r="651" spans="2:11" ht="18" customHeight="1">
      <c r="B651" s="2986">
        <v>616</v>
      </c>
      <c r="C651" s="2987" t="s">
        <v>3482</v>
      </c>
      <c r="D651" s="2987" t="s">
        <v>3594</v>
      </c>
      <c r="E651" s="2987" t="s">
        <v>4070</v>
      </c>
      <c r="F651" s="2987">
        <v>1</v>
      </c>
      <c r="G651" s="2987">
        <v>2004</v>
      </c>
      <c r="H651" s="2987" t="s">
        <v>4118</v>
      </c>
      <c r="I651" s="2987" t="s">
        <v>3486</v>
      </c>
      <c r="J651" s="2987" t="s">
        <v>3602</v>
      </c>
      <c r="K651" s="2988">
        <v>111.01</v>
      </c>
    </row>
    <row r="652" spans="2:11" ht="18" customHeight="1">
      <c r="B652" s="2986">
        <v>617</v>
      </c>
      <c r="C652" s="2987" t="s">
        <v>3482</v>
      </c>
      <c r="D652" s="2987" t="s">
        <v>3594</v>
      </c>
      <c r="E652" s="2987" t="s">
        <v>4070</v>
      </c>
      <c r="F652" s="2987">
        <v>1</v>
      </c>
      <c r="G652" s="2987">
        <v>201</v>
      </c>
      <c r="H652" s="2987" t="s">
        <v>4119</v>
      </c>
      <c r="I652" s="2987" t="s">
        <v>3486</v>
      </c>
      <c r="J652" s="2987" t="s">
        <v>3597</v>
      </c>
      <c r="K652" s="2988">
        <v>128.26</v>
      </c>
    </row>
    <row r="653" spans="2:11" ht="18" customHeight="1">
      <c r="B653" s="2986">
        <v>618</v>
      </c>
      <c r="C653" s="2987" t="s">
        <v>3482</v>
      </c>
      <c r="D653" s="2987" t="s">
        <v>3594</v>
      </c>
      <c r="E653" s="2987" t="s">
        <v>4070</v>
      </c>
      <c r="F653" s="2987">
        <v>1</v>
      </c>
      <c r="G653" s="2987">
        <v>202</v>
      </c>
      <c r="H653" s="2987" t="s">
        <v>4120</v>
      </c>
      <c r="I653" s="2987" t="s">
        <v>3486</v>
      </c>
      <c r="J653" s="2987" t="s">
        <v>3599</v>
      </c>
      <c r="K653" s="2988">
        <v>96.17</v>
      </c>
    </row>
    <row r="654" spans="2:11" ht="18" customHeight="1">
      <c r="B654" s="2986">
        <v>619</v>
      </c>
      <c r="C654" s="2987" t="s">
        <v>3482</v>
      </c>
      <c r="D654" s="2987" t="s">
        <v>3594</v>
      </c>
      <c r="E654" s="2987" t="s">
        <v>4070</v>
      </c>
      <c r="F654" s="2987">
        <v>1</v>
      </c>
      <c r="G654" s="2987">
        <v>203</v>
      </c>
      <c r="H654" s="2987" t="s">
        <v>4121</v>
      </c>
      <c r="I654" s="2987" t="s">
        <v>3486</v>
      </c>
      <c r="J654" s="2987" t="s">
        <v>3599</v>
      </c>
      <c r="K654" s="2988">
        <v>96.17</v>
      </c>
    </row>
    <row r="655" spans="2:11" ht="18" customHeight="1">
      <c r="B655" s="2986">
        <v>620</v>
      </c>
      <c r="C655" s="2987" t="s">
        <v>3482</v>
      </c>
      <c r="D655" s="2987" t="s">
        <v>3594</v>
      </c>
      <c r="E655" s="2987" t="s">
        <v>4070</v>
      </c>
      <c r="F655" s="2987">
        <v>1</v>
      </c>
      <c r="G655" s="2987">
        <v>204</v>
      </c>
      <c r="H655" s="2987" t="s">
        <v>4122</v>
      </c>
      <c r="I655" s="2987" t="s">
        <v>3486</v>
      </c>
      <c r="J655" s="2987" t="s">
        <v>3602</v>
      </c>
      <c r="K655" s="2988">
        <v>111.01</v>
      </c>
    </row>
    <row r="656" spans="2:11" ht="18" customHeight="1">
      <c r="B656" s="2986">
        <v>621</v>
      </c>
      <c r="C656" s="2987" t="s">
        <v>3482</v>
      </c>
      <c r="D656" s="2987" t="s">
        <v>3594</v>
      </c>
      <c r="E656" s="2987" t="s">
        <v>4070</v>
      </c>
      <c r="F656" s="2987">
        <v>1</v>
      </c>
      <c r="G656" s="2987">
        <v>2101</v>
      </c>
      <c r="H656" s="2987" t="s">
        <v>4123</v>
      </c>
      <c r="I656" s="2987" t="s">
        <v>3486</v>
      </c>
      <c r="J656" s="2987" t="s">
        <v>3597</v>
      </c>
      <c r="K656" s="2988">
        <v>128.26</v>
      </c>
    </row>
    <row r="657" spans="2:11" ht="18" customHeight="1">
      <c r="B657" s="2986">
        <v>622</v>
      </c>
      <c r="C657" s="2987" t="s">
        <v>3482</v>
      </c>
      <c r="D657" s="2987" t="s">
        <v>3594</v>
      </c>
      <c r="E657" s="2987" t="s">
        <v>4070</v>
      </c>
      <c r="F657" s="2987">
        <v>1</v>
      </c>
      <c r="G657" s="2987">
        <v>2102</v>
      </c>
      <c r="H657" s="2987" t="s">
        <v>4124</v>
      </c>
      <c r="I657" s="2987" t="s">
        <v>3486</v>
      </c>
      <c r="J657" s="2987" t="s">
        <v>3599</v>
      </c>
      <c r="K657" s="2988">
        <v>96.17</v>
      </c>
    </row>
    <row r="658" spans="2:11" ht="18" customHeight="1">
      <c r="B658" s="2986">
        <v>623</v>
      </c>
      <c r="C658" s="2987" t="s">
        <v>3482</v>
      </c>
      <c r="D658" s="2987" t="s">
        <v>3594</v>
      </c>
      <c r="E658" s="2987" t="s">
        <v>4070</v>
      </c>
      <c r="F658" s="2987">
        <v>1</v>
      </c>
      <c r="G658" s="2987">
        <v>2103</v>
      </c>
      <c r="H658" s="2987" t="s">
        <v>4125</v>
      </c>
      <c r="I658" s="2987" t="s">
        <v>3486</v>
      </c>
      <c r="J658" s="2987" t="s">
        <v>3599</v>
      </c>
      <c r="K658" s="2988">
        <v>96.17</v>
      </c>
    </row>
    <row r="659" spans="2:11" ht="18" customHeight="1">
      <c r="B659" s="2986">
        <v>624</v>
      </c>
      <c r="C659" s="2987" t="s">
        <v>3482</v>
      </c>
      <c r="D659" s="2987" t="s">
        <v>3594</v>
      </c>
      <c r="E659" s="2987" t="s">
        <v>4070</v>
      </c>
      <c r="F659" s="2987">
        <v>1</v>
      </c>
      <c r="G659" s="2987">
        <v>2104</v>
      </c>
      <c r="H659" s="2987" t="s">
        <v>4126</v>
      </c>
      <c r="I659" s="2987" t="s">
        <v>3486</v>
      </c>
      <c r="J659" s="2987" t="s">
        <v>3602</v>
      </c>
      <c r="K659" s="2988">
        <v>111.01</v>
      </c>
    </row>
    <row r="660" spans="2:11" ht="18" customHeight="1">
      <c r="B660" s="2986">
        <v>625</v>
      </c>
      <c r="C660" s="2987" t="s">
        <v>3482</v>
      </c>
      <c r="D660" s="2987" t="s">
        <v>3594</v>
      </c>
      <c r="E660" s="2987" t="s">
        <v>4070</v>
      </c>
      <c r="F660" s="2987">
        <v>1</v>
      </c>
      <c r="G660" s="2987">
        <v>301</v>
      </c>
      <c r="H660" s="2987" t="s">
        <v>4127</v>
      </c>
      <c r="I660" s="2987" t="s">
        <v>3486</v>
      </c>
      <c r="J660" s="2987" t="s">
        <v>3597</v>
      </c>
      <c r="K660" s="2988">
        <v>128.26</v>
      </c>
    </row>
    <row r="661" spans="2:11" ht="18" customHeight="1">
      <c r="B661" s="2986">
        <v>626</v>
      </c>
      <c r="C661" s="2987" t="s">
        <v>3482</v>
      </c>
      <c r="D661" s="2987" t="s">
        <v>3594</v>
      </c>
      <c r="E661" s="2987" t="s">
        <v>4070</v>
      </c>
      <c r="F661" s="2987">
        <v>1</v>
      </c>
      <c r="G661" s="2987">
        <v>302</v>
      </c>
      <c r="H661" s="2987" t="s">
        <v>4128</v>
      </c>
      <c r="I661" s="2987" t="s">
        <v>3486</v>
      </c>
      <c r="J661" s="2987" t="s">
        <v>3599</v>
      </c>
      <c r="K661" s="2988">
        <v>96.17</v>
      </c>
    </row>
    <row r="662" spans="2:11" ht="18" customHeight="1">
      <c r="B662" s="2986">
        <v>627</v>
      </c>
      <c r="C662" s="2987" t="s">
        <v>3482</v>
      </c>
      <c r="D662" s="2987" t="s">
        <v>3594</v>
      </c>
      <c r="E662" s="2987" t="s">
        <v>4070</v>
      </c>
      <c r="F662" s="2987">
        <v>1</v>
      </c>
      <c r="G662" s="2987">
        <v>303</v>
      </c>
      <c r="H662" s="2987" t="s">
        <v>4129</v>
      </c>
      <c r="I662" s="2987" t="s">
        <v>3486</v>
      </c>
      <c r="J662" s="2987" t="s">
        <v>3599</v>
      </c>
      <c r="K662" s="2988">
        <v>96.17</v>
      </c>
    </row>
    <row r="663" spans="2:11" ht="18" customHeight="1">
      <c r="B663" s="2986">
        <v>628</v>
      </c>
      <c r="C663" s="2987" t="s">
        <v>3482</v>
      </c>
      <c r="D663" s="2987" t="s">
        <v>3594</v>
      </c>
      <c r="E663" s="2987" t="s">
        <v>4070</v>
      </c>
      <c r="F663" s="2987">
        <v>1</v>
      </c>
      <c r="G663" s="2987">
        <v>304</v>
      </c>
      <c r="H663" s="2987" t="s">
        <v>4130</v>
      </c>
      <c r="I663" s="2987" t="s">
        <v>3486</v>
      </c>
      <c r="J663" s="2987" t="s">
        <v>3602</v>
      </c>
      <c r="K663" s="2988">
        <v>111.01</v>
      </c>
    </row>
    <row r="664" spans="2:11" ht="18" customHeight="1">
      <c r="B664" s="2986">
        <v>629</v>
      </c>
      <c r="C664" s="2987" t="s">
        <v>3482</v>
      </c>
      <c r="D664" s="2987" t="s">
        <v>3594</v>
      </c>
      <c r="E664" s="2987" t="s">
        <v>4070</v>
      </c>
      <c r="F664" s="2987">
        <v>1</v>
      </c>
      <c r="G664" s="2987">
        <v>401</v>
      </c>
      <c r="H664" s="2987" t="s">
        <v>4131</v>
      </c>
      <c r="I664" s="2987" t="s">
        <v>3486</v>
      </c>
      <c r="J664" s="2987" t="s">
        <v>3597</v>
      </c>
      <c r="K664" s="2988">
        <v>128.26</v>
      </c>
    </row>
    <row r="665" spans="2:11" ht="18" customHeight="1">
      <c r="B665" s="2986">
        <v>630</v>
      </c>
      <c r="C665" s="2987" t="s">
        <v>3482</v>
      </c>
      <c r="D665" s="2987" t="s">
        <v>3594</v>
      </c>
      <c r="E665" s="2987" t="s">
        <v>4070</v>
      </c>
      <c r="F665" s="2987">
        <v>1</v>
      </c>
      <c r="G665" s="2987">
        <v>402</v>
      </c>
      <c r="H665" s="2987" t="s">
        <v>4132</v>
      </c>
      <c r="I665" s="2987" t="s">
        <v>3486</v>
      </c>
      <c r="J665" s="2987" t="s">
        <v>3599</v>
      </c>
      <c r="K665" s="2988">
        <v>96.17</v>
      </c>
    </row>
    <row r="666" spans="2:11" ht="18" customHeight="1">
      <c r="B666" s="2986">
        <v>631</v>
      </c>
      <c r="C666" s="2987" t="s">
        <v>3482</v>
      </c>
      <c r="D666" s="2987" t="s">
        <v>3594</v>
      </c>
      <c r="E666" s="2987" t="s">
        <v>4070</v>
      </c>
      <c r="F666" s="2987">
        <v>1</v>
      </c>
      <c r="G666" s="2987">
        <v>403</v>
      </c>
      <c r="H666" s="2987" t="s">
        <v>4133</v>
      </c>
      <c r="I666" s="2987" t="s">
        <v>3486</v>
      </c>
      <c r="J666" s="2987" t="s">
        <v>3599</v>
      </c>
      <c r="K666" s="2988">
        <v>96.17</v>
      </c>
    </row>
    <row r="667" spans="2:11" ht="18" customHeight="1">
      <c r="B667" s="2986">
        <v>632</v>
      </c>
      <c r="C667" s="2987" t="s">
        <v>3482</v>
      </c>
      <c r="D667" s="2987" t="s">
        <v>3594</v>
      </c>
      <c r="E667" s="2987" t="s">
        <v>4070</v>
      </c>
      <c r="F667" s="2987">
        <v>1</v>
      </c>
      <c r="G667" s="2987">
        <v>404</v>
      </c>
      <c r="H667" s="2987" t="s">
        <v>4134</v>
      </c>
      <c r="I667" s="2987" t="s">
        <v>3486</v>
      </c>
      <c r="J667" s="2987" t="s">
        <v>3602</v>
      </c>
      <c r="K667" s="2988">
        <v>111.01</v>
      </c>
    </row>
    <row r="668" spans="2:11" ht="18" customHeight="1">
      <c r="B668" s="2986">
        <v>633</v>
      </c>
      <c r="C668" s="2987" t="s">
        <v>3482</v>
      </c>
      <c r="D668" s="2987" t="s">
        <v>3594</v>
      </c>
      <c r="E668" s="2987" t="s">
        <v>4070</v>
      </c>
      <c r="F668" s="2987">
        <v>1</v>
      </c>
      <c r="G668" s="2987">
        <v>501</v>
      </c>
      <c r="H668" s="2987" t="s">
        <v>4135</v>
      </c>
      <c r="I668" s="2987" t="s">
        <v>3486</v>
      </c>
      <c r="J668" s="2987" t="s">
        <v>3597</v>
      </c>
      <c r="K668" s="2988">
        <v>128.26</v>
      </c>
    </row>
    <row r="669" spans="2:11" ht="18" customHeight="1">
      <c r="B669" s="2986">
        <v>634</v>
      </c>
      <c r="C669" s="2987" t="s">
        <v>3482</v>
      </c>
      <c r="D669" s="2987" t="s">
        <v>3594</v>
      </c>
      <c r="E669" s="2987" t="s">
        <v>4070</v>
      </c>
      <c r="F669" s="2987">
        <v>1</v>
      </c>
      <c r="G669" s="2987">
        <v>502</v>
      </c>
      <c r="H669" s="2987" t="s">
        <v>4136</v>
      </c>
      <c r="I669" s="2987" t="s">
        <v>3486</v>
      </c>
      <c r="J669" s="2987" t="s">
        <v>3599</v>
      </c>
      <c r="K669" s="2988">
        <v>96.17</v>
      </c>
    </row>
    <row r="670" spans="2:11" ht="18" customHeight="1">
      <c r="B670" s="2986">
        <v>635</v>
      </c>
      <c r="C670" s="2987" t="s">
        <v>3482</v>
      </c>
      <c r="D670" s="2987" t="s">
        <v>3594</v>
      </c>
      <c r="E670" s="2987" t="s">
        <v>4070</v>
      </c>
      <c r="F670" s="2987">
        <v>1</v>
      </c>
      <c r="G670" s="2987">
        <v>503</v>
      </c>
      <c r="H670" s="2987" t="s">
        <v>4137</v>
      </c>
      <c r="I670" s="2987" t="s">
        <v>3486</v>
      </c>
      <c r="J670" s="2987" t="s">
        <v>3599</v>
      </c>
      <c r="K670" s="2988">
        <v>96.17</v>
      </c>
    </row>
    <row r="671" spans="2:11" ht="18" customHeight="1">
      <c r="B671" s="2986">
        <v>636</v>
      </c>
      <c r="C671" s="2987" t="s">
        <v>3482</v>
      </c>
      <c r="D671" s="2987" t="s">
        <v>3594</v>
      </c>
      <c r="E671" s="2987" t="s">
        <v>4070</v>
      </c>
      <c r="F671" s="2987">
        <v>1</v>
      </c>
      <c r="G671" s="2987">
        <v>504</v>
      </c>
      <c r="H671" s="2987" t="s">
        <v>4138</v>
      </c>
      <c r="I671" s="2987" t="s">
        <v>3486</v>
      </c>
      <c r="J671" s="2987" t="s">
        <v>3602</v>
      </c>
      <c r="K671" s="2988">
        <v>111.01</v>
      </c>
    </row>
    <row r="672" spans="2:11" ht="18" customHeight="1">
      <c r="B672" s="2986">
        <v>637</v>
      </c>
      <c r="C672" s="2987" t="s">
        <v>3482</v>
      </c>
      <c r="D672" s="2987" t="s">
        <v>3594</v>
      </c>
      <c r="E672" s="2987" t="s">
        <v>4070</v>
      </c>
      <c r="F672" s="2987">
        <v>1</v>
      </c>
      <c r="G672" s="2987">
        <v>601</v>
      </c>
      <c r="H672" s="2987" t="s">
        <v>4139</v>
      </c>
      <c r="I672" s="2987" t="s">
        <v>3486</v>
      </c>
      <c r="J672" s="2987" t="s">
        <v>3597</v>
      </c>
      <c r="K672" s="2988">
        <v>128.26</v>
      </c>
    </row>
    <row r="673" spans="2:11" ht="18" customHeight="1">
      <c r="B673" s="2986">
        <v>638</v>
      </c>
      <c r="C673" s="2987" t="s">
        <v>3482</v>
      </c>
      <c r="D673" s="2987" t="s">
        <v>3594</v>
      </c>
      <c r="E673" s="2987" t="s">
        <v>4070</v>
      </c>
      <c r="F673" s="2987">
        <v>1</v>
      </c>
      <c r="G673" s="2987">
        <v>602</v>
      </c>
      <c r="H673" s="2987" t="s">
        <v>4140</v>
      </c>
      <c r="I673" s="2987" t="s">
        <v>3486</v>
      </c>
      <c r="J673" s="2987" t="s">
        <v>3599</v>
      </c>
      <c r="K673" s="2988">
        <v>96.17</v>
      </c>
    </row>
    <row r="674" spans="2:11" ht="18" customHeight="1">
      <c r="B674" s="2986">
        <v>639</v>
      </c>
      <c r="C674" s="2987" t="s">
        <v>3482</v>
      </c>
      <c r="D674" s="2987" t="s">
        <v>3594</v>
      </c>
      <c r="E674" s="2987" t="s">
        <v>4070</v>
      </c>
      <c r="F674" s="2987">
        <v>1</v>
      </c>
      <c r="G674" s="2987">
        <v>603</v>
      </c>
      <c r="H674" s="2987" t="s">
        <v>4141</v>
      </c>
      <c r="I674" s="2987" t="s">
        <v>3486</v>
      </c>
      <c r="J674" s="2987" t="s">
        <v>3599</v>
      </c>
      <c r="K674" s="2988">
        <v>96.17</v>
      </c>
    </row>
    <row r="675" spans="2:11" ht="18" customHeight="1">
      <c r="B675" s="2986">
        <v>640</v>
      </c>
      <c r="C675" s="2987" t="s">
        <v>3482</v>
      </c>
      <c r="D675" s="2987" t="s">
        <v>3594</v>
      </c>
      <c r="E675" s="2987" t="s">
        <v>4070</v>
      </c>
      <c r="F675" s="2987">
        <v>1</v>
      </c>
      <c r="G675" s="2987">
        <v>604</v>
      </c>
      <c r="H675" s="2987" t="s">
        <v>4142</v>
      </c>
      <c r="I675" s="2987" t="s">
        <v>3486</v>
      </c>
      <c r="J675" s="2987" t="s">
        <v>3602</v>
      </c>
      <c r="K675" s="2988">
        <v>111.01</v>
      </c>
    </row>
    <row r="676" spans="2:11" ht="18" customHeight="1">
      <c r="B676" s="2986">
        <v>641</v>
      </c>
      <c r="C676" s="2987" t="s">
        <v>3482</v>
      </c>
      <c r="D676" s="2987" t="s">
        <v>3594</v>
      </c>
      <c r="E676" s="2987" t="s">
        <v>4070</v>
      </c>
      <c r="F676" s="2987">
        <v>1</v>
      </c>
      <c r="G676" s="2987">
        <v>701</v>
      </c>
      <c r="H676" s="2987" t="s">
        <v>4143</v>
      </c>
      <c r="I676" s="2987" t="s">
        <v>3486</v>
      </c>
      <c r="J676" s="2987" t="s">
        <v>3597</v>
      </c>
      <c r="K676" s="2988">
        <v>128.26</v>
      </c>
    </row>
    <row r="677" spans="2:11" ht="18" customHeight="1">
      <c r="B677" s="2986">
        <v>642</v>
      </c>
      <c r="C677" s="2987" t="s">
        <v>3482</v>
      </c>
      <c r="D677" s="2987" t="s">
        <v>3594</v>
      </c>
      <c r="E677" s="2987" t="s">
        <v>4070</v>
      </c>
      <c r="F677" s="2987">
        <v>1</v>
      </c>
      <c r="G677" s="2987">
        <v>702</v>
      </c>
      <c r="H677" s="2987" t="s">
        <v>4144</v>
      </c>
      <c r="I677" s="2987" t="s">
        <v>3486</v>
      </c>
      <c r="J677" s="2987" t="s">
        <v>3599</v>
      </c>
      <c r="K677" s="2988">
        <v>96.17</v>
      </c>
    </row>
    <row r="678" spans="2:11" ht="18" customHeight="1">
      <c r="B678" s="2986">
        <v>643</v>
      </c>
      <c r="C678" s="2987" t="s">
        <v>3482</v>
      </c>
      <c r="D678" s="2987" t="s">
        <v>3594</v>
      </c>
      <c r="E678" s="2987" t="s">
        <v>4070</v>
      </c>
      <c r="F678" s="2987">
        <v>1</v>
      </c>
      <c r="G678" s="2987">
        <v>703</v>
      </c>
      <c r="H678" s="2987" t="s">
        <v>4145</v>
      </c>
      <c r="I678" s="2987" t="s">
        <v>3486</v>
      </c>
      <c r="J678" s="2987" t="s">
        <v>3599</v>
      </c>
      <c r="K678" s="2988">
        <v>96.17</v>
      </c>
    </row>
    <row r="679" spans="2:11" ht="18" customHeight="1">
      <c r="B679" s="2986">
        <v>644</v>
      </c>
      <c r="C679" s="2987" t="s">
        <v>3482</v>
      </c>
      <c r="D679" s="2987" t="s">
        <v>3594</v>
      </c>
      <c r="E679" s="2987" t="s">
        <v>4070</v>
      </c>
      <c r="F679" s="2987">
        <v>1</v>
      </c>
      <c r="G679" s="2987">
        <v>704</v>
      </c>
      <c r="H679" s="2987" t="s">
        <v>4146</v>
      </c>
      <c r="I679" s="2987" t="s">
        <v>3486</v>
      </c>
      <c r="J679" s="2987" t="s">
        <v>3602</v>
      </c>
      <c r="K679" s="2988">
        <v>111.01</v>
      </c>
    </row>
    <row r="680" spans="2:11" ht="18" customHeight="1">
      <c r="B680" s="2986">
        <v>645</v>
      </c>
      <c r="C680" s="2987" t="s">
        <v>3482</v>
      </c>
      <c r="D680" s="2987" t="s">
        <v>3594</v>
      </c>
      <c r="E680" s="2987" t="s">
        <v>4070</v>
      </c>
      <c r="F680" s="2987">
        <v>1</v>
      </c>
      <c r="G680" s="2987">
        <v>801</v>
      </c>
      <c r="H680" s="2987" t="s">
        <v>4147</v>
      </c>
      <c r="I680" s="2987" t="s">
        <v>3486</v>
      </c>
      <c r="J680" s="2987" t="s">
        <v>3597</v>
      </c>
      <c r="K680" s="2988">
        <v>128.26</v>
      </c>
    </row>
    <row r="681" spans="2:11" ht="18" customHeight="1">
      <c r="B681" s="2986">
        <v>646</v>
      </c>
      <c r="C681" s="2987" t="s">
        <v>3482</v>
      </c>
      <c r="D681" s="2987" t="s">
        <v>3594</v>
      </c>
      <c r="E681" s="2987" t="s">
        <v>4070</v>
      </c>
      <c r="F681" s="2987">
        <v>1</v>
      </c>
      <c r="G681" s="2987">
        <v>802</v>
      </c>
      <c r="H681" s="2987" t="s">
        <v>4148</v>
      </c>
      <c r="I681" s="2987" t="s">
        <v>3486</v>
      </c>
      <c r="J681" s="2987" t="s">
        <v>3599</v>
      </c>
      <c r="K681" s="2988">
        <v>96.17</v>
      </c>
    </row>
    <row r="682" spans="2:11" ht="18" customHeight="1">
      <c r="B682" s="2986">
        <v>647</v>
      </c>
      <c r="C682" s="2987" t="s">
        <v>3482</v>
      </c>
      <c r="D682" s="2987" t="s">
        <v>3594</v>
      </c>
      <c r="E682" s="2987" t="s">
        <v>4070</v>
      </c>
      <c r="F682" s="2987">
        <v>1</v>
      </c>
      <c r="G682" s="2987">
        <v>803</v>
      </c>
      <c r="H682" s="2987" t="s">
        <v>4149</v>
      </c>
      <c r="I682" s="2987" t="s">
        <v>3486</v>
      </c>
      <c r="J682" s="2987" t="s">
        <v>3599</v>
      </c>
      <c r="K682" s="2988">
        <v>96.17</v>
      </c>
    </row>
    <row r="683" spans="2:11" ht="18" customHeight="1">
      <c r="B683" s="2986">
        <v>648</v>
      </c>
      <c r="C683" s="2987" t="s">
        <v>3482</v>
      </c>
      <c r="D683" s="2987" t="s">
        <v>3594</v>
      </c>
      <c r="E683" s="2987" t="s">
        <v>4070</v>
      </c>
      <c r="F683" s="2987">
        <v>1</v>
      </c>
      <c r="G683" s="2987">
        <v>804</v>
      </c>
      <c r="H683" s="2987" t="s">
        <v>4150</v>
      </c>
      <c r="I683" s="2987" t="s">
        <v>3486</v>
      </c>
      <c r="J683" s="2987" t="s">
        <v>3602</v>
      </c>
      <c r="K683" s="2988">
        <v>111.01</v>
      </c>
    </row>
    <row r="684" spans="2:11" ht="18" customHeight="1">
      <c r="B684" s="2986">
        <v>649</v>
      </c>
      <c r="C684" s="2987" t="s">
        <v>3482</v>
      </c>
      <c r="D684" s="2987" t="s">
        <v>3594</v>
      </c>
      <c r="E684" s="2987" t="s">
        <v>4070</v>
      </c>
      <c r="F684" s="2987">
        <v>1</v>
      </c>
      <c r="G684" s="2987">
        <v>901</v>
      </c>
      <c r="H684" s="2987" t="s">
        <v>4151</v>
      </c>
      <c r="I684" s="2987" t="s">
        <v>3486</v>
      </c>
      <c r="J684" s="2987" t="s">
        <v>3597</v>
      </c>
      <c r="K684" s="2988">
        <v>128.26</v>
      </c>
    </row>
    <row r="685" spans="2:11" ht="18" customHeight="1">
      <c r="B685" s="2986">
        <v>650</v>
      </c>
      <c r="C685" s="2987" t="s">
        <v>3482</v>
      </c>
      <c r="D685" s="2987" t="s">
        <v>3594</v>
      </c>
      <c r="E685" s="2987" t="s">
        <v>4070</v>
      </c>
      <c r="F685" s="2987">
        <v>1</v>
      </c>
      <c r="G685" s="2987">
        <v>902</v>
      </c>
      <c r="H685" s="2987" t="s">
        <v>4152</v>
      </c>
      <c r="I685" s="2987" t="s">
        <v>3486</v>
      </c>
      <c r="J685" s="2987" t="s">
        <v>3599</v>
      </c>
      <c r="K685" s="2988">
        <v>96.17</v>
      </c>
    </row>
    <row r="686" spans="2:11" ht="18" customHeight="1">
      <c r="B686" s="2986">
        <v>651</v>
      </c>
      <c r="C686" s="2987" t="s">
        <v>3482</v>
      </c>
      <c r="D686" s="2987" t="s">
        <v>3594</v>
      </c>
      <c r="E686" s="2987" t="s">
        <v>4070</v>
      </c>
      <c r="F686" s="2987">
        <v>1</v>
      </c>
      <c r="G686" s="2987">
        <v>903</v>
      </c>
      <c r="H686" s="2987" t="s">
        <v>4153</v>
      </c>
      <c r="I686" s="2987" t="s">
        <v>3486</v>
      </c>
      <c r="J686" s="2987" t="s">
        <v>3599</v>
      </c>
      <c r="K686" s="2988">
        <v>96.17</v>
      </c>
    </row>
    <row r="687" spans="2:11" ht="18" customHeight="1">
      <c r="B687" s="2986">
        <v>652</v>
      </c>
      <c r="C687" s="2987" t="s">
        <v>3482</v>
      </c>
      <c r="D687" s="2987" t="s">
        <v>3594</v>
      </c>
      <c r="E687" s="2987" t="s">
        <v>4070</v>
      </c>
      <c r="F687" s="2987">
        <v>1</v>
      </c>
      <c r="G687" s="2987">
        <v>904</v>
      </c>
      <c r="H687" s="2987" t="s">
        <v>4154</v>
      </c>
      <c r="I687" s="2987" t="s">
        <v>3486</v>
      </c>
      <c r="J687" s="2987" t="s">
        <v>3602</v>
      </c>
      <c r="K687" s="2988">
        <v>111.01</v>
      </c>
    </row>
    <row r="688" spans="2:11" ht="18" customHeight="1">
      <c r="B688" s="2986">
        <v>653</v>
      </c>
      <c r="C688" s="2987" t="s">
        <v>3482</v>
      </c>
      <c r="D688" s="2987" t="s">
        <v>3594</v>
      </c>
      <c r="E688" s="2987" t="s">
        <v>4070</v>
      </c>
      <c r="F688" s="2987">
        <v>2</v>
      </c>
      <c r="G688" s="2987">
        <v>1001</v>
      </c>
      <c r="H688" s="2987" t="s">
        <v>4155</v>
      </c>
      <c r="I688" s="2987" t="s">
        <v>3486</v>
      </c>
      <c r="J688" s="2987" t="s">
        <v>3602</v>
      </c>
      <c r="K688" s="2988">
        <v>111.01</v>
      </c>
    </row>
    <row r="689" spans="2:11" ht="18" customHeight="1">
      <c r="B689" s="2986">
        <v>654</v>
      </c>
      <c r="C689" s="2987" t="s">
        <v>3482</v>
      </c>
      <c r="D689" s="2987" t="s">
        <v>3594</v>
      </c>
      <c r="E689" s="2987" t="s">
        <v>4070</v>
      </c>
      <c r="F689" s="2987">
        <v>2</v>
      </c>
      <c r="G689" s="2987">
        <v>1002</v>
      </c>
      <c r="H689" s="2987" t="s">
        <v>4156</v>
      </c>
      <c r="I689" s="2987" t="s">
        <v>3486</v>
      </c>
      <c r="J689" s="2987" t="s">
        <v>3599</v>
      </c>
      <c r="K689" s="2988">
        <v>96.17</v>
      </c>
    </row>
    <row r="690" spans="2:11" ht="18" customHeight="1">
      <c r="B690" s="2986">
        <v>655</v>
      </c>
      <c r="C690" s="2987" t="s">
        <v>3482</v>
      </c>
      <c r="D690" s="2987" t="s">
        <v>3594</v>
      </c>
      <c r="E690" s="2987" t="s">
        <v>4070</v>
      </c>
      <c r="F690" s="2987">
        <v>2</v>
      </c>
      <c r="G690" s="2987">
        <v>1003</v>
      </c>
      <c r="H690" s="2987" t="s">
        <v>4157</v>
      </c>
      <c r="I690" s="2987" t="s">
        <v>3486</v>
      </c>
      <c r="J690" s="2987" t="s">
        <v>3599</v>
      </c>
      <c r="K690" s="2988">
        <v>96.17</v>
      </c>
    </row>
    <row r="691" spans="2:11" ht="18" customHeight="1">
      <c r="B691" s="2986">
        <v>656</v>
      </c>
      <c r="C691" s="2987" t="s">
        <v>3482</v>
      </c>
      <c r="D691" s="2987" t="s">
        <v>3594</v>
      </c>
      <c r="E691" s="2987" t="s">
        <v>4070</v>
      </c>
      <c r="F691" s="2987">
        <v>2</v>
      </c>
      <c r="G691" s="2987">
        <v>1004</v>
      </c>
      <c r="H691" s="2987" t="s">
        <v>4158</v>
      </c>
      <c r="I691" s="2987" t="s">
        <v>3486</v>
      </c>
      <c r="J691" s="2987" t="s">
        <v>3597</v>
      </c>
      <c r="K691" s="2988">
        <v>128.26</v>
      </c>
    </row>
    <row r="692" spans="2:11" ht="18" customHeight="1">
      <c r="B692" s="2986">
        <v>657</v>
      </c>
      <c r="C692" s="2987" t="s">
        <v>3482</v>
      </c>
      <c r="D692" s="2987" t="s">
        <v>3594</v>
      </c>
      <c r="E692" s="2987" t="s">
        <v>4070</v>
      </c>
      <c r="F692" s="2987">
        <v>2</v>
      </c>
      <c r="G692" s="2987">
        <v>101</v>
      </c>
      <c r="H692" s="2987" t="s">
        <v>4159</v>
      </c>
      <c r="I692" s="2987" t="s">
        <v>3486</v>
      </c>
      <c r="J692" s="2987" t="s">
        <v>3602</v>
      </c>
      <c r="K692" s="2988">
        <v>111.01</v>
      </c>
    </row>
    <row r="693" spans="2:11" ht="18" customHeight="1">
      <c r="B693" s="2986">
        <v>658</v>
      </c>
      <c r="C693" s="2987" t="s">
        <v>3482</v>
      </c>
      <c r="D693" s="2987" t="s">
        <v>3594</v>
      </c>
      <c r="E693" s="2987" t="s">
        <v>4070</v>
      </c>
      <c r="F693" s="2987">
        <v>2</v>
      </c>
      <c r="G693" s="2987">
        <v>102</v>
      </c>
      <c r="H693" s="2987" t="s">
        <v>4160</v>
      </c>
      <c r="I693" s="2987" t="s">
        <v>3486</v>
      </c>
      <c r="J693" s="2987" t="s">
        <v>3599</v>
      </c>
      <c r="K693" s="2988">
        <v>96.17</v>
      </c>
    </row>
    <row r="694" spans="2:11" ht="18" customHeight="1">
      <c r="B694" s="2986">
        <v>659</v>
      </c>
      <c r="C694" s="2987" t="s">
        <v>3482</v>
      </c>
      <c r="D694" s="2987" t="s">
        <v>3594</v>
      </c>
      <c r="E694" s="2987" t="s">
        <v>4070</v>
      </c>
      <c r="F694" s="2987">
        <v>2</v>
      </c>
      <c r="G694" s="2987">
        <v>103</v>
      </c>
      <c r="H694" s="2987" t="s">
        <v>4161</v>
      </c>
      <c r="I694" s="2987" t="s">
        <v>3486</v>
      </c>
      <c r="J694" s="2987" t="s">
        <v>3599</v>
      </c>
      <c r="K694" s="2988">
        <v>96.17</v>
      </c>
    </row>
    <row r="695" spans="2:11" ht="18" customHeight="1">
      <c r="B695" s="2986">
        <v>660</v>
      </c>
      <c r="C695" s="2987" t="s">
        <v>3482</v>
      </c>
      <c r="D695" s="2987" t="s">
        <v>3594</v>
      </c>
      <c r="E695" s="2987" t="s">
        <v>4070</v>
      </c>
      <c r="F695" s="2987">
        <v>2</v>
      </c>
      <c r="G695" s="2987">
        <v>104</v>
      </c>
      <c r="H695" s="2987" t="s">
        <v>4162</v>
      </c>
      <c r="I695" s="2987" t="s">
        <v>3486</v>
      </c>
      <c r="J695" s="2987" t="s">
        <v>3597</v>
      </c>
      <c r="K695" s="2988">
        <v>128.26</v>
      </c>
    </row>
    <row r="696" spans="2:11" ht="18" customHeight="1">
      <c r="B696" s="2986">
        <v>661</v>
      </c>
      <c r="C696" s="2987" t="s">
        <v>3482</v>
      </c>
      <c r="D696" s="2987" t="s">
        <v>3594</v>
      </c>
      <c r="E696" s="2987" t="s">
        <v>4070</v>
      </c>
      <c r="F696" s="2987">
        <v>2</v>
      </c>
      <c r="G696" s="2987">
        <v>1101</v>
      </c>
      <c r="H696" s="2987" t="s">
        <v>4163</v>
      </c>
      <c r="I696" s="2987" t="s">
        <v>3486</v>
      </c>
      <c r="J696" s="2987" t="s">
        <v>3602</v>
      </c>
      <c r="K696" s="2988">
        <v>111.01</v>
      </c>
    </row>
    <row r="697" spans="2:11" ht="18" customHeight="1">
      <c r="B697" s="2986">
        <v>662</v>
      </c>
      <c r="C697" s="2987" t="s">
        <v>3482</v>
      </c>
      <c r="D697" s="2987" t="s">
        <v>3594</v>
      </c>
      <c r="E697" s="2987" t="s">
        <v>4070</v>
      </c>
      <c r="F697" s="2987">
        <v>2</v>
      </c>
      <c r="G697" s="2987">
        <v>1102</v>
      </c>
      <c r="H697" s="2987" t="s">
        <v>4164</v>
      </c>
      <c r="I697" s="2987" t="s">
        <v>3486</v>
      </c>
      <c r="J697" s="2987" t="s">
        <v>3599</v>
      </c>
      <c r="K697" s="2988">
        <v>96.17</v>
      </c>
    </row>
    <row r="698" spans="2:11" ht="18" customHeight="1">
      <c r="B698" s="2986">
        <v>663</v>
      </c>
      <c r="C698" s="2987" t="s">
        <v>3482</v>
      </c>
      <c r="D698" s="2987" t="s">
        <v>3594</v>
      </c>
      <c r="E698" s="2987" t="s">
        <v>4070</v>
      </c>
      <c r="F698" s="2987">
        <v>2</v>
      </c>
      <c r="G698" s="2987">
        <v>1103</v>
      </c>
      <c r="H698" s="2987" t="s">
        <v>4165</v>
      </c>
      <c r="I698" s="2987" t="s">
        <v>3486</v>
      </c>
      <c r="J698" s="2987" t="s">
        <v>3599</v>
      </c>
      <c r="K698" s="2988">
        <v>96.17</v>
      </c>
    </row>
    <row r="699" spans="2:11" ht="18" customHeight="1">
      <c r="B699" s="2986">
        <v>664</v>
      </c>
      <c r="C699" s="2987" t="s">
        <v>3482</v>
      </c>
      <c r="D699" s="2987" t="s">
        <v>3594</v>
      </c>
      <c r="E699" s="2987" t="s">
        <v>4070</v>
      </c>
      <c r="F699" s="2987">
        <v>2</v>
      </c>
      <c r="G699" s="2987">
        <v>1104</v>
      </c>
      <c r="H699" s="2987" t="s">
        <v>4166</v>
      </c>
      <c r="I699" s="2987" t="s">
        <v>3486</v>
      </c>
      <c r="J699" s="2987" t="s">
        <v>3597</v>
      </c>
      <c r="K699" s="2988">
        <v>128.26</v>
      </c>
    </row>
    <row r="700" spans="2:11" ht="18" customHeight="1">
      <c r="B700" s="2986">
        <v>665</v>
      </c>
      <c r="C700" s="2987" t="s">
        <v>3482</v>
      </c>
      <c r="D700" s="2987" t="s">
        <v>3594</v>
      </c>
      <c r="E700" s="2987" t="s">
        <v>4070</v>
      </c>
      <c r="F700" s="2987">
        <v>2</v>
      </c>
      <c r="G700" s="2987">
        <v>1201</v>
      </c>
      <c r="H700" s="2987" t="s">
        <v>4167</v>
      </c>
      <c r="I700" s="2987" t="s">
        <v>3486</v>
      </c>
      <c r="J700" s="2987" t="s">
        <v>3602</v>
      </c>
      <c r="K700" s="2988">
        <v>111.01</v>
      </c>
    </row>
    <row r="701" spans="2:11" ht="18" customHeight="1">
      <c r="B701" s="2986">
        <v>666</v>
      </c>
      <c r="C701" s="2987" t="s">
        <v>3482</v>
      </c>
      <c r="D701" s="2987" t="s">
        <v>3594</v>
      </c>
      <c r="E701" s="2987" t="s">
        <v>4070</v>
      </c>
      <c r="F701" s="2987">
        <v>2</v>
      </c>
      <c r="G701" s="2987">
        <v>1202</v>
      </c>
      <c r="H701" s="2987" t="s">
        <v>4168</v>
      </c>
      <c r="I701" s="2987" t="s">
        <v>3486</v>
      </c>
      <c r="J701" s="2987" t="s">
        <v>3599</v>
      </c>
      <c r="K701" s="2988">
        <v>96.17</v>
      </c>
    </row>
    <row r="702" spans="2:11" ht="18" customHeight="1">
      <c r="B702" s="2986">
        <v>667</v>
      </c>
      <c r="C702" s="2987" t="s">
        <v>3482</v>
      </c>
      <c r="D702" s="2987" t="s">
        <v>3594</v>
      </c>
      <c r="E702" s="2987" t="s">
        <v>4070</v>
      </c>
      <c r="F702" s="2987">
        <v>2</v>
      </c>
      <c r="G702" s="2987">
        <v>1203</v>
      </c>
      <c r="H702" s="2987" t="s">
        <v>4169</v>
      </c>
      <c r="I702" s="2987" t="s">
        <v>3486</v>
      </c>
      <c r="J702" s="2987" t="s">
        <v>3599</v>
      </c>
      <c r="K702" s="2988">
        <v>96.17</v>
      </c>
    </row>
    <row r="703" spans="2:11" ht="18" customHeight="1">
      <c r="B703" s="2986">
        <v>668</v>
      </c>
      <c r="C703" s="2987" t="s">
        <v>3482</v>
      </c>
      <c r="D703" s="2987" t="s">
        <v>3594</v>
      </c>
      <c r="E703" s="2987" t="s">
        <v>4070</v>
      </c>
      <c r="F703" s="2987">
        <v>2</v>
      </c>
      <c r="G703" s="2987">
        <v>1204</v>
      </c>
      <c r="H703" s="2987" t="s">
        <v>4170</v>
      </c>
      <c r="I703" s="2987" t="s">
        <v>3486</v>
      </c>
      <c r="J703" s="2987" t="s">
        <v>3597</v>
      </c>
      <c r="K703" s="2988">
        <v>128.26</v>
      </c>
    </row>
    <row r="704" spans="2:11" ht="18" customHeight="1">
      <c r="B704" s="2986">
        <v>669</v>
      </c>
      <c r="C704" s="2987" t="s">
        <v>3482</v>
      </c>
      <c r="D704" s="2987" t="s">
        <v>3594</v>
      </c>
      <c r="E704" s="2987" t="s">
        <v>4070</v>
      </c>
      <c r="F704" s="2987">
        <v>2</v>
      </c>
      <c r="G704" s="2987">
        <v>1301</v>
      </c>
      <c r="H704" s="2987" t="s">
        <v>4171</v>
      </c>
      <c r="I704" s="2987" t="s">
        <v>3486</v>
      </c>
      <c r="J704" s="2987" t="s">
        <v>3602</v>
      </c>
      <c r="K704" s="2988">
        <v>111.01</v>
      </c>
    </row>
    <row r="705" spans="2:11" ht="18" customHeight="1">
      <c r="B705" s="2986">
        <v>670</v>
      </c>
      <c r="C705" s="2987" t="s">
        <v>3482</v>
      </c>
      <c r="D705" s="2987" t="s">
        <v>3594</v>
      </c>
      <c r="E705" s="2987" t="s">
        <v>4070</v>
      </c>
      <c r="F705" s="2987">
        <v>2</v>
      </c>
      <c r="G705" s="2987">
        <v>1302</v>
      </c>
      <c r="H705" s="2987" t="s">
        <v>4172</v>
      </c>
      <c r="I705" s="2987" t="s">
        <v>3486</v>
      </c>
      <c r="J705" s="2987" t="s">
        <v>3599</v>
      </c>
      <c r="K705" s="2988">
        <v>96.17</v>
      </c>
    </row>
    <row r="706" spans="2:11" ht="18" customHeight="1">
      <c r="B706" s="2986">
        <v>671</v>
      </c>
      <c r="C706" s="2987" t="s">
        <v>3482</v>
      </c>
      <c r="D706" s="2987" t="s">
        <v>3594</v>
      </c>
      <c r="E706" s="2987" t="s">
        <v>4070</v>
      </c>
      <c r="F706" s="2987">
        <v>2</v>
      </c>
      <c r="G706" s="2987">
        <v>1303</v>
      </c>
      <c r="H706" s="2987" t="s">
        <v>4173</v>
      </c>
      <c r="I706" s="2987" t="s">
        <v>3486</v>
      </c>
      <c r="J706" s="2987" t="s">
        <v>3599</v>
      </c>
      <c r="K706" s="2988">
        <v>96.17</v>
      </c>
    </row>
    <row r="707" spans="2:11" ht="18" customHeight="1">
      <c r="B707" s="2986">
        <v>672</v>
      </c>
      <c r="C707" s="2987" t="s">
        <v>3482</v>
      </c>
      <c r="D707" s="2987" t="s">
        <v>3594</v>
      </c>
      <c r="E707" s="2987" t="s">
        <v>4070</v>
      </c>
      <c r="F707" s="2987">
        <v>2</v>
      </c>
      <c r="G707" s="2987">
        <v>1304</v>
      </c>
      <c r="H707" s="2987" t="s">
        <v>4174</v>
      </c>
      <c r="I707" s="2987" t="s">
        <v>3486</v>
      </c>
      <c r="J707" s="2987" t="s">
        <v>3597</v>
      </c>
      <c r="K707" s="2988">
        <v>128.26</v>
      </c>
    </row>
    <row r="708" spans="2:11" ht="18" customHeight="1">
      <c r="B708" s="2986">
        <v>673</v>
      </c>
      <c r="C708" s="2987" t="s">
        <v>3482</v>
      </c>
      <c r="D708" s="2987" t="s">
        <v>3594</v>
      </c>
      <c r="E708" s="2987" t="s">
        <v>4070</v>
      </c>
      <c r="F708" s="2987">
        <v>2</v>
      </c>
      <c r="G708" s="2987">
        <v>1401</v>
      </c>
      <c r="H708" s="2987" t="s">
        <v>4175</v>
      </c>
      <c r="I708" s="2987" t="s">
        <v>3486</v>
      </c>
      <c r="J708" s="2987" t="s">
        <v>3602</v>
      </c>
      <c r="K708" s="2988">
        <v>111.01</v>
      </c>
    </row>
    <row r="709" spans="2:11" ht="18" customHeight="1">
      <c r="B709" s="2986">
        <v>674</v>
      </c>
      <c r="C709" s="2987" t="s">
        <v>3482</v>
      </c>
      <c r="D709" s="2987" t="s">
        <v>3594</v>
      </c>
      <c r="E709" s="2987" t="s">
        <v>4070</v>
      </c>
      <c r="F709" s="2987">
        <v>2</v>
      </c>
      <c r="G709" s="2987">
        <v>1402</v>
      </c>
      <c r="H709" s="2987" t="s">
        <v>4176</v>
      </c>
      <c r="I709" s="2987" t="s">
        <v>3486</v>
      </c>
      <c r="J709" s="2987" t="s">
        <v>3599</v>
      </c>
      <c r="K709" s="2988">
        <v>96.17</v>
      </c>
    </row>
    <row r="710" spans="2:11" ht="18" customHeight="1">
      <c r="B710" s="2986">
        <v>675</v>
      </c>
      <c r="C710" s="2987" t="s">
        <v>3482</v>
      </c>
      <c r="D710" s="2987" t="s">
        <v>3594</v>
      </c>
      <c r="E710" s="2987" t="s">
        <v>4070</v>
      </c>
      <c r="F710" s="2987">
        <v>2</v>
      </c>
      <c r="G710" s="2987">
        <v>1403</v>
      </c>
      <c r="H710" s="2987" t="s">
        <v>4177</v>
      </c>
      <c r="I710" s="2987" t="s">
        <v>3486</v>
      </c>
      <c r="J710" s="2987" t="s">
        <v>3599</v>
      </c>
      <c r="K710" s="2988">
        <v>96.17</v>
      </c>
    </row>
    <row r="711" spans="2:11" ht="18" customHeight="1">
      <c r="B711" s="2986">
        <v>676</v>
      </c>
      <c r="C711" s="2987" t="s">
        <v>3482</v>
      </c>
      <c r="D711" s="2987" t="s">
        <v>3594</v>
      </c>
      <c r="E711" s="2987" t="s">
        <v>4070</v>
      </c>
      <c r="F711" s="2987">
        <v>2</v>
      </c>
      <c r="G711" s="2987">
        <v>1404</v>
      </c>
      <c r="H711" s="2987" t="s">
        <v>4178</v>
      </c>
      <c r="I711" s="2987" t="s">
        <v>3486</v>
      </c>
      <c r="J711" s="2987" t="s">
        <v>3597</v>
      </c>
      <c r="K711" s="2988">
        <v>128.26</v>
      </c>
    </row>
    <row r="712" spans="2:11" ht="18" customHeight="1">
      <c r="B712" s="2986">
        <v>677</v>
      </c>
      <c r="C712" s="2987" t="s">
        <v>3482</v>
      </c>
      <c r="D712" s="2987" t="s">
        <v>3594</v>
      </c>
      <c r="E712" s="2987" t="s">
        <v>4070</v>
      </c>
      <c r="F712" s="2987">
        <v>2</v>
      </c>
      <c r="G712" s="2987">
        <v>1501</v>
      </c>
      <c r="H712" s="2987" t="s">
        <v>4179</v>
      </c>
      <c r="I712" s="2987" t="s">
        <v>3486</v>
      </c>
      <c r="J712" s="2987" t="s">
        <v>3602</v>
      </c>
      <c r="K712" s="2988">
        <v>111.01</v>
      </c>
    </row>
    <row r="713" spans="2:11" ht="18" customHeight="1">
      <c r="B713" s="2986">
        <v>678</v>
      </c>
      <c r="C713" s="2987" t="s">
        <v>3482</v>
      </c>
      <c r="D713" s="2987" t="s">
        <v>3594</v>
      </c>
      <c r="E713" s="2987" t="s">
        <v>4070</v>
      </c>
      <c r="F713" s="2987">
        <v>2</v>
      </c>
      <c r="G713" s="2987">
        <v>1502</v>
      </c>
      <c r="H713" s="2987" t="s">
        <v>4180</v>
      </c>
      <c r="I713" s="2987" t="s">
        <v>3486</v>
      </c>
      <c r="J713" s="2987" t="s">
        <v>3599</v>
      </c>
      <c r="K713" s="2988">
        <v>96.17</v>
      </c>
    </row>
    <row r="714" spans="2:11" ht="18" customHeight="1">
      <c r="B714" s="2986">
        <v>679</v>
      </c>
      <c r="C714" s="2987" t="s">
        <v>3482</v>
      </c>
      <c r="D714" s="2987" t="s">
        <v>3594</v>
      </c>
      <c r="E714" s="2987" t="s">
        <v>4070</v>
      </c>
      <c r="F714" s="2987">
        <v>2</v>
      </c>
      <c r="G714" s="2987">
        <v>1503</v>
      </c>
      <c r="H714" s="2987" t="s">
        <v>4181</v>
      </c>
      <c r="I714" s="2987" t="s">
        <v>3486</v>
      </c>
      <c r="J714" s="2987" t="s">
        <v>3599</v>
      </c>
      <c r="K714" s="2988">
        <v>96.17</v>
      </c>
    </row>
    <row r="715" spans="2:11" ht="18" customHeight="1">
      <c r="B715" s="2986">
        <v>680</v>
      </c>
      <c r="C715" s="2987" t="s">
        <v>3482</v>
      </c>
      <c r="D715" s="2987" t="s">
        <v>3594</v>
      </c>
      <c r="E715" s="2987" t="s">
        <v>4070</v>
      </c>
      <c r="F715" s="2987">
        <v>2</v>
      </c>
      <c r="G715" s="2987">
        <v>1504</v>
      </c>
      <c r="H715" s="2987" t="s">
        <v>4182</v>
      </c>
      <c r="I715" s="2987" t="s">
        <v>3486</v>
      </c>
      <c r="J715" s="2987" t="s">
        <v>3597</v>
      </c>
      <c r="K715" s="2988">
        <v>128.26</v>
      </c>
    </row>
    <row r="716" spans="2:11" ht="18" customHeight="1">
      <c r="B716" s="2986">
        <v>681</v>
      </c>
      <c r="C716" s="2987" t="s">
        <v>3482</v>
      </c>
      <c r="D716" s="2987" t="s">
        <v>3594</v>
      </c>
      <c r="E716" s="2987" t="s">
        <v>4070</v>
      </c>
      <c r="F716" s="2987">
        <v>2</v>
      </c>
      <c r="G716" s="2987">
        <v>1601</v>
      </c>
      <c r="H716" s="2987" t="s">
        <v>4183</v>
      </c>
      <c r="I716" s="2987" t="s">
        <v>3486</v>
      </c>
      <c r="J716" s="2987" t="s">
        <v>3602</v>
      </c>
      <c r="K716" s="2988">
        <v>111.01</v>
      </c>
    </row>
    <row r="717" spans="2:11" ht="18" customHeight="1">
      <c r="B717" s="2986">
        <v>682</v>
      </c>
      <c r="C717" s="2987" t="s">
        <v>3482</v>
      </c>
      <c r="D717" s="2987" t="s">
        <v>3594</v>
      </c>
      <c r="E717" s="2987" t="s">
        <v>4070</v>
      </c>
      <c r="F717" s="2987">
        <v>2</v>
      </c>
      <c r="G717" s="2987">
        <v>1602</v>
      </c>
      <c r="H717" s="2987" t="s">
        <v>4184</v>
      </c>
      <c r="I717" s="2987" t="s">
        <v>3486</v>
      </c>
      <c r="J717" s="2987" t="s">
        <v>3599</v>
      </c>
      <c r="K717" s="2988">
        <v>96.17</v>
      </c>
    </row>
    <row r="718" spans="2:11" ht="18" customHeight="1">
      <c r="B718" s="2986">
        <v>683</v>
      </c>
      <c r="C718" s="2987" t="s">
        <v>3482</v>
      </c>
      <c r="D718" s="2987" t="s">
        <v>3594</v>
      </c>
      <c r="E718" s="2987" t="s">
        <v>4070</v>
      </c>
      <c r="F718" s="2987">
        <v>2</v>
      </c>
      <c r="G718" s="2987">
        <v>1603</v>
      </c>
      <c r="H718" s="2987" t="s">
        <v>4185</v>
      </c>
      <c r="I718" s="2987" t="s">
        <v>3486</v>
      </c>
      <c r="J718" s="2987" t="s">
        <v>3599</v>
      </c>
      <c r="K718" s="2988">
        <v>96.17</v>
      </c>
    </row>
    <row r="719" spans="2:11" ht="18" customHeight="1">
      <c r="B719" s="2986">
        <v>684</v>
      </c>
      <c r="C719" s="2987" t="s">
        <v>3482</v>
      </c>
      <c r="D719" s="2987" t="s">
        <v>3594</v>
      </c>
      <c r="E719" s="2987" t="s">
        <v>4070</v>
      </c>
      <c r="F719" s="2987">
        <v>2</v>
      </c>
      <c r="G719" s="2987">
        <v>1604</v>
      </c>
      <c r="H719" s="2987" t="s">
        <v>4186</v>
      </c>
      <c r="I719" s="2987" t="s">
        <v>3486</v>
      </c>
      <c r="J719" s="2987" t="s">
        <v>3597</v>
      </c>
      <c r="K719" s="2988">
        <v>128.26</v>
      </c>
    </row>
    <row r="720" spans="2:11" ht="18" customHeight="1">
      <c r="B720" s="2986">
        <v>685</v>
      </c>
      <c r="C720" s="2987" t="s">
        <v>3482</v>
      </c>
      <c r="D720" s="2987" t="s">
        <v>3594</v>
      </c>
      <c r="E720" s="2987" t="s">
        <v>4070</v>
      </c>
      <c r="F720" s="2987">
        <v>2</v>
      </c>
      <c r="G720" s="2987">
        <v>1701</v>
      </c>
      <c r="H720" s="2987" t="s">
        <v>4187</v>
      </c>
      <c r="I720" s="2987" t="s">
        <v>3486</v>
      </c>
      <c r="J720" s="2987" t="s">
        <v>3602</v>
      </c>
      <c r="K720" s="2988">
        <v>111.01</v>
      </c>
    </row>
    <row r="721" spans="2:11" ht="18" customHeight="1">
      <c r="B721" s="2986">
        <v>686</v>
      </c>
      <c r="C721" s="2987" t="s">
        <v>3482</v>
      </c>
      <c r="D721" s="2987" t="s">
        <v>3594</v>
      </c>
      <c r="E721" s="2987" t="s">
        <v>4070</v>
      </c>
      <c r="F721" s="2987">
        <v>2</v>
      </c>
      <c r="G721" s="2987">
        <v>1702</v>
      </c>
      <c r="H721" s="2987" t="s">
        <v>4188</v>
      </c>
      <c r="I721" s="2987" t="s">
        <v>3486</v>
      </c>
      <c r="J721" s="2987" t="s">
        <v>3599</v>
      </c>
      <c r="K721" s="2988">
        <v>96.17</v>
      </c>
    </row>
    <row r="722" spans="2:11" ht="18" customHeight="1">
      <c r="B722" s="2986">
        <v>687</v>
      </c>
      <c r="C722" s="2987" t="s">
        <v>3482</v>
      </c>
      <c r="D722" s="2987" t="s">
        <v>3594</v>
      </c>
      <c r="E722" s="2987" t="s">
        <v>4070</v>
      </c>
      <c r="F722" s="2987">
        <v>2</v>
      </c>
      <c r="G722" s="2987">
        <v>1703</v>
      </c>
      <c r="H722" s="2987" t="s">
        <v>4189</v>
      </c>
      <c r="I722" s="2987" t="s">
        <v>3486</v>
      </c>
      <c r="J722" s="2987" t="s">
        <v>3599</v>
      </c>
      <c r="K722" s="2988">
        <v>96.17</v>
      </c>
    </row>
    <row r="723" spans="2:11" ht="18" customHeight="1">
      <c r="B723" s="2986">
        <v>688</v>
      </c>
      <c r="C723" s="2987" t="s">
        <v>3482</v>
      </c>
      <c r="D723" s="2987" t="s">
        <v>3594</v>
      </c>
      <c r="E723" s="2987" t="s">
        <v>4070</v>
      </c>
      <c r="F723" s="2987">
        <v>2</v>
      </c>
      <c r="G723" s="2987">
        <v>1704</v>
      </c>
      <c r="H723" s="2987" t="s">
        <v>4190</v>
      </c>
      <c r="I723" s="2987" t="s">
        <v>3486</v>
      </c>
      <c r="J723" s="2987" t="s">
        <v>3597</v>
      </c>
      <c r="K723" s="2988">
        <v>128.26</v>
      </c>
    </row>
    <row r="724" spans="2:11" ht="18" customHeight="1">
      <c r="B724" s="2986">
        <v>689</v>
      </c>
      <c r="C724" s="2987" t="s">
        <v>3482</v>
      </c>
      <c r="D724" s="2987" t="s">
        <v>3594</v>
      </c>
      <c r="E724" s="2987" t="s">
        <v>4070</v>
      </c>
      <c r="F724" s="2987">
        <v>2</v>
      </c>
      <c r="G724" s="2987">
        <v>1801</v>
      </c>
      <c r="H724" s="2987" t="s">
        <v>4191</v>
      </c>
      <c r="I724" s="2987" t="s">
        <v>3486</v>
      </c>
      <c r="J724" s="2987" t="s">
        <v>3602</v>
      </c>
      <c r="K724" s="2988">
        <v>111.01</v>
      </c>
    </row>
    <row r="725" spans="2:11" ht="18" customHeight="1">
      <c r="B725" s="2986">
        <v>690</v>
      </c>
      <c r="C725" s="2987" t="s">
        <v>3482</v>
      </c>
      <c r="D725" s="2987" t="s">
        <v>3594</v>
      </c>
      <c r="E725" s="2987" t="s">
        <v>4070</v>
      </c>
      <c r="F725" s="2987">
        <v>2</v>
      </c>
      <c r="G725" s="2987">
        <v>1802</v>
      </c>
      <c r="H725" s="2987" t="s">
        <v>4192</v>
      </c>
      <c r="I725" s="2987" t="s">
        <v>3486</v>
      </c>
      <c r="J725" s="2987" t="s">
        <v>3599</v>
      </c>
      <c r="K725" s="2988">
        <v>96.17</v>
      </c>
    </row>
    <row r="726" spans="2:11" ht="18" customHeight="1">
      <c r="B726" s="2986">
        <v>691</v>
      </c>
      <c r="C726" s="2987" t="s">
        <v>3482</v>
      </c>
      <c r="D726" s="2987" t="s">
        <v>3594</v>
      </c>
      <c r="E726" s="2987" t="s">
        <v>4070</v>
      </c>
      <c r="F726" s="2987">
        <v>2</v>
      </c>
      <c r="G726" s="2987">
        <v>1803</v>
      </c>
      <c r="H726" s="2987" t="s">
        <v>4193</v>
      </c>
      <c r="I726" s="2987" t="s">
        <v>3486</v>
      </c>
      <c r="J726" s="2987" t="s">
        <v>3599</v>
      </c>
      <c r="K726" s="2988">
        <v>96.17</v>
      </c>
    </row>
    <row r="727" spans="2:11" ht="18" customHeight="1">
      <c r="B727" s="2986">
        <v>692</v>
      </c>
      <c r="C727" s="2987" t="s">
        <v>3482</v>
      </c>
      <c r="D727" s="2987" t="s">
        <v>3594</v>
      </c>
      <c r="E727" s="2987" t="s">
        <v>4070</v>
      </c>
      <c r="F727" s="2987">
        <v>2</v>
      </c>
      <c r="G727" s="2987">
        <v>1804</v>
      </c>
      <c r="H727" s="2987" t="s">
        <v>4194</v>
      </c>
      <c r="I727" s="2987" t="s">
        <v>3486</v>
      </c>
      <c r="J727" s="2987" t="s">
        <v>3597</v>
      </c>
      <c r="K727" s="2988">
        <v>128.26</v>
      </c>
    </row>
    <row r="728" spans="2:11" ht="18" customHeight="1">
      <c r="B728" s="2986">
        <v>693</v>
      </c>
      <c r="C728" s="2987" t="s">
        <v>3482</v>
      </c>
      <c r="D728" s="2987" t="s">
        <v>3594</v>
      </c>
      <c r="E728" s="2987" t="s">
        <v>4070</v>
      </c>
      <c r="F728" s="2987">
        <v>2</v>
      </c>
      <c r="G728" s="2987">
        <v>1901</v>
      </c>
      <c r="H728" s="2987" t="s">
        <v>4195</v>
      </c>
      <c r="I728" s="2987" t="s">
        <v>3486</v>
      </c>
      <c r="J728" s="2987" t="s">
        <v>3602</v>
      </c>
      <c r="K728" s="2988">
        <v>111.01</v>
      </c>
    </row>
    <row r="729" spans="2:11" ht="18" customHeight="1">
      <c r="B729" s="2986">
        <v>694</v>
      </c>
      <c r="C729" s="2987" t="s">
        <v>3482</v>
      </c>
      <c r="D729" s="2987" t="s">
        <v>3594</v>
      </c>
      <c r="E729" s="2987" t="s">
        <v>4070</v>
      </c>
      <c r="F729" s="2987">
        <v>2</v>
      </c>
      <c r="G729" s="2987">
        <v>1902</v>
      </c>
      <c r="H729" s="2987" t="s">
        <v>4196</v>
      </c>
      <c r="I729" s="2987" t="s">
        <v>3486</v>
      </c>
      <c r="J729" s="2987" t="s">
        <v>3599</v>
      </c>
      <c r="K729" s="2988">
        <v>96.17</v>
      </c>
    </row>
    <row r="730" spans="2:11" ht="18" customHeight="1">
      <c r="B730" s="2986">
        <v>695</v>
      </c>
      <c r="C730" s="2987" t="s">
        <v>3482</v>
      </c>
      <c r="D730" s="2987" t="s">
        <v>3594</v>
      </c>
      <c r="E730" s="2987" t="s">
        <v>4070</v>
      </c>
      <c r="F730" s="2987">
        <v>2</v>
      </c>
      <c r="G730" s="2987">
        <v>1903</v>
      </c>
      <c r="H730" s="2987" t="s">
        <v>4197</v>
      </c>
      <c r="I730" s="2987" t="s">
        <v>3486</v>
      </c>
      <c r="J730" s="2987" t="s">
        <v>3599</v>
      </c>
      <c r="K730" s="2988">
        <v>96.17</v>
      </c>
    </row>
    <row r="731" spans="2:11" ht="18" customHeight="1">
      <c r="B731" s="2986">
        <v>696</v>
      </c>
      <c r="C731" s="2987" t="s">
        <v>3482</v>
      </c>
      <c r="D731" s="2987" t="s">
        <v>3594</v>
      </c>
      <c r="E731" s="2987" t="s">
        <v>4070</v>
      </c>
      <c r="F731" s="2987">
        <v>2</v>
      </c>
      <c r="G731" s="2987">
        <v>1904</v>
      </c>
      <c r="H731" s="2987" t="s">
        <v>4198</v>
      </c>
      <c r="I731" s="2987" t="s">
        <v>3486</v>
      </c>
      <c r="J731" s="2987" t="s">
        <v>3597</v>
      </c>
      <c r="K731" s="2988">
        <v>128.26</v>
      </c>
    </row>
    <row r="732" spans="2:11" ht="18" customHeight="1">
      <c r="B732" s="2986">
        <v>697</v>
      </c>
      <c r="C732" s="2987" t="s">
        <v>3482</v>
      </c>
      <c r="D732" s="2987" t="s">
        <v>3594</v>
      </c>
      <c r="E732" s="2987" t="s">
        <v>4070</v>
      </c>
      <c r="F732" s="2987">
        <v>2</v>
      </c>
      <c r="G732" s="2987">
        <v>2001</v>
      </c>
      <c r="H732" s="2987" t="s">
        <v>4199</v>
      </c>
      <c r="I732" s="2987" t="s">
        <v>3486</v>
      </c>
      <c r="J732" s="2987" t="s">
        <v>3602</v>
      </c>
      <c r="K732" s="2988">
        <v>111.01</v>
      </c>
    </row>
    <row r="733" spans="2:11" ht="18" customHeight="1">
      <c r="B733" s="2986">
        <v>698</v>
      </c>
      <c r="C733" s="2987" t="s">
        <v>3482</v>
      </c>
      <c r="D733" s="2987" t="s">
        <v>3594</v>
      </c>
      <c r="E733" s="2987" t="s">
        <v>4070</v>
      </c>
      <c r="F733" s="2987">
        <v>2</v>
      </c>
      <c r="G733" s="2987">
        <v>2002</v>
      </c>
      <c r="H733" s="2987" t="s">
        <v>4200</v>
      </c>
      <c r="I733" s="2987" t="s">
        <v>3486</v>
      </c>
      <c r="J733" s="2987" t="s">
        <v>3599</v>
      </c>
      <c r="K733" s="2988">
        <v>96.17</v>
      </c>
    </row>
    <row r="734" spans="2:11" ht="18" customHeight="1">
      <c r="B734" s="2986">
        <v>699</v>
      </c>
      <c r="C734" s="2987" t="s">
        <v>3482</v>
      </c>
      <c r="D734" s="2987" t="s">
        <v>3594</v>
      </c>
      <c r="E734" s="2987" t="s">
        <v>4070</v>
      </c>
      <c r="F734" s="2987">
        <v>2</v>
      </c>
      <c r="G734" s="2987">
        <v>2003</v>
      </c>
      <c r="H734" s="2987" t="s">
        <v>4201</v>
      </c>
      <c r="I734" s="2987" t="s">
        <v>3486</v>
      </c>
      <c r="J734" s="2987" t="s">
        <v>3599</v>
      </c>
      <c r="K734" s="2988">
        <v>96.17</v>
      </c>
    </row>
    <row r="735" spans="2:11" ht="18" customHeight="1">
      <c r="B735" s="2986">
        <v>700</v>
      </c>
      <c r="C735" s="2987" t="s">
        <v>3482</v>
      </c>
      <c r="D735" s="2987" t="s">
        <v>3594</v>
      </c>
      <c r="E735" s="2987" t="s">
        <v>4070</v>
      </c>
      <c r="F735" s="2987">
        <v>2</v>
      </c>
      <c r="G735" s="2987">
        <v>2004</v>
      </c>
      <c r="H735" s="2987" t="s">
        <v>4202</v>
      </c>
      <c r="I735" s="2987" t="s">
        <v>3486</v>
      </c>
      <c r="J735" s="2987" t="s">
        <v>3597</v>
      </c>
      <c r="K735" s="2988">
        <v>128.26</v>
      </c>
    </row>
    <row r="736" spans="2:11" ht="18" customHeight="1">
      <c r="B736" s="2986">
        <v>701</v>
      </c>
      <c r="C736" s="2987" t="s">
        <v>3482</v>
      </c>
      <c r="D736" s="2987" t="s">
        <v>3594</v>
      </c>
      <c r="E736" s="2987" t="s">
        <v>4070</v>
      </c>
      <c r="F736" s="2987">
        <v>2</v>
      </c>
      <c r="G736" s="2987">
        <v>201</v>
      </c>
      <c r="H736" s="2987" t="s">
        <v>4203</v>
      </c>
      <c r="I736" s="2987" t="s">
        <v>3486</v>
      </c>
      <c r="J736" s="2987" t="s">
        <v>3602</v>
      </c>
      <c r="K736" s="2988">
        <v>111.01</v>
      </c>
    </row>
    <row r="737" spans="2:11" ht="18" customHeight="1">
      <c r="B737" s="2986">
        <v>702</v>
      </c>
      <c r="C737" s="2987" t="s">
        <v>3482</v>
      </c>
      <c r="D737" s="2987" t="s">
        <v>3594</v>
      </c>
      <c r="E737" s="2987" t="s">
        <v>4070</v>
      </c>
      <c r="F737" s="2987">
        <v>2</v>
      </c>
      <c r="G737" s="2987">
        <v>202</v>
      </c>
      <c r="H737" s="2987" t="s">
        <v>4204</v>
      </c>
      <c r="I737" s="2987" t="s">
        <v>3486</v>
      </c>
      <c r="J737" s="2987" t="s">
        <v>3599</v>
      </c>
      <c r="K737" s="2988">
        <v>96.17</v>
      </c>
    </row>
    <row r="738" spans="2:11" ht="18" customHeight="1">
      <c r="B738" s="2986">
        <v>703</v>
      </c>
      <c r="C738" s="2987" t="s">
        <v>3482</v>
      </c>
      <c r="D738" s="2987" t="s">
        <v>3594</v>
      </c>
      <c r="E738" s="2987" t="s">
        <v>4070</v>
      </c>
      <c r="F738" s="2987">
        <v>2</v>
      </c>
      <c r="G738" s="2987">
        <v>203</v>
      </c>
      <c r="H738" s="2987" t="s">
        <v>4205</v>
      </c>
      <c r="I738" s="2987" t="s">
        <v>3486</v>
      </c>
      <c r="J738" s="2987" t="s">
        <v>3599</v>
      </c>
      <c r="K738" s="2988">
        <v>96.17</v>
      </c>
    </row>
    <row r="739" spans="2:11" ht="18" customHeight="1">
      <c r="B739" s="2986">
        <v>704</v>
      </c>
      <c r="C739" s="2987" t="s">
        <v>3482</v>
      </c>
      <c r="D739" s="2987" t="s">
        <v>3594</v>
      </c>
      <c r="E739" s="2987" t="s">
        <v>4070</v>
      </c>
      <c r="F739" s="2987">
        <v>2</v>
      </c>
      <c r="G739" s="2987">
        <v>204</v>
      </c>
      <c r="H739" s="2987" t="s">
        <v>4206</v>
      </c>
      <c r="I739" s="2987" t="s">
        <v>3486</v>
      </c>
      <c r="J739" s="2987" t="s">
        <v>3597</v>
      </c>
      <c r="K739" s="2988">
        <v>128.26</v>
      </c>
    </row>
    <row r="740" spans="2:11" ht="18" customHeight="1">
      <c r="B740" s="2986">
        <v>705</v>
      </c>
      <c r="C740" s="2987" t="s">
        <v>3482</v>
      </c>
      <c r="D740" s="2987" t="s">
        <v>3594</v>
      </c>
      <c r="E740" s="2987" t="s">
        <v>4070</v>
      </c>
      <c r="F740" s="2987">
        <v>2</v>
      </c>
      <c r="G740" s="2987">
        <v>2101</v>
      </c>
      <c r="H740" s="2987" t="s">
        <v>4207</v>
      </c>
      <c r="I740" s="2987" t="s">
        <v>3486</v>
      </c>
      <c r="J740" s="2987" t="s">
        <v>3602</v>
      </c>
      <c r="K740" s="2988">
        <v>111.01</v>
      </c>
    </row>
    <row r="741" spans="2:11" ht="18" customHeight="1">
      <c r="B741" s="2986">
        <v>706</v>
      </c>
      <c r="C741" s="2987" t="s">
        <v>3482</v>
      </c>
      <c r="D741" s="2987" t="s">
        <v>3594</v>
      </c>
      <c r="E741" s="2987" t="s">
        <v>4070</v>
      </c>
      <c r="F741" s="2987">
        <v>2</v>
      </c>
      <c r="G741" s="2987">
        <v>2102</v>
      </c>
      <c r="H741" s="2987" t="s">
        <v>4208</v>
      </c>
      <c r="I741" s="2987" t="s">
        <v>3486</v>
      </c>
      <c r="J741" s="2987" t="s">
        <v>3599</v>
      </c>
      <c r="K741" s="2988">
        <v>96.17</v>
      </c>
    </row>
    <row r="742" spans="2:11" ht="18" customHeight="1">
      <c r="B742" s="2986">
        <v>707</v>
      </c>
      <c r="C742" s="2987" t="s">
        <v>3482</v>
      </c>
      <c r="D742" s="2987" t="s">
        <v>3594</v>
      </c>
      <c r="E742" s="2987" t="s">
        <v>4070</v>
      </c>
      <c r="F742" s="2987">
        <v>2</v>
      </c>
      <c r="G742" s="2987">
        <v>2103</v>
      </c>
      <c r="H742" s="2987" t="s">
        <v>4209</v>
      </c>
      <c r="I742" s="2987" t="s">
        <v>3486</v>
      </c>
      <c r="J742" s="2987" t="s">
        <v>3599</v>
      </c>
      <c r="K742" s="2988">
        <v>96.17</v>
      </c>
    </row>
    <row r="743" spans="2:11" ht="18" customHeight="1">
      <c r="B743" s="2986">
        <v>708</v>
      </c>
      <c r="C743" s="2987" t="s">
        <v>3482</v>
      </c>
      <c r="D743" s="2987" t="s">
        <v>3594</v>
      </c>
      <c r="E743" s="2987" t="s">
        <v>4070</v>
      </c>
      <c r="F743" s="2987">
        <v>2</v>
      </c>
      <c r="G743" s="2987">
        <v>2104</v>
      </c>
      <c r="H743" s="2987" t="s">
        <v>4210</v>
      </c>
      <c r="I743" s="2987" t="s">
        <v>3486</v>
      </c>
      <c r="J743" s="2987" t="s">
        <v>3597</v>
      </c>
      <c r="K743" s="2988">
        <v>128.26</v>
      </c>
    </row>
    <row r="744" spans="2:11" ht="18" customHeight="1">
      <c r="B744" s="2986">
        <v>709</v>
      </c>
      <c r="C744" s="2987" t="s">
        <v>3482</v>
      </c>
      <c r="D744" s="2987" t="s">
        <v>3594</v>
      </c>
      <c r="E744" s="2987" t="s">
        <v>4070</v>
      </c>
      <c r="F744" s="2987">
        <v>2</v>
      </c>
      <c r="G744" s="2987">
        <v>301</v>
      </c>
      <c r="H744" s="2987" t="s">
        <v>4211</v>
      </c>
      <c r="I744" s="2987" t="s">
        <v>3486</v>
      </c>
      <c r="J744" s="2987" t="s">
        <v>3602</v>
      </c>
      <c r="K744" s="2988">
        <v>111.01</v>
      </c>
    </row>
    <row r="745" spans="2:11" ht="18" customHeight="1">
      <c r="B745" s="2986">
        <v>710</v>
      </c>
      <c r="C745" s="2987" t="s">
        <v>3482</v>
      </c>
      <c r="D745" s="2987" t="s">
        <v>3594</v>
      </c>
      <c r="E745" s="2987" t="s">
        <v>4070</v>
      </c>
      <c r="F745" s="2987">
        <v>2</v>
      </c>
      <c r="G745" s="2987">
        <v>302</v>
      </c>
      <c r="H745" s="2987" t="s">
        <v>4212</v>
      </c>
      <c r="I745" s="2987" t="s">
        <v>3486</v>
      </c>
      <c r="J745" s="2987" t="s">
        <v>3599</v>
      </c>
      <c r="K745" s="2988">
        <v>96.17</v>
      </c>
    </row>
    <row r="746" spans="2:11" ht="18" customHeight="1">
      <c r="B746" s="2986">
        <v>711</v>
      </c>
      <c r="C746" s="2987" t="s">
        <v>3482</v>
      </c>
      <c r="D746" s="2987" t="s">
        <v>3594</v>
      </c>
      <c r="E746" s="2987" t="s">
        <v>4070</v>
      </c>
      <c r="F746" s="2987">
        <v>2</v>
      </c>
      <c r="G746" s="2987">
        <v>303</v>
      </c>
      <c r="H746" s="2987" t="s">
        <v>4213</v>
      </c>
      <c r="I746" s="2987" t="s">
        <v>3486</v>
      </c>
      <c r="J746" s="2987" t="s">
        <v>3599</v>
      </c>
      <c r="K746" s="2988">
        <v>96.17</v>
      </c>
    </row>
    <row r="747" spans="2:11" ht="18" customHeight="1">
      <c r="B747" s="2986">
        <v>712</v>
      </c>
      <c r="C747" s="2987" t="s">
        <v>3482</v>
      </c>
      <c r="D747" s="2987" t="s">
        <v>3594</v>
      </c>
      <c r="E747" s="2987" t="s">
        <v>4070</v>
      </c>
      <c r="F747" s="2987">
        <v>2</v>
      </c>
      <c r="G747" s="2987">
        <v>304</v>
      </c>
      <c r="H747" s="2987" t="s">
        <v>4214</v>
      </c>
      <c r="I747" s="2987" t="s">
        <v>3486</v>
      </c>
      <c r="J747" s="2987" t="s">
        <v>3597</v>
      </c>
      <c r="K747" s="2988">
        <v>128.26</v>
      </c>
    </row>
    <row r="748" spans="2:11" ht="18" customHeight="1">
      <c r="B748" s="2986">
        <v>713</v>
      </c>
      <c r="C748" s="2987" t="s">
        <v>3482</v>
      </c>
      <c r="D748" s="2987" t="s">
        <v>3594</v>
      </c>
      <c r="E748" s="2987" t="s">
        <v>4070</v>
      </c>
      <c r="F748" s="2987">
        <v>2</v>
      </c>
      <c r="G748" s="2987">
        <v>401</v>
      </c>
      <c r="H748" s="2987" t="s">
        <v>4215</v>
      </c>
      <c r="I748" s="2987" t="s">
        <v>3486</v>
      </c>
      <c r="J748" s="2987" t="s">
        <v>3602</v>
      </c>
      <c r="K748" s="2988">
        <v>111.01</v>
      </c>
    </row>
    <row r="749" spans="2:11" ht="18" customHeight="1">
      <c r="B749" s="2986">
        <v>714</v>
      </c>
      <c r="C749" s="2987" t="s">
        <v>3482</v>
      </c>
      <c r="D749" s="2987" t="s">
        <v>3594</v>
      </c>
      <c r="E749" s="2987" t="s">
        <v>4070</v>
      </c>
      <c r="F749" s="2987">
        <v>2</v>
      </c>
      <c r="G749" s="2987">
        <v>402</v>
      </c>
      <c r="H749" s="2987" t="s">
        <v>4216</v>
      </c>
      <c r="I749" s="2987" t="s">
        <v>3486</v>
      </c>
      <c r="J749" s="2987" t="s">
        <v>3599</v>
      </c>
      <c r="K749" s="2988">
        <v>96.17</v>
      </c>
    </row>
    <row r="750" spans="2:11" ht="18" customHeight="1">
      <c r="B750" s="2986">
        <v>715</v>
      </c>
      <c r="C750" s="2987" t="s">
        <v>3482</v>
      </c>
      <c r="D750" s="2987" t="s">
        <v>3594</v>
      </c>
      <c r="E750" s="2987" t="s">
        <v>4070</v>
      </c>
      <c r="F750" s="2987">
        <v>2</v>
      </c>
      <c r="G750" s="2987">
        <v>403</v>
      </c>
      <c r="H750" s="2987" t="s">
        <v>4217</v>
      </c>
      <c r="I750" s="2987" t="s">
        <v>3486</v>
      </c>
      <c r="J750" s="2987" t="s">
        <v>3599</v>
      </c>
      <c r="K750" s="2988">
        <v>96.17</v>
      </c>
    </row>
    <row r="751" spans="2:11" ht="18" customHeight="1">
      <c r="B751" s="2986">
        <v>716</v>
      </c>
      <c r="C751" s="2987" t="s">
        <v>3482</v>
      </c>
      <c r="D751" s="2987" t="s">
        <v>3594</v>
      </c>
      <c r="E751" s="2987" t="s">
        <v>4070</v>
      </c>
      <c r="F751" s="2987">
        <v>2</v>
      </c>
      <c r="G751" s="2987">
        <v>404</v>
      </c>
      <c r="H751" s="2987" t="s">
        <v>4218</v>
      </c>
      <c r="I751" s="2987" t="s">
        <v>3486</v>
      </c>
      <c r="J751" s="2987" t="s">
        <v>3597</v>
      </c>
      <c r="K751" s="2988">
        <v>128.26</v>
      </c>
    </row>
    <row r="752" spans="2:11" ht="18" customHeight="1">
      <c r="B752" s="2986">
        <v>717</v>
      </c>
      <c r="C752" s="2987" t="s">
        <v>3482</v>
      </c>
      <c r="D752" s="2987" t="s">
        <v>3594</v>
      </c>
      <c r="E752" s="2987" t="s">
        <v>4070</v>
      </c>
      <c r="F752" s="2987">
        <v>2</v>
      </c>
      <c r="G752" s="2987">
        <v>501</v>
      </c>
      <c r="H752" s="2987" t="s">
        <v>4219</v>
      </c>
      <c r="I752" s="2987" t="s">
        <v>3486</v>
      </c>
      <c r="J752" s="2987" t="s">
        <v>3602</v>
      </c>
      <c r="K752" s="2988">
        <v>111.01</v>
      </c>
    </row>
    <row r="753" spans="2:11" ht="18" customHeight="1">
      <c r="B753" s="2986">
        <v>718</v>
      </c>
      <c r="C753" s="2987" t="s">
        <v>3482</v>
      </c>
      <c r="D753" s="2987" t="s">
        <v>3594</v>
      </c>
      <c r="E753" s="2987" t="s">
        <v>4070</v>
      </c>
      <c r="F753" s="2987">
        <v>2</v>
      </c>
      <c r="G753" s="2987">
        <v>502</v>
      </c>
      <c r="H753" s="2987" t="s">
        <v>4220</v>
      </c>
      <c r="I753" s="2987" t="s">
        <v>3486</v>
      </c>
      <c r="J753" s="2987" t="s">
        <v>3599</v>
      </c>
      <c r="K753" s="2988">
        <v>96.17</v>
      </c>
    </row>
    <row r="754" spans="2:11" ht="18" customHeight="1">
      <c r="B754" s="2986">
        <v>719</v>
      </c>
      <c r="C754" s="2987" t="s">
        <v>3482</v>
      </c>
      <c r="D754" s="2987" t="s">
        <v>3594</v>
      </c>
      <c r="E754" s="2987" t="s">
        <v>4070</v>
      </c>
      <c r="F754" s="2987">
        <v>2</v>
      </c>
      <c r="G754" s="2987">
        <v>503</v>
      </c>
      <c r="H754" s="2987" t="s">
        <v>4221</v>
      </c>
      <c r="I754" s="2987" t="s">
        <v>3486</v>
      </c>
      <c r="J754" s="2987" t="s">
        <v>3599</v>
      </c>
      <c r="K754" s="2988">
        <v>96.17</v>
      </c>
    </row>
    <row r="755" spans="2:11" ht="18" customHeight="1">
      <c r="B755" s="2986">
        <v>720</v>
      </c>
      <c r="C755" s="2987" t="s">
        <v>3482</v>
      </c>
      <c r="D755" s="2987" t="s">
        <v>3594</v>
      </c>
      <c r="E755" s="2987" t="s">
        <v>4070</v>
      </c>
      <c r="F755" s="2987">
        <v>2</v>
      </c>
      <c r="G755" s="2987">
        <v>504</v>
      </c>
      <c r="H755" s="2987" t="s">
        <v>4222</v>
      </c>
      <c r="I755" s="2987" t="s">
        <v>3486</v>
      </c>
      <c r="J755" s="2987" t="s">
        <v>3597</v>
      </c>
      <c r="K755" s="2988">
        <v>128.26</v>
      </c>
    </row>
    <row r="756" spans="2:11" ht="18" customHeight="1">
      <c r="B756" s="2986">
        <v>721</v>
      </c>
      <c r="C756" s="2987" t="s">
        <v>3482</v>
      </c>
      <c r="D756" s="2987" t="s">
        <v>3594</v>
      </c>
      <c r="E756" s="2987" t="s">
        <v>4070</v>
      </c>
      <c r="F756" s="2987">
        <v>2</v>
      </c>
      <c r="G756" s="2987">
        <v>601</v>
      </c>
      <c r="H756" s="2987" t="s">
        <v>4223</v>
      </c>
      <c r="I756" s="2987" t="s">
        <v>3486</v>
      </c>
      <c r="J756" s="2987" t="s">
        <v>3602</v>
      </c>
      <c r="K756" s="2988">
        <v>111.01</v>
      </c>
    </row>
    <row r="757" spans="2:11" ht="18" customHeight="1">
      <c r="B757" s="2986">
        <v>722</v>
      </c>
      <c r="C757" s="2987" t="s">
        <v>3482</v>
      </c>
      <c r="D757" s="2987" t="s">
        <v>3594</v>
      </c>
      <c r="E757" s="2987" t="s">
        <v>4070</v>
      </c>
      <c r="F757" s="2987">
        <v>2</v>
      </c>
      <c r="G757" s="2987">
        <v>602</v>
      </c>
      <c r="H757" s="2987" t="s">
        <v>4224</v>
      </c>
      <c r="I757" s="2987" t="s">
        <v>3486</v>
      </c>
      <c r="J757" s="2987" t="s">
        <v>3599</v>
      </c>
      <c r="K757" s="2988">
        <v>96.17</v>
      </c>
    </row>
    <row r="758" spans="2:11" ht="18" customHeight="1">
      <c r="B758" s="2986">
        <v>723</v>
      </c>
      <c r="C758" s="2987" t="s">
        <v>3482</v>
      </c>
      <c r="D758" s="2987" t="s">
        <v>3594</v>
      </c>
      <c r="E758" s="2987" t="s">
        <v>4070</v>
      </c>
      <c r="F758" s="2987">
        <v>2</v>
      </c>
      <c r="G758" s="2987">
        <v>603</v>
      </c>
      <c r="H758" s="2987" t="s">
        <v>4225</v>
      </c>
      <c r="I758" s="2987" t="s">
        <v>3486</v>
      </c>
      <c r="J758" s="2987" t="s">
        <v>3599</v>
      </c>
      <c r="K758" s="2988">
        <v>96.17</v>
      </c>
    </row>
    <row r="759" spans="2:11" ht="18" customHeight="1">
      <c r="B759" s="2986">
        <v>724</v>
      </c>
      <c r="C759" s="2987" t="s">
        <v>3482</v>
      </c>
      <c r="D759" s="2987" t="s">
        <v>3594</v>
      </c>
      <c r="E759" s="2987" t="s">
        <v>4070</v>
      </c>
      <c r="F759" s="2987">
        <v>2</v>
      </c>
      <c r="G759" s="2987">
        <v>604</v>
      </c>
      <c r="H759" s="2987" t="s">
        <v>4226</v>
      </c>
      <c r="I759" s="2987" t="s">
        <v>3486</v>
      </c>
      <c r="J759" s="2987" t="s">
        <v>3597</v>
      </c>
      <c r="K759" s="2988">
        <v>128.26</v>
      </c>
    </row>
    <row r="760" spans="2:11" ht="18" customHeight="1">
      <c r="B760" s="2986">
        <v>725</v>
      </c>
      <c r="C760" s="2987" t="s">
        <v>3482</v>
      </c>
      <c r="D760" s="2987" t="s">
        <v>3594</v>
      </c>
      <c r="E760" s="2987" t="s">
        <v>4070</v>
      </c>
      <c r="F760" s="2987">
        <v>2</v>
      </c>
      <c r="G760" s="2987">
        <v>701</v>
      </c>
      <c r="H760" s="2987" t="s">
        <v>4227</v>
      </c>
      <c r="I760" s="2987" t="s">
        <v>3486</v>
      </c>
      <c r="J760" s="2987" t="s">
        <v>3602</v>
      </c>
      <c r="K760" s="2988">
        <v>111.01</v>
      </c>
    </row>
    <row r="761" spans="2:11" ht="18" customHeight="1">
      <c r="B761" s="2986">
        <v>726</v>
      </c>
      <c r="C761" s="2987" t="s">
        <v>3482</v>
      </c>
      <c r="D761" s="2987" t="s">
        <v>3594</v>
      </c>
      <c r="E761" s="2987" t="s">
        <v>4070</v>
      </c>
      <c r="F761" s="2987">
        <v>2</v>
      </c>
      <c r="G761" s="2987">
        <v>702</v>
      </c>
      <c r="H761" s="2987" t="s">
        <v>4228</v>
      </c>
      <c r="I761" s="2987" t="s">
        <v>3486</v>
      </c>
      <c r="J761" s="2987" t="s">
        <v>3599</v>
      </c>
      <c r="K761" s="2988">
        <v>96.17</v>
      </c>
    </row>
    <row r="762" spans="2:11" ht="18" customHeight="1">
      <c r="B762" s="2986">
        <v>727</v>
      </c>
      <c r="C762" s="2987" t="s">
        <v>3482</v>
      </c>
      <c r="D762" s="2987" t="s">
        <v>3594</v>
      </c>
      <c r="E762" s="2987" t="s">
        <v>4070</v>
      </c>
      <c r="F762" s="2987">
        <v>2</v>
      </c>
      <c r="G762" s="2987">
        <v>703</v>
      </c>
      <c r="H762" s="2987" t="s">
        <v>4229</v>
      </c>
      <c r="I762" s="2987" t="s">
        <v>3486</v>
      </c>
      <c r="J762" s="2987" t="s">
        <v>3599</v>
      </c>
      <c r="K762" s="2988">
        <v>96.17</v>
      </c>
    </row>
    <row r="763" spans="2:11" ht="18" customHeight="1">
      <c r="B763" s="2986">
        <v>728</v>
      </c>
      <c r="C763" s="2987" t="s">
        <v>3482</v>
      </c>
      <c r="D763" s="2987" t="s">
        <v>3594</v>
      </c>
      <c r="E763" s="2987" t="s">
        <v>4070</v>
      </c>
      <c r="F763" s="2987">
        <v>2</v>
      </c>
      <c r="G763" s="2987">
        <v>704</v>
      </c>
      <c r="H763" s="2987" t="s">
        <v>4230</v>
      </c>
      <c r="I763" s="2987" t="s">
        <v>3486</v>
      </c>
      <c r="J763" s="2987" t="s">
        <v>3597</v>
      </c>
      <c r="K763" s="2988">
        <v>128.26</v>
      </c>
    </row>
    <row r="764" spans="2:11" ht="18" customHeight="1">
      <c r="B764" s="2986">
        <v>729</v>
      </c>
      <c r="C764" s="2987" t="s">
        <v>3482</v>
      </c>
      <c r="D764" s="2987" t="s">
        <v>3594</v>
      </c>
      <c r="E764" s="2987" t="s">
        <v>4070</v>
      </c>
      <c r="F764" s="2987">
        <v>2</v>
      </c>
      <c r="G764" s="2987">
        <v>801</v>
      </c>
      <c r="H764" s="2987" t="s">
        <v>4231</v>
      </c>
      <c r="I764" s="2987" t="s">
        <v>3486</v>
      </c>
      <c r="J764" s="2987" t="s">
        <v>3602</v>
      </c>
      <c r="K764" s="2988">
        <v>111.01</v>
      </c>
    </row>
    <row r="765" spans="2:11" ht="18" customHeight="1">
      <c r="B765" s="2986">
        <v>730</v>
      </c>
      <c r="C765" s="2987" t="s">
        <v>3482</v>
      </c>
      <c r="D765" s="2987" t="s">
        <v>3594</v>
      </c>
      <c r="E765" s="2987" t="s">
        <v>4070</v>
      </c>
      <c r="F765" s="2987">
        <v>2</v>
      </c>
      <c r="G765" s="2987">
        <v>802</v>
      </c>
      <c r="H765" s="2987" t="s">
        <v>4232</v>
      </c>
      <c r="I765" s="2987" t="s">
        <v>3486</v>
      </c>
      <c r="J765" s="2987" t="s">
        <v>3599</v>
      </c>
      <c r="K765" s="2988">
        <v>96.17</v>
      </c>
    </row>
    <row r="766" spans="2:11" ht="18" customHeight="1">
      <c r="B766" s="2986">
        <v>731</v>
      </c>
      <c r="C766" s="2987" t="s">
        <v>3482</v>
      </c>
      <c r="D766" s="2987" t="s">
        <v>3594</v>
      </c>
      <c r="E766" s="2987" t="s">
        <v>4070</v>
      </c>
      <c r="F766" s="2987">
        <v>2</v>
      </c>
      <c r="G766" s="2987">
        <v>803</v>
      </c>
      <c r="H766" s="2987" t="s">
        <v>4233</v>
      </c>
      <c r="I766" s="2987" t="s">
        <v>3486</v>
      </c>
      <c r="J766" s="2987" t="s">
        <v>3599</v>
      </c>
      <c r="K766" s="2988">
        <v>96.17</v>
      </c>
    </row>
    <row r="767" spans="2:11" ht="18" customHeight="1">
      <c r="B767" s="2986">
        <v>732</v>
      </c>
      <c r="C767" s="2987" t="s">
        <v>3482</v>
      </c>
      <c r="D767" s="2987" t="s">
        <v>3594</v>
      </c>
      <c r="E767" s="2987" t="s">
        <v>4070</v>
      </c>
      <c r="F767" s="2987">
        <v>2</v>
      </c>
      <c r="G767" s="2987">
        <v>804</v>
      </c>
      <c r="H767" s="2987" t="s">
        <v>4234</v>
      </c>
      <c r="I767" s="2987" t="s">
        <v>3486</v>
      </c>
      <c r="J767" s="2987" t="s">
        <v>3597</v>
      </c>
      <c r="K767" s="2988">
        <v>128.26</v>
      </c>
    </row>
    <row r="768" spans="2:11" ht="18" customHeight="1">
      <c r="B768" s="2986">
        <v>733</v>
      </c>
      <c r="C768" s="2987" t="s">
        <v>3482</v>
      </c>
      <c r="D768" s="2987" t="s">
        <v>3594</v>
      </c>
      <c r="E768" s="2987" t="s">
        <v>4070</v>
      </c>
      <c r="F768" s="2987">
        <v>2</v>
      </c>
      <c r="G768" s="2987">
        <v>901</v>
      </c>
      <c r="H768" s="2987" t="s">
        <v>4235</v>
      </c>
      <c r="I768" s="2987" t="s">
        <v>3486</v>
      </c>
      <c r="J768" s="2987" t="s">
        <v>3602</v>
      </c>
      <c r="K768" s="2988">
        <v>111.01</v>
      </c>
    </row>
    <row r="769" spans="2:11" ht="18" customHeight="1">
      <c r="B769" s="2986">
        <v>734</v>
      </c>
      <c r="C769" s="2987" t="s">
        <v>3482</v>
      </c>
      <c r="D769" s="2987" t="s">
        <v>3594</v>
      </c>
      <c r="E769" s="2987" t="s">
        <v>4070</v>
      </c>
      <c r="F769" s="2987">
        <v>2</v>
      </c>
      <c r="G769" s="2987">
        <v>902</v>
      </c>
      <c r="H769" s="2987" t="s">
        <v>4236</v>
      </c>
      <c r="I769" s="2987" t="s">
        <v>3486</v>
      </c>
      <c r="J769" s="2987" t="s">
        <v>3599</v>
      </c>
      <c r="K769" s="2988">
        <v>96.17</v>
      </c>
    </row>
    <row r="770" spans="2:11" ht="18" customHeight="1">
      <c r="B770" s="2986">
        <v>735</v>
      </c>
      <c r="C770" s="2987" t="s">
        <v>3482</v>
      </c>
      <c r="D770" s="2987" t="s">
        <v>3594</v>
      </c>
      <c r="E770" s="2987" t="s">
        <v>4070</v>
      </c>
      <c r="F770" s="2987">
        <v>2</v>
      </c>
      <c r="G770" s="2987">
        <v>903</v>
      </c>
      <c r="H770" s="2987" t="s">
        <v>4237</v>
      </c>
      <c r="I770" s="2987" t="s">
        <v>3486</v>
      </c>
      <c r="J770" s="2987" t="s">
        <v>3599</v>
      </c>
      <c r="K770" s="2988">
        <v>96.17</v>
      </c>
    </row>
    <row r="771" spans="2:11" ht="18" customHeight="1">
      <c r="B771" s="2986">
        <v>736</v>
      </c>
      <c r="C771" s="2987" t="s">
        <v>3482</v>
      </c>
      <c r="D771" s="2987" t="s">
        <v>3594</v>
      </c>
      <c r="E771" s="2987" t="s">
        <v>4070</v>
      </c>
      <c r="F771" s="2987">
        <v>2</v>
      </c>
      <c r="G771" s="2987">
        <v>904</v>
      </c>
      <c r="H771" s="2987" t="s">
        <v>4238</v>
      </c>
      <c r="I771" s="2987" t="s">
        <v>3486</v>
      </c>
      <c r="J771" s="2987" t="s">
        <v>3597</v>
      </c>
      <c r="K771" s="2988">
        <v>128.26</v>
      </c>
    </row>
    <row r="772" spans="2:11" s="3021" customFormat="1" ht="18" customHeight="1">
      <c r="B772" s="3018"/>
      <c r="C772" s="3019"/>
      <c r="D772" s="3019"/>
      <c r="E772" s="3019"/>
      <c r="F772" s="3019"/>
      <c r="G772" s="3019"/>
      <c r="H772" s="3019"/>
      <c r="I772" s="3019"/>
      <c r="J772" s="3019"/>
      <c r="K772" s="3020">
        <f>SUM(K604:K771)</f>
        <v>18127.619999999992</v>
      </c>
    </row>
    <row r="773" spans="2:11" ht="18" customHeight="1">
      <c r="B773" s="2986">
        <v>737</v>
      </c>
      <c r="C773" s="2987" t="s">
        <v>3482</v>
      </c>
      <c r="D773" s="2987" t="s">
        <v>3594</v>
      </c>
      <c r="E773" s="2987" t="s">
        <v>4239</v>
      </c>
      <c r="F773" s="2987">
        <v>1</v>
      </c>
      <c r="G773" s="2987">
        <v>1001</v>
      </c>
      <c r="H773" s="2987" t="s">
        <v>4240</v>
      </c>
      <c r="I773" s="2987" t="s">
        <v>3486</v>
      </c>
      <c r="J773" s="2987" t="s">
        <v>3597</v>
      </c>
      <c r="K773" s="2988">
        <v>128.26</v>
      </c>
    </row>
    <row r="774" spans="2:11" ht="18" customHeight="1">
      <c r="B774" s="2986">
        <v>738</v>
      </c>
      <c r="C774" s="2987" t="s">
        <v>3482</v>
      </c>
      <c r="D774" s="2987" t="s">
        <v>3594</v>
      </c>
      <c r="E774" s="2987" t="s">
        <v>4239</v>
      </c>
      <c r="F774" s="2987">
        <v>1</v>
      </c>
      <c r="G774" s="2987">
        <v>1002</v>
      </c>
      <c r="H774" s="2987" t="s">
        <v>4241</v>
      </c>
      <c r="I774" s="2987" t="s">
        <v>3486</v>
      </c>
      <c r="J774" s="2987" t="s">
        <v>3599</v>
      </c>
      <c r="K774" s="2988">
        <v>96.17</v>
      </c>
    </row>
    <row r="775" spans="2:11" ht="18" customHeight="1">
      <c r="B775" s="2986">
        <v>739</v>
      </c>
      <c r="C775" s="2987" t="s">
        <v>3482</v>
      </c>
      <c r="D775" s="2987" t="s">
        <v>3594</v>
      </c>
      <c r="E775" s="2987" t="s">
        <v>4239</v>
      </c>
      <c r="F775" s="2987">
        <v>1</v>
      </c>
      <c r="G775" s="2987">
        <v>1003</v>
      </c>
      <c r="H775" s="2987" t="s">
        <v>4242</v>
      </c>
      <c r="I775" s="2987" t="s">
        <v>3486</v>
      </c>
      <c r="J775" s="2987" t="s">
        <v>3599</v>
      </c>
      <c r="K775" s="2988">
        <v>96.17</v>
      </c>
    </row>
    <row r="776" spans="2:11" ht="18" customHeight="1">
      <c r="B776" s="2986">
        <v>740</v>
      </c>
      <c r="C776" s="2987" t="s">
        <v>3482</v>
      </c>
      <c r="D776" s="2987" t="s">
        <v>3594</v>
      </c>
      <c r="E776" s="2987" t="s">
        <v>4239</v>
      </c>
      <c r="F776" s="2987">
        <v>1</v>
      </c>
      <c r="G776" s="2987">
        <v>1004</v>
      </c>
      <c r="H776" s="2987" t="s">
        <v>4243</v>
      </c>
      <c r="I776" s="2987" t="s">
        <v>3486</v>
      </c>
      <c r="J776" s="2987" t="s">
        <v>3602</v>
      </c>
      <c r="K776" s="2988">
        <v>111.01</v>
      </c>
    </row>
    <row r="777" spans="2:11" ht="18" customHeight="1">
      <c r="B777" s="2986">
        <v>741</v>
      </c>
      <c r="C777" s="2987" t="s">
        <v>3482</v>
      </c>
      <c r="D777" s="2987" t="s">
        <v>3594</v>
      </c>
      <c r="E777" s="2987" t="s">
        <v>4239</v>
      </c>
      <c r="F777" s="2987">
        <v>1</v>
      </c>
      <c r="G777" s="2987">
        <v>101</v>
      </c>
      <c r="H777" s="2987" t="s">
        <v>4244</v>
      </c>
      <c r="I777" s="2987" t="s">
        <v>3486</v>
      </c>
      <c r="J777" s="2987" t="s">
        <v>3597</v>
      </c>
      <c r="K777" s="2988">
        <v>128.26</v>
      </c>
    </row>
    <row r="778" spans="2:11" ht="18" customHeight="1">
      <c r="B778" s="2986">
        <v>742</v>
      </c>
      <c r="C778" s="2987" t="s">
        <v>3482</v>
      </c>
      <c r="D778" s="2987" t="s">
        <v>3594</v>
      </c>
      <c r="E778" s="2987" t="s">
        <v>4239</v>
      </c>
      <c r="F778" s="2987">
        <v>1</v>
      </c>
      <c r="G778" s="2987">
        <v>102</v>
      </c>
      <c r="H778" s="2987" t="s">
        <v>4245</v>
      </c>
      <c r="I778" s="2987" t="s">
        <v>3486</v>
      </c>
      <c r="J778" s="2987" t="s">
        <v>3599</v>
      </c>
      <c r="K778" s="2988">
        <v>96.17</v>
      </c>
    </row>
    <row r="779" spans="2:11" ht="18" customHeight="1">
      <c r="B779" s="2986">
        <v>743</v>
      </c>
      <c r="C779" s="2987" t="s">
        <v>3482</v>
      </c>
      <c r="D779" s="2987" t="s">
        <v>3594</v>
      </c>
      <c r="E779" s="2987" t="s">
        <v>4239</v>
      </c>
      <c r="F779" s="2987">
        <v>1</v>
      </c>
      <c r="G779" s="2987">
        <v>103</v>
      </c>
      <c r="H779" s="2987" t="s">
        <v>4246</v>
      </c>
      <c r="I779" s="2987" t="s">
        <v>3486</v>
      </c>
      <c r="J779" s="2987" t="s">
        <v>3599</v>
      </c>
      <c r="K779" s="2988">
        <v>96.17</v>
      </c>
    </row>
    <row r="780" spans="2:11" ht="18" customHeight="1">
      <c r="B780" s="2986">
        <v>744</v>
      </c>
      <c r="C780" s="2987" t="s">
        <v>3482</v>
      </c>
      <c r="D780" s="2987" t="s">
        <v>3594</v>
      </c>
      <c r="E780" s="2987" t="s">
        <v>4239</v>
      </c>
      <c r="F780" s="2987">
        <v>1</v>
      </c>
      <c r="G780" s="2987">
        <v>104</v>
      </c>
      <c r="H780" s="2987" t="s">
        <v>4247</v>
      </c>
      <c r="I780" s="2987" t="s">
        <v>3486</v>
      </c>
      <c r="J780" s="2987" t="s">
        <v>3602</v>
      </c>
      <c r="K780" s="2988">
        <v>111.01</v>
      </c>
    </row>
    <row r="781" spans="2:11" ht="18" customHeight="1">
      <c r="B781" s="2986">
        <v>745</v>
      </c>
      <c r="C781" s="2987" t="s">
        <v>3482</v>
      </c>
      <c r="D781" s="2987" t="s">
        <v>3594</v>
      </c>
      <c r="E781" s="2987" t="s">
        <v>4239</v>
      </c>
      <c r="F781" s="2987">
        <v>1</v>
      </c>
      <c r="G781" s="2987">
        <v>1101</v>
      </c>
      <c r="H781" s="2987" t="s">
        <v>4248</v>
      </c>
      <c r="I781" s="2987" t="s">
        <v>3486</v>
      </c>
      <c r="J781" s="2987" t="s">
        <v>3597</v>
      </c>
      <c r="K781" s="2988">
        <v>128.26</v>
      </c>
    </row>
    <row r="782" spans="2:11" ht="18" customHeight="1">
      <c r="B782" s="2986">
        <v>746</v>
      </c>
      <c r="C782" s="2987" t="s">
        <v>3482</v>
      </c>
      <c r="D782" s="2987" t="s">
        <v>3594</v>
      </c>
      <c r="E782" s="2987" t="s">
        <v>4239</v>
      </c>
      <c r="F782" s="2987">
        <v>1</v>
      </c>
      <c r="G782" s="2987">
        <v>1102</v>
      </c>
      <c r="H782" s="2987" t="s">
        <v>4249</v>
      </c>
      <c r="I782" s="2987" t="s">
        <v>3486</v>
      </c>
      <c r="J782" s="2987" t="s">
        <v>3599</v>
      </c>
      <c r="K782" s="2988">
        <v>96.17</v>
      </c>
    </row>
    <row r="783" spans="2:11" ht="18" customHeight="1">
      <c r="B783" s="2986">
        <v>747</v>
      </c>
      <c r="C783" s="2987" t="s">
        <v>3482</v>
      </c>
      <c r="D783" s="2987" t="s">
        <v>3594</v>
      </c>
      <c r="E783" s="2987" t="s">
        <v>4239</v>
      </c>
      <c r="F783" s="2987">
        <v>1</v>
      </c>
      <c r="G783" s="2987">
        <v>1103</v>
      </c>
      <c r="H783" s="2987" t="s">
        <v>4250</v>
      </c>
      <c r="I783" s="2987" t="s">
        <v>3486</v>
      </c>
      <c r="J783" s="2987" t="s">
        <v>3599</v>
      </c>
      <c r="K783" s="2988">
        <v>96.17</v>
      </c>
    </row>
    <row r="784" spans="2:11" ht="18" customHeight="1">
      <c r="B784" s="2986">
        <v>748</v>
      </c>
      <c r="C784" s="2987" t="s">
        <v>3482</v>
      </c>
      <c r="D784" s="2987" t="s">
        <v>3594</v>
      </c>
      <c r="E784" s="2987" t="s">
        <v>4239</v>
      </c>
      <c r="F784" s="2987">
        <v>1</v>
      </c>
      <c r="G784" s="2987">
        <v>1104</v>
      </c>
      <c r="H784" s="2987" t="s">
        <v>4251</v>
      </c>
      <c r="I784" s="2987" t="s">
        <v>3486</v>
      </c>
      <c r="J784" s="2987" t="s">
        <v>3602</v>
      </c>
      <c r="K784" s="2988">
        <v>111.01</v>
      </c>
    </row>
    <row r="785" spans="2:11" ht="18" customHeight="1">
      <c r="B785" s="2986">
        <v>749</v>
      </c>
      <c r="C785" s="2987" t="s">
        <v>3482</v>
      </c>
      <c r="D785" s="2987" t="s">
        <v>3594</v>
      </c>
      <c r="E785" s="2987" t="s">
        <v>4239</v>
      </c>
      <c r="F785" s="2987">
        <v>1</v>
      </c>
      <c r="G785" s="2987">
        <v>1201</v>
      </c>
      <c r="H785" s="2987" t="s">
        <v>4252</v>
      </c>
      <c r="I785" s="2987" t="s">
        <v>3486</v>
      </c>
      <c r="J785" s="2987" t="s">
        <v>3597</v>
      </c>
      <c r="K785" s="2988">
        <v>128.26</v>
      </c>
    </row>
    <row r="786" spans="2:11" ht="18" customHeight="1">
      <c r="B786" s="2986">
        <v>750</v>
      </c>
      <c r="C786" s="2987" t="s">
        <v>3482</v>
      </c>
      <c r="D786" s="2987" t="s">
        <v>3594</v>
      </c>
      <c r="E786" s="2987" t="s">
        <v>4239</v>
      </c>
      <c r="F786" s="2987">
        <v>1</v>
      </c>
      <c r="G786" s="2987">
        <v>1202</v>
      </c>
      <c r="H786" s="2987" t="s">
        <v>4253</v>
      </c>
      <c r="I786" s="2987" t="s">
        <v>3486</v>
      </c>
      <c r="J786" s="2987" t="s">
        <v>3599</v>
      </c>
      <c r="K786" s="2988">
        <v>96.17</v>
      </c>
    </row>
    <row r="787" spans="2:11" ht="18" customHeight="1">
      <c r="B787" s="2986">
        <v>751</v>
      </c>
      <c r="C787" s="2987" t="s">
        <v>3482</v>
      </c>
      <c r="D787" s="2987" t="s">
        <v>3594</v>
      </c>
      <c r="E787" s="2987" t="s">
        <v>4239</v>
      </c>
      <c r="F787" s="2987">
        <v>1</v>
      </c>
      <c r="G787" s="2987">
        <v>1203</v>
      </c>
      <c r="H787" s="2987" t="s">
        <v>4254</v>
      </c>
      <c r="I787" s="2987" t="s">
        <v>3486</v>
      </c>
      <c r="J787" s="2987" t="s">
        <v>3599</v>
      </c>
      <c r="K787" s="2988">
        <v>96.17</v>
      </c>
    </row>
    <row r="788" spans="2:11" ht="18" customHeight="1">
      <c r="B788" s="2986">
        <v>752</v>
      </c>
      <c r="C788" s="2987" t="s">
        <v>3482</v>
      </c>
      <c r="D788" s="2987" t="s">
        <v>3594</v>
      </c>
      <c r="E788" s="2987" t="s">
        <v>4239</v>
      </c>
      <c r="F788" s="2987">
        <v>1</v>
      </c>
      <c r="G788" s="2987">
        <v>1204</v>
      </c>
      <c r="H788" s="2987" t="s">
        <v>4255</v>
      </c>
      <c r="I788" s="2987" t="s">
        <v>3486</v>
      </c>
      <c r="J788" s="2987" t="s">
        <v>3602</v>
      </c>
      <c r="K788" s="2988">
        <v>111.01</v>
      </c>
    </row>
    <row r="789" spans="2:11" ht="18" customHeight="1">
      <c r="B789" s="2986">
        <v>753</v>
      </c>
      <c r="C789" s="2987" t="s">
        <v>3482</v>
      </c>
      <c r="D789" s="2987" t="s">
        <v>3594</v>
      </c>
      <c r="E789" s="2987" t="s">
        <v>4239</v>
      </c>
      <c r="F789" s="2987">
        <v>1</v>
      </c>
      <c r="G789" s="2987">
        <v>1301</v>
      </c>
      <c r="H789" s="2987" t="s">
        <v>4256</v>
      </c>
      <c r="I789" s="2987" t="s">
        <v>3486</v>
      </c>
      <c r="J789" s="2987" t="s">
        <v>3597</v>
      </c>
      <c r="K789" s="2988">
        <v>128.26</v>
      </c>
    </row>
    <row r="790" spans="2:11" ht="18" customHeight="1">
      <c r="B790" s="2986">
        <v>754</v>
      </c>
      <c r="C790" s="2987" t="s">
        <v>3482</v>
      </c>
      <c r="D790" s="2987" t="s">
        <v>3594</v>
      </c>
      <c r="E790" s="2987" t="s">
        <v>4239</v>
      </c>
      <c r="F790" s="2987">
        <v>1</v>
      </c>
      <c r="G790" s="2987">
        <v>1302</v>
      </c>
      <c r="H790" s="2987" t="s">
        <v>4257</v>
      </c>
      <c r="I790" s="2987" t="s">
        <v>3486</v>
      </c>
      <c r="J790" s="2987" t="s">
        <v>3599</v>
      </c>
      <c r="K790" s="2988">
        <v>96.17</v>
      </c>
    </row>
    <row r="791" spans="2:11" ht="18" customHeight="1">
      <c r="B791" s="2986">
        <v>755</v>
      </c>
      <c r="C791" s="2987" t="s">
        <v>3482</v>
      </c>
      <c r="D791" s="2987" t="s">
        <v>3594</v>
      </c>
      <c r="E791" s="2987" t="s">
        <v>4239</v>
      </c>
      <c r="F791" s="2987">
        <v>1</v>
      </c>
      <c r="G791" s="2987">
        <v>1303</v>
      </c>
      <c r="H791" s="2987" t="s">
        <v>4258</v>
      </c>
      <c r="I791" s="2987" t="s">
        <v>3486</v>
      </c>
      <c r="J791" s="2987" t="s">
        <v>3599</v>
      </c>
      <c r="K791" s="2988">
        <v>96.17</v>
      </c>
    </row>
    <row r="792" spans="2:11" ht="18" customHeight="1">
      <c r="B792" s="2986">
        <v>756</v>
      </c>
      <c r="C792" s="2987" t="s">
        <v>3482</v>
      </c>
      <c r="D792" s="2987" t="s">
        <v>3594</v>
      </c>
      <c r="E792" s="2987" t="s">
        <v>4239</v>
      </c>
      <c r="F792" s="2987">
        <v>1</v>
      </c>
      <c r="G792" s="2987">
        <v>1304</v>
      </c>
      <c r="H792" s="2987" t="s">
        <v>4259</v>
      </c>
      <c r="I792" s="2987" t="s">
        <v>3486</v>
      </c>
      <c r="J792" s="2987" t="s">
        <v>3602</v>
      </c>
      <c r="K792" s="2988">
        <v>111.01</v>
      </c>
    </row>
    <row r="793" spans="2:11" ht="18" customHeight="1">
      <c r="B793" s="2986">
        <v>757</v>
      </c>
      <c r="C793" s="2987" t="s">
        <v>3482</v>
      </c>
      <c r="D793" s="2987" t="s">
        <v>3594</v>
      </c>
      <c r="E793" s="2987" t="s">
        <v>4239</v>
      </c>
      <c r="F793" s="2987">
        <v>1</v>
      </c>
      <c r="G793" s="2987">
        <v>1401</v>
      </c>
      <c r="H793" s="2987" t="s">
        <v>4260</v>
      </c>
      <c r="I793" s="2987" t="s">
        <v>3486</v>
      </c>
      <c r="J793" s="2987" t="s">
        <v>3597</v>
      </c>
      <c r="K793" s="2988">
        <v>128.26</v>
      </c>
    </row>
    <row r="794" spans="2:11" ht="18" customHeight="1">
      <c r="B794" s="2986">
        <v>758</v>
      </c>
      <c r="C794" s="2987" t="s">
        <v>3482</v>
      </c>
      <c r="D794" s="2987" t="s">
        <v>3594</v>
      </c>
      <c r="E794" s="2987" t="s">
        <v>4239</v>
      </c>
      <c r="F794" s="2987">
        <v>1</v>
      </c>
      <c r="G794" s="2987">
        <v>1402</v>
      </c>
      <c r="H794" s="2987" t="s">
        <v>4261</v>
      </c>
      <c r="I794" s="2987" t="s">
        <v>3486</v>
      </c>
      <c r="J794" s="2987" t="s">
        <v>3599</v>
      </c>
      <c r="K794" s="2988">
        <v>96.17</v>
      </c>
    </row>
    <row r="795" spans="2:11" ht="18" customHeight="1">
      <c r="B795" s="2986">
        <v>759</v>
      </c>
      <c r="C795" s="2987" t="s">
        <v>3482</v>
      </c>
      <c r="D795" s="2987" t="s">
        <v>3594</v>
      </c>
      <c r="E795" s="2987" t="s">
        <v>4239</v>
      </c>
      <c r="F795" s="2987">
        <v>1</v>
      </c>
      <c r="G795" s="2987">
        <v>1403</v>
      </c>
      <c r="H795" s="2987" t="s">
        <v>4262</v>
      </c>
      <c r="I795" s="2987" t="s">
        <v>3486</v>
      </c>
      <c r="J795" s="2987" t="s">
        <v>3599</v>
      </c>
      <c r="K795" s="2988">
        <v>96.17</v>
      </c>
    </row>
    <row r="796" spans="2:11" ht="18" customHeight="1">
      <c r="B796" s="2986">
        <v>760</v>
      </c>
      <c r="C796" s="2987" t="s">
        <v>3482</v>
      </c>
      <c r="D796" s="2987" t="s">
        <v>3594</v>
      </c>
      <c r="E796" s="2987" t="s">
        <v>4239</v>
      </c>
      <c r="F796" s="2987">
        <v>1</v>
      </c>
      <c r="G796" s="2987">
        <v>1404</v>
      </c>
      <c r="H796" s="2987" t="s">
        <v>4263</v>
      </c>
      <c r="I796" s="2987" t="s">
        <v>3486</v>
      </c>
      <c r="J796" s="2987" t="s">
        <v>3602</v>
      </c>
      <c r="K796" s="2988">
        <v>111.01</v>
      </c>
    </row>
    <row r="797" spans="2:11" ht="18" customHeight="1">
      <c r="B797" s="2986">
        <v>761</v>
      </c>
      <c r="C797" s="2987" t="s">
        <v>3482</v>
      </c>
      <c r="D797" s="2987" t="s">
        <v>3594</v>
      </c>
      <c r="E797" s="2987" t="s">
        <v>4239</v>
      </c>
      <c r="F797" s="2987">
        <v>1</v>
      </c>
      <c r="G797" s="2987">
        <v>1501</v>
      </c>
      <c r="H797" s="2987" t="s">
        <v>4264</v>
      </c>
      <c r="I797" s="2987" t="s">
        <v>3486</v>
      </c>
      <c r="J797" s="2987" t="s">
        <v>3597</v>
      </c>
      <c r="K797" s="2988">
        <v>128.26</v>
      </c>
    </row>
    <row r="798" spans="2:11" ht="18" customHeight="1">
      <c r="B798" s="2986">
        <v>762</v>
      </c>
      <c r="C798" s="2987" t="s">
        <v>3482</v>
      </c>
      <c r="D798" s="2987" t="s">
        <v>3594</v>
      </c>
      <c r="E798" s="2987" t="s">
        <v>4239</v>
      </c>
      <c r="F798" s="2987">
        <v>1</v>
      </c>
      <c r="G798" s="2987">
        <v>1502</v>
      </c>
      <c r="H798" s="2987" t="s">
        <v>4265</v>
      </c>
      <c r="I798" s="2987" t="s">
        <v>3486</v>
      </c>
      <c r="J798" s="2987" t="s">
        <v>3599</v>
      </c>
      <c r="K798" s="2988">
        <v>96.17</v>
      </c>
    </row>
    <row r="799" spans="2:11" ht="18" customHeight="1">
      <c r="B799" s="2986">
        <v>763</v>
      </c>
      <c r="C799" s="2987" t="s">
        <v>3482</v>
      </c>
      <c r="D799" s="2987" t="s">
        <v>3594</v>
      </c>
      <c r="E799" s="2987" t="s">
        <v>4239</v>
      </c>
      <c r="F799" s="2987">
        <v>1</v>
      </c>
      <c r="G799" s="2987">
        <v>1503</v>
      </c>
      <c r="H799" s="2987" t="s">
        <v>4266</v>
      </c>
      <c r="I799" s="2987" t="s">
        <v>3486</v>
      </c>
      <c r="J799" s="2987" t="s">
        <v>3599</v>
      </c>
      <c r="K799" s="2988">
        <v>96.17</v>
      </c>
    </row>
    <row r="800" spans="2:11" ht="18" customHeight="1">
      <c r="B800" s="2986">
        <v>764</v>
      </c>
      <c r="C800" s="2987" t="s">
        <v>3482</v>
      </c>
      <c r="D800" s="2987" t="s">
        <v>3594</v>
      </c>
      <c r="E800" s="2987" t="s">
        <v>4239</v>
      </c>
      <c r="F800" s="2987">
        <v>1</v>
      </c>
      <c r="G800" s="2987">
        <v>1504</v>
      </c>
      <c r="H800" s="2987" t="s">
        <v>4267</v>
      </c>
      <c r="I800" s="2987" t="s">
        <v>3486</v>
      </c>
      <c r="J800" s="2987" t="s">
        <v>3602</v>
      </c>
      <c r="K800" s="2988">
        <v>111.01</v>
      </c>
    </row>
    <row r="801" spans="2:11" ht="18" customHeight="1">
      <c r="B801" s="2986">
        <v>765</v>
      </c>
      <c r="C801" s="2987" t="s">
        <v>3482</v>
      </c>
      <c r="D801" s="2987" t="s">
        <v>3594</v>
      </c>
      <c r="E801" s="2987" t="s">
        <v>4239</v>
      </c>
      <c r="F801" s="2987">
        <v>1</v>
      </c>
      <c r="G801" s="2987">
        <v>1601</v>
      </c>
      <c r="H801" s="2987" t="s">
        <v>4268</v>
      </c>
      <c r="I801" s="2987" t="s">
        <v>3486</v>
      </c>
      <c r="J801" s="2987" t="s">
        <v>3597</v>
      </c>
      <c r="K801" s="2988">
        <v>128.26</v>
      </c>
    </row>
    <row r="802" spans="2:11" ht="18" customHeight="1">
      <c r="B802" s="2986">
        <v>766</v>
      </c>
      <c r="C802" s="2987" t="s">
        <v>3482</v>
      </c>
      <c r="D802" s="2987" t="s">
        <v>3594</v>
      </c>
      <c r="E802" s="2987" t="s">
        <v>4239</v>
      </c>
      <c r="F802" s="2987">
        <v>1</v>
      </c>
      <c r="G802" s="2987">
        <v>1602</v>
      </c>
      <c r="H802" s="2987" t="s">
        <v>4269</v>
      </c>
      <c r="I802" s="2987" t="s">
        <v>3486</v>
      </c>
      <c r="J802" s="2987" t="s">
        <v>3599</v>
      </c>
      <c r="K802" s="2988">
        <v>96.17</v>
      </c>
    </row>
    <row r="803" spans="2:11" ht="18" customHeight="1">
      <c r="B803" s="2986">
        <v>767</v>
      </c>
      <c r="C803" s="2987" t="s">
        <v>3482</v>
      </c>
      <c r="D803" s="2987" t="s">
        <v>3594</v>
      </c>
      <c r="E803" s="2987" t="s">
        <v>4239</v>
      </c>
      <c r="F803" s="2987">
        <v>1</v>
      </c>
      <c r="G803" s="2987">
        <v>1603</v>
      </c>
      <c r="H803" s="2987" t="s">
        <v>4270</v>
      </c>
      <c r="I803" s="2987" t="s">
        <v>3486</v>
      </c>
      <c r="J803" s="2987" t="s">
        <v>3599</v>
      </c>
      <c r="K803" s="2988">
        <v>96.17</v>
      </c>
    </row>
    <row r="804" spans="2:11" ht="18" customHeight="1">
      <c r="B804" s="2986">
        <v>768</v>
      </c>
      <c r="C804" s="2987" t="s">
        <v>3482</v>
      </c>
      <c r="D804" s="2987" t="s">
        <v>3594</v>
      </c>
      <c r="E804" s="2987" t="s">
        <v>4239</v>
      </c>
      <c r="F804" s="2987">
        <v>1</v>
      </c>
      <c r="G804" s="2987">
        <v>1604</v>
      </c>
      <c r="H804" s="2987" t="s">
        <v>4271</v>
      </c>
      <c r="I804" s="2987" t="s">
        <v>3486</v>
      </c>
      <c r="J804" s="2987" t="s">
        <v>3602</v>
      </c>
      <c r="K804" s="2988">
        <v>111.01</v>
      </c>
    </row>
    <row r="805" spans="2:11" ht="18" customHeight="1">
      <c r="B805" s="2986">
        <v>769</v>
      </c>
      <c r="C805" s="2987" t="s">
        <v>3482</v>
      </c>
      <c r="D805" s="2987" t="s">
        <v>3594</v>
      </c>
      <c r="E805" s="2987" t="s">
        <v>4239</v>
      </c>
      <c r="F805" s="2987">
        <v>1</v>
      </c>
      <c r="G805" s="2987">
        <v>1701</v>
      </c>
      <c r="H805" s="2987" t="s">
        <v>4272</v>
      </c>
      <c r="I805" s="2987" t="s">
        <v>3486</v>
      </c>
      <c r="J805" s="2987" t="s">
        <v>3597</v>
      </c>
      <c r="K805" s="2988">
        <v>128.26</v>
      </c>
    </row>
    <row r="806" spans="2:11" ht="18" customHeight="1">
      <c r="B806" s="2986">
        <v>770</v>
      </c>
      <c r="C806" s="2987" t="s">
        <v>3482</v>
      </c>
      <c r="D806" s="2987" t="s">
        <v>3594</v>
      </c>
      <c r="E806" s="2987" t="s">
        <v>4239</v>
      </c>
      <c r="F806" s="2987">
        <v>1</v>
      </c>
      <c r="G806" s="2987">
        <v>1702</v>
      </c>
      <c r="H806" s="2987" t="s">
        <v>4273</v>
      </c>
      <c r="I806" s="2987" t="s">
        <v>3486</v>
      </c>
      <c r="J806" s="2987" t="s">
        <v>3599</v>
      </c>
      <c r="K806" s="2988">
        <v>96.17</v>
      </c>
    </row>
    <row r="807" spans="2:11" ht="18" customHeight="1">
      <c r="B807" s="2986">
        <v>771</v>
      </c>
      <c r="C807" s="2987" t="s">
        <v>3482</v>
      </c>
      <c r="D807" s="2987" t="s">
        <v>3594</v>
      </c>
      <c r="E807" s="2987" t="s">
        <v>4239</v>
      </c>
      <c r="F807" s="2987">
        <v>1</v>
      </c>
      <c r="G807" s="2987">
        <v>1703</v>
      </c>
      <c r="H807" s="2987" t="s">
        <v>4274</v>
      </c>
      <c r="I807" s="2987" t="s">
        <v>3486</v>
      </c>
      <c r="J807" s="2987" t="s">
        <v>3599</v>
      </c>
      <c r="K807" s="2988">
        <v>96.17</v>
      </c>
    </row>
    <row r="808" spans="2:11" ht="18" customHeight="1">
      <c r="B808" s="2986">
        <v>772</v>
      </c>
      <c r="C808" s="2987" t="s">
        <v>3482</v>
      </c>
      <c r="D808" s="2987" t="s">
        <v>3594</v>
      </c>
      <c r="E808" s="2987" t="s">
        <v>4239</v>
      </c>
      <c r="F808" s="2987">
        <v>1</v>
      </c>
      <c r="G808" s="2987">
        <v>1704</v>
      </c>
      <c r="H808" s="2987" t="s">
        <v>4275</v>
      </c>
      <c r="I808" s="2987" t="s">
        <v>3486</v>
      </c>
      <c r="J808" s="2987" t="s">
        <v>3602</v>
      </c>
      <c r="K808" s="2988">
        <v>111.01</v>
      </c>
    </row>
    <row r="809" spans="2:11" ht="18" customHeight="1">
      <c r="B809" s="2986">
        <v>773</v>
      </c>
      <c r="C809" s="2987" t="s">
        <v>3482</v>
      </c>
      <c r="D809" s="2987" t="s">
        <v>3594</v>
      </c>
      <c r="E809" s="2987" t="s">
        <v>4239</v>
      </c>
      <c r="F809" s="2987">
        <v>1</v>
      </c>
      <c r="G809" s="2987">
        <v>1801</v>
      </c>
      <c r="H809" s="2987" t="s">
        <v>4276</v>
      </c>
      <c r="I809" s="2987" t="s">
        <v>3486</v>
      </c>
      <c r="J809" s="2987" t="s">
        <v>3597</v>
      </c>
      <c r="K809" s="2988">
        <v>128.26</v>
      </c>
    </row>
    <row r="810" spans="2:11" ht="18" customHeight="1">
      <c r="B810" s="2986">
        <v>774</v>
      </c>
      <c r="C810" s="2987" t="s">
        <v>3482</v>
      </c>
      <c r="D810" s="2987" t="s">
        <v>3594</v>
      </c>
      <c r="E810" s="2987" t="s">
        <v>4239</v>
      </c>
      <c r="F810" s="2987">
        <v>1</v>
      </c>
      <c r="G810" s="2987">
        <v>1802</v>
      </c>
      <c r="H810" s="2987" t="s">
        <v>4277</v>
      </c>
      <c r="I810" s="2987" t="s">
        <v>3486</v>
      </c>
      <c r="J810" s="2987" t="s">
        <v>3599</v>
      </c>
      <c r="K810" s="2988">
        <v>96.17</v>
      </c>
    </row>
    <row r="811" spans="2:11" ht="18" customHeight="1">
      <c r="B811" s="2986">
        <v>775</v>
      </c>
      <c r="C811" s="2987" t="s">
        <v>3482</v>
      </c>
      <c r="D811" s="2987" t="s">
        <v>3594</v>
      </c>
      <c r="E811" s="2987" t="s">
        <v>4239</v>
      </c>
      <c r="F811" s="2987">
        <v>1</v>
      </c>
      <c r="G811" s="2987">
        <v>1803</v>
      </c>
      <c r="H811" s="2987" t="s">
        <v>4278</v>
      </c>
      <c r="I811" s="2987" t="s">
        <v>3486</v>
      </c>
      <c r="J811" s="2987" t="s">
        <v>3599</v>
      </c>
      <c r="K811" s="2988">
        <v>96.17</v>
      </c>
    </row>
    <row r="812" spans="2:11" ht="18" customHeight="1">
      <c r="B812" s="2986">
        <v>776</v>
      </c>
      <c r="C812" s="2987" t="s">
        <v>3482</v>
      </c>
      <c r="D812" s="2987" t="s">
        <v>3594</v>
      </c>
      <c r="E812" s="2987" t="s">
        <v>4239</v>
      </c>
      <c r="F812" s="2987">
        <v>1</v>
      </c>
      <c r="G812" s="2987">
        <v>1804</v>
      </c>
      <c r="H812" s="2987" t="s">
        <v>4279</v>
      </c>
      <c r="I812" s="2987" t="s">
        <v>3486</v>
      </c>
      <c r="J812" s="2987" t="s">
        <v>3602</v>
      </c>
      <c r="K812" s="2988">
        <v>111.01</v>
      </c>
    </row>
    <row r="813" spans="2:11" ht="18" customHeight="1">
      <c r="B813" s="2986">
        <v>777</v>
      </c>
      <c r="C813" s="2987" t="s">
        <v>3482</v>
      </c>
      <c r="D813" s="2987" t="s">
        <v>3594</v>
      </c>
      <c r="E813" s="2987" t="s">
        <v>4239</v>
      </c>
      <c r="F813" s="2987">
        <v>1</v>
      </c>
      <c r="G813" s="2987">
        <v>1901</v>
      </c>
      <c r="H813" s="2987" t="s">
        <v>4280</v>
      </c>
      <c r="I813" s="2987" t="s">
        <v>3486</v>
      </c>
      <c r="J813" s="2987" t="s">
        <v>3597</v>
      </c>
      <c r="K813" s="2988">
        <v>128.26</v>
      </c>
    </row>
    <row r="814" spans="2:11" ht="18" customHeight="1">
      <c r="B814" s="2986">
        <v>778</v>
      </c>
      <c r="C814" s="2987" t="s">
        <v>3482</v>
      </c>
      <c r="D814" s="2987" t="s">
        <v>3594</v>
      </c>
      <c r="E814" s="2987" t="s">
        <v>4239</v>
      </c>
      <c r="F814" s="2987">
        <v>1</v>
      </c>
      <c r="G814" s="2987">
        <v>1902</v>
      </c>
      <c r="H814" s="2987" t="s">
        <v>4281</v>
      </c>
      <c r="I814" s="2987" t="s">
        <v>3486</v>
      </c>
      <c r="J814" s="2987" t="s">
        <v>3599</v>
      </c>
      <c r="K814" s="2988">
        <v>96.17</v>
      </c>
    </row>
    <row r="815" spans="2:11" ht="18" customHeight="1">
      <c r="B815" s="2986">
        <v>779</v>
      </c>
      <c r="C815" s="2987" t="s">
        <v>3482</v>
      </c>
      <c r="D815" s="2987" t="s">
        <v>3594</v>
      </c>
      <c r="E815" s="2987" t="s">
        <v>4239</v>
      </c>
      <c r="F815" s="2987">
        <v>1</v>
      </c>
      <c r="G815" s="2987">
        <v>1903</v>
      </c>
      <c r="H815" s="2987" t="s">
        <v>4282</v>
      </c>
      <c r="I815" s="2987" t="s">
        <v>3486</v>
      </c>
      <c r="J815" s="2987" t="s">
        <v>3599</v>
      </c>
      <c r="K815" s="2988">
        <v>96.17</v>
      </c>
    </row>
    <row r="816" spans="2:11" ht="18" customHeight="1">
      <c r="B816" s="2986">
        <v>780</v>
      </c>
      <c r="C816" s="2987" t="s">
        <v>3482</v>
      </c>
      <c r="D816" s="2987" t="s">
        <v>3594</v>
      </c>
      <c r="E816" s="2987" t="s">
        <v>4239</v>
      </c>
      <c r="F816" s="2987">
        <v>1</v>
      </c>
      <c r="G816" s="2987">
        <v>1904</v>
      </c>
      <c r="H816" s="2987" t="s">
        <v>4283</v>
      </c>
      <c r="I816" s="2987" t="s">
        <v>3486</v>
      </c>
      <c r="J816" s="2987" t="s">
        <v>3602</v>
      </c>
      <c r="K816" s="2988">
        <v>111.01</v>
      </c>
    </row>
    <row r="817" spans="2:11" ht="18" customHeight="1">
      <c r="B817" s="2986">
        <v>781</v>
      </c>
      <c r="C817" s="2987" t="s">
        <v>3482</v>
      </c>
      <c r="D817" s="2987" t="s">
        <v>3594</v>
      </c>
      <c r="E817" s="2987" t="s">
        <v>4239</v>
      </c>
      <c r="F817" s="2987">
        <v>1</v>
      </c>
      <c r="G817" s="2987">
        <v>2001</v>
      </c>
      <c r="H817" s="2987" t="s">
        <v>4284</v>
      </c>
      <c r="I817" s="2987" t="s">
        <v>3486</v>
      </c>
      <c r="J817" s="2987" t="s">
        <v>3597</v>
      </c>
      <c r="K817" s="2988">
        <v>128.26</v>
      </c>
    </row>
    <row r="818" spans="2:11" ht="18" customHeight="1">
      <c r="B818" s="2986">
        <v>782</v>
      </c>
      <c r="C818" s="2987" t="s">
        <v>3482</v>
      </c>
      <c r="D818" s="2987" t="s">
        <v>3594</v>
      </c>
      <c r="E818" s="2987" t="s">
        <v>4239</v>
      </c>
      <c r="F818" s="2987">
        <v>1</v>
      </c>
      <c r="G818" s="2987">
        <v>2002</v>
      </c>
      <c r="H818" s="2987" t="s">
        <v>4285</v>
      </c>
      <c r="I818" s="2987" t="s">
        <v>3486</v>
      </c>
      <c r="J818" s="2987" t="s">
        <v>3599</v>
      </c>
      <c r="K818" s="2988">
        <v>96.17</v>
      </c>
    </row>
    <row r="819" spans="2:11" ht="18" customHeight="1">
      <c r="B819" s="2986">
        <v>783</v>
      </c>
      <c r="C819" s="2987" t="s">
        <v>3482</v>
      </c>
      <c r="D819" s="2987" t="s">
        <v>3594</v>
      </c>
      <c r="E819" s="2987" t="s">
        <v>4239</v>
      </c>
      <c r="F819" s="2987">
        <v>1</v>
      </c>
      <c r="G819" s="2987">
        <v>2003</v>
      </c>
      <c r="H819" s="2987" t="s">
        <v>4286</v>
      </c>
      <c r="I819" s="2987" t="s">
        <v>3486</v>
      </c>
      <c r="J819" s="2987" t="s">
        <v>3599</v>
      </c>
      <c r="K819" s="2988">
        <v>96.17</v>
      </c>
    </row>
    <row r="820" spans="2:11" ht="18" customHeight="1">
      <c r="B820" s="2986">
        <v>784</v>
      </c>
      <c r="C820" s="2987" t="s">
        <v>3482</v>
      </c>
      <c r="D820" s="2987" t="s">
        <v>3594</v>
      </c>
      <c r="E820" s="2987" t="s">
        <v>4239</v>
      </c>
      <c r="F820" s="2987">
        <v>1</v>
      </c>
      <c r="G820" s="2987">
        <v>2004</v>
      </c>
      <c r="H820" s="2987" t="s">
        <v>4287</v>
      </c>
      <c r="I820" s="2987" t="s">
        <v>3486</v>
      </c>
      <c r="J820" s="2987" t="s">
        <v>3602</v>
      </c>
      <c r="K820" s="2988">
        <v>111.01</v>
      </c>
    </row>
    <row r="821" spans="2:11" ht="18" customHeight="1">
      <c r="B821" s="2986">
        <v>785</v>
      </c>
      <c r="C821" s="2987" t="s">
        <v>3482</v>
      </c>
      <c r="D821" s="2987" t="s">
        <v>3594</v>
      </c>
      <c r="E821" s="2987" t="s">
        <v>4239</v>
      </c>
      <c r="F821" s="2987">
        <v>1</v>
      </c>
      <c r="G821" s="2987">
        <v>201</v>
      </c>
      <c r="H821" s="2987" t="s">
        <v>4288</v>
      </c>
      <c r="I821" s="2987" t="s">
        <v>3486</v>
      </c>
      <c r="J821" s="2987" t="s">
        <v>3597</v>
      </c>
      <c r="K821" s="2988">
        <v>128.26</v>
      </c>
    </row>
    <row r="822" spans="2:11" ht="18" customHeight="1">
      <c r="B822" s="2986">
        <v>786</v>
      </c>
      <c r="C822" s="2987" t="s">
        <v>3482</v>
      </c>
      <c r="D822" s="2987" t="s">
        <v>3594</v>
      </c>
      <c r="E822" s="2987" t="s">
        <v>4239</v>
      </c>
      <c r="F822" s="2987">
        <v>1</v>
      </c>
      <c r="G822" s="2987">
        <v>202</v>
      </c>
      <c r="H822" s="2987" t="s">
        <v>4289</v>
      </c>
      <c r="I822" s="2987" t="s">
        <v>3486</v>
      </c>
      <c r="J822" s="2987" t="s">
        <v>3599</v>
      </c>
      <c r="K822" s="2988">
        <v>96.17</v>
      </c>
    </row>
    <row r="823" spans="2:11" ht="18" customHeight="1">
      <c r="B823" s="2986">
        <v>787</v>
      </c>
      <c r="C823" s="2987" t="s">
        <v>3482</v>
      </c>
      <c r="D823" s="2987" t="s">
        <v>3594</v>
      </c>
      <c r="E823" s="2987" t="s">
        <v>4239</v>
      </c>
      <c r="F823" s="2987">
        <v>1</v>
      </c>
      <c r="G823" s="2987">
        <v>203</v>
      </c>
      <c r="H823" s="2987" t="s">
        <v>4290</v>
      </c>
      <c r="I823" s="2987" t="s">
        <v>3486</v>
      </c>
      <c r="J823" s="2987" t="s">
        <v>3599</v>
      </c>
      <c r="K823" s="2988">
        <v>96.17</v>
      </c>
    </row>
    <row r="824" spans="2:11" ht="18" customHeight="1">
      <c r="B824" s="2986">
        <v>788</v>
      </c>
      <c r="C824" s="2987" t="s">
        <v>3482</v>
      </c>
      <c r="D824" s="2987" t="s">
        <v>3594</v>
      </c>
      <c r="E824" s="2987" t="s">
        <v>4239</v>
      </c>
      <c r="F824" s="2987">
        <v>1</v>
      </c>
      <c r="G824" s="2987">
        <v>204</v>
      </c>
      <c r="H824" s="2987" t="s">
        <v>4291</v>
      </c>
      <c r="I824" s="2987" t="s">
        <v>3486</v>
      </c>
      <c r="J824" s="2987" t="s">
        <v>3602</v>
      </c>
      <c r="K824" s="2988">
        <v>111.01</v>
      </c>
    </row>
    <row r="825" spans="2:11" ht="18" customHeight="1">
      <c r="B825" s="2986">
        <v>789</v>
      </c>
      <c r="C825" s="2987" t="s">
        <v>3482</v>
      </c>
      <c r="D825" s="2987" t="s">
        <v>3594</v>
      </c>
      <c r="E825" s="2987" t="s">
        <v>4239</v>
      </c>
      <c r="F825" s="2987">
        <v>1</v>
      </c>
      <c r="G825" s="2987">
        <v>2101</v>
      </c>
      <c r="H825" s="2987" t="s">
        <v>4292</v>
      </c>
      <c r="I825" s="2987" t="s">
        <v>3486</v>
      </c>
      <c r="J825" s="2987" t="s">
        <v>3597</v>
      </c>
      <c r="K825" s="2988">
        <v>128.26</v>
      </c>
    </row>
    <row r="826" spans="2:11" ht="18" customHeight="1">
      <c r="B826" s="2986">
        <v>790</v>
      </c>
      <c r="C826" s="2987" t="s">
        <v>3482</v>
      </c>
      <c r="D826" s="2987" t="s">
        <v>3594</v>
      </c>
      <c r="E826" s="2987" t="s">
        <v>4239</v>
      </c>
      <c r="F826" s="2987">
        <v>1</v>
      </c>
      <c r="G826" s="2987">
        <v>2102</v>
      </c>
      <c r="H826" s="2987" t="s">
        <v>4293</v>
      </c>
      <c r="I826" s="2987" t="s">
        <v>3486</v>
      </c>
      <c r="J826" s="2987" t="s">
        <v>3599</v>
      </c>
      <c r="K826" s="2988">
        <v>96.17</v>
      </c>
    </row>
    <row r="827" spans="2:11" ht="18" customHeight="1">
      <c r="B827" s="2986">
        <v>791</v>
      </c>
      <c r="C827" s="2987" t="s">
        <v>3482</v>
      </c>
      <c r="D827" s="2987" t="s">
        <v>3594</v>
      </c>
      <c r="E827" s="2987" t="s">
        <v>4239</v>
      </c>
      <c r="F827" s="2987">
        <v>1</v>
      </c>
      <c r="G827" s="2987">
        <v>2103</v>
      </c>
      <c r="H827" s="2987" t="s">
        <v>4294</v>
      </c>
      <c r="I827" s="2987" t="s">
        <v>3486</v>
      </c>
      <c r="J827" s="2987" t="s">
        <v>3599</v>
      </c>
      <c r="K827" s="2988">
        <v>96.17</v>
      </c>
    </row>
    <row r="828" spans="2:11" ht="18" customHeight="1">
      <c r="B828" s="2986">
        <v>792</v>
      </c>
      <c r="C828" s="2987" t="s">
        <v>3482</v>
      </c>
      <c r="D828" s="2987" t="s">
        <v>3594</v>
      </c>
      <c r="E828" s="2987" t="s">
        <v>4239</v>
      </c>
      <c r="F828" s="2987">
        <v>1</v>
      </c>
      <c r="G828" s="2987">
        <v>2104</v>
      </c>
      <c r="H828" s="2987" t="s">
        <v>4295</v>
      </c>
      <c r="I828" s="2987" t="s">
        <v>3486</v>
      </c>
      <c r="J828" s="2987" t="s">
        <v>3602</v>
      </c>
      <c r="K828" s="2988">
        <v>111.01</v>
      </c>
    </row>
    <row r="829" spans="2:11" ht="18" customHeight="1">
      <c r="B829" s="2986">
        <v>793</v>
      </c>
      <c r="C829" s="2987" t="s">
        <v>3482</v>
      </c>
      <c r="D829" s="2987" t="s">
        <v>3594</v>
      </c>
      <c r="E829" s="2987" t="s">
        <v>4239</v>
      </c>
      <c r="F829" s="2987">
        <v>1</v>
      </c>
      <c r="G829" s="2987">
        <v>301</v>
      </c>
      <c r="H829" s="2987" t="s">
        <v>4296</v>
      </c>
      <c r="I829" s="2987" t="s">
        <v>3486</v>
      </c>
      <c r="J829" s="2987" t="s">
        <v>3597</v>
      </c>
      <c r="K829" s="2988">
        <v>128.26</v>
      </c>
    </row>
    <row r="830" spans="2:11" ht="18" customHeight="1">
      <c r="B830" s="2986">
        <v>794</v>
      </c>
      <c r="C830" s="2987" t="s">
        <v>3482</v>
      </c>
      <c r="D830" s="2987" t="s">
        <v>3594</v>
      </c>
      <c r="E830" s="2987" t="s">
        <v>4239</v>
      </c>
      <c r="F830" s="2987">
        <v>1</v>
      </c>
      <c r="G830" s="2987">
        <v>302</v>
      </c>
      <c r="H830" s="2987" t="s">
        <v>4297</v>
      </c>
      <c r="I830" s="2987" t="s">
        <v>3486</v>
      </c>
      <c r="J830" s="2987" t="s">
        <v>3599</v>
      </c>
      <c r="K830" s="2988">
        <v>96.17</v>
      </c>
    </row>
    <row r="831" spans="2:11" ht="18" customHeight="1">
      <c r="B831" s="2986">
        <v>795</v>
      </c>
      <c r="C831" s="2987" t="s">
        <v>3482</v>
      </c>
      <c r="D831" s="2987" t="s">
        <v>3594</v>
      </c>
      <c r="E831" s="2987" t="s">
        <v>4239</v>
      </c>
      <c r="F831" s="2987">
        <v>1</v>
      </c>
      <c r="G831" s="2987">
        <v>303</v>
      </c>
      <c r="H831" s="2987" t="s">
        <v>4298</v>
      </c>
      <c r="I831" s="2987" t="s">
        <v>3486</v>
      </c>
      <c r="J831" s="2987" t="s">
        <v>3599</v>
      </c>
      <c r="K831" s="2988">
        <v>96.17</v>
      </c>
    </row>
    <row r="832" spans="2:11" ht="18" customHeight="1">
      <c r="B832" s="2986">
        <v>796</v>
      </c>
      <c r="C832" s="2987" t="s">
        <v>3482</v>
      </c>
      <c r="D832" s="2987" t="s">
        <v>3594</v>
      </c>
      <c r="E832" s="2987" t="s">
        <v>4239</v>
      </c>
      <c r="F832" s="2987">
        <v>1</v>
      </c>
      <c r="G832" s="2987">
        <v>304</v>
      </c>
      <c r="H832" s="2987" t="s">
        <v>4299</v>
      </c>
      <c r="I832" s="2987" t="s">
        <v>3486</v>
      </c>
      <c r="J832" s="2987" t="s">
        <v>3602</v>
      </c>
      <c r="K832" s="2988">
        <v>111.01</v>
      </c>
    </row>
    <row r="833" spans="2:11" ht="18" customHeight="1">
      <c r="B833" s="2986">
        <v>797</v>
      </c>
      <c r="C833" s="2987" t="s">
        <v>3482</v>
      </c>
      <c r="D833" s="2987" t="s">
        <v>3594</v>
      </c>
      <c r="E833" s="2987" t="s">
        <v>4239</v>
      </c>
      <c r="F833" s="2987">
        <v>1</v>
      </c>
      <c r="G833" s="2987">
        <v>401</v>
      </c>
      <c r="H833" s="2987" t="s">
        <v>4300</v>
      </c>
      <c r="I833" s="2987" t="s">
        <v>3486</v>
      </c>
      <c r="J833" s="2987" t="s">
        <v>3597</v>
      </c>
      <c r="K833" s="2988">
        <v>128.26</v>
      </c>
    </row>
    <row r="834" spans="2:11" ht="18" customHeight="1">
      <c r="B834" s="2986">
        <v>798</v>
      </c>
      <c r="C834" s="2987" t="s">
        <v>3482</v>
      </c>
      <c r="D834" s="2987" t="s">
        <v>3594</v>
      </c>
      <c r="E834" s="2987" t="s">
        <v>4239</v>
      </c>
      <c r="F834" s="2987">
        <v>1</v>
      </c>
      <c r="G834" s="2987">
        <v>402</v>
      </c>
      <c r="H834" s="2987" t="s">
        <v>4301</v>
      </c>
      <c r="I834" s="2987" t="s">
        <v>3486</v>
      </c>
      <c r="J834" s="2987" t="s">
        <v>3599</v>
      </c>
      <c r="K834" s="2988">
        <v>96.17</v>
      </c>
    </row>
    <row r="835" spans="2:11" ht="18" customHeight="1">
      <c r="B835" s="2986">
        <v>799</v>
      </c>
      <c r="C835" s="2987" t="s">
        <v>3482</v>
      </c>
      <c r="D835" s="2987" t="s">
        <v>3594</v>
      </c>
      <c r="E835" s="2987" t="s">
        <v>4239</v>
      </c>
      <c r="F835" s="2987">
        <v>1</v>
      </c>
      <c r="G835" s="2987">
        <v>403</v>
      </c>
      <c r="H835" s="2987" t="s">
        <v>4302</v>
      </c>
      <c r="I835" s="2987" t="s">
        <v>3486</v>
      </c>
      <c r="J835" s="2987" t="s">
        <v>3599</v>
      </c>
      <c r="K835" s="2988">
        <v>96.17</v>
      </c>
    </row>
    <row r="836" spans="2:11" ht="18" customHeight="1">
      <c r="B836" s="2986">
        <v>800</v>
      </c>
      <c r="C836" s="2987" t="s">
        <v>3482</v>
      </c>
      <c r="D836" s="2987" t="s">
        <v>3594</v>
      </c>
      <c r="E836" s="2987" t="s">
        <v>4239</v>
      </c>
      <c r="F836" s="2987">
        <v>1</v>
      </c>
      <c r="G836" s="2987">
        <v>404</v>
      </c>
      <c r="H836" s="2987" t="s">
        <v>4303</v>
      </c>
      <c r="I836" s="2987" t="s">
        <v>3486</v>
      </c>
      <c r="J836" s="2987" t="s">
        <v>3602</v>
      </c>
      <c r="K836" s="2988">
        <v>111.01</v>
      </c>
    </row>
    <row r="837" spans="2:11" ht="18" customHeight="1">
      <c r="B837" s="2986">
        <v>801</v>
      </c>
      <c r="C837" s="2987" t="s">
        <v>3482</v>
      </c>
      <c r="D837" s="2987" t="s">
        <v>3594</v>
      </c>
      <c r="E837" s="2987" t="s">
        <v>4239</v>
      </c>
      <c r="F837" s="2987">
        <v>1</v>
      </c>
      <c r="G837" s="2987">
        <v>501</v>
      </c>
      <c r="H837" s="2987" t="s">
        <v>4304</v>
      </c>
      <c r="I837" s="2987" t="s">
        <v>3486</v>
      </c>
      <c r="J837" s="2987" t="s">
        <v>3597</v>
      </c>
      <c r="K837" s="2988">
        <v>128.26</v>
      </c>
    </row>
    <row r="838" spans="2:11" ht="18" customHeight="1">
      <c r="B838" s="2986">
        <v>802</v>
      </c>
      <c r="C838" s="2987" t="s">
        <v>3482</v>
      </c>
      <c r="D838" s="2987" t="s">
        <v>3594</v>
      </c>
      <c r="E838" s="2987" t="s">
        <v>4239</v>
      </c>
      <c r="F838" s="2987">
        <v>1</v>
      </c>
      <c r="G838" s="2987">
        <v>502</v>
      </c>
      <c r="H838" s="2987" t="s">
        <v>4305</v>
      </c>
      <c r="I838" s="2987" t="s">
        <v>3486</v>
      </c>
      <c r="J838" s="2987" t="s">
        <v>3599</v>
      </c>
      <c r="K838" s="2988">
        <v>96.17</v>
      </c>
    </row>
    <row r="839" spans="2:11" ht="18" customHeight="1">
      <c r="B839" s="2986">
        <v>803</v>
      </c>
      <c r="C839" s="2987" t="s">
        <v>3482</v>
      </c>
      <c r="D839" s="2987" t="s">
        <v>3594</v>
      </c>
      <c r="E839" s="2987" t="s">
        <v>4239</v>
      </c>
      <c r="F839" s="2987">
        <v>1</v>
      </c>
      <c r="G839" s="2987">
        <v>503</v>
      </c>
      <c r="H839" s="2987" t="s">
        <v>4306</v>
      </c>
      <c r="I839" s="2987" t="s">
        <v>3486</v>
      </c>
      <c r="J839" s="2987" t="s">
        <v>3599</v>
      </c>
      <c r="K839" s="2988">
        <v>96.17</v>
      </c>
    </row>
    <row r="840" spans="2:11" ht="18" customHeight="1">
      <c r="B840" s="2986">
        <v>804</v>
      </c>
      <c r="C840" s="2987" t="s">
        <v>3482</v>
      </c>
      <c r="D840" s="2987" t="s">
        <v>3594</v>
      </c>
      <c r="E840" s="2987" t="s">
        <v>4239</v>
      </c>
      <c r="F840" s="2987">
        <v>1</v>
      </c>
      <c r="G840" s="2987">
        <v>504</v>
      </c>
      <c r="H840" s="2987" t="s">
        <v>4307</v>
      </c>
      <c r="I840" s="2987" t="s">
        <v>3486</v>
      </c>
      <c r="J840" s="2987" t="s">
        <v>3602</v>
      </c>
      <c r="K840" s="2988">
        <v>111.01</v>
      </c>
    </row>
    <row r="841" spans="2:11" ht="18" customHeight="1">
      <c r="B841" s="2986">
        <v>805</v>
      </c>
      <c r="C841" s="2987" t="s">
        <v>3482</v>
      </c>
      <c r="D841" s="2987" t="s">
        <v>3594</v>
      </c>
      <c r="E841" s="2987" t="s">
        <v>4239</v>
      </c>
      <c r="F841" s="2987">
        <v>1</v>
      </c>
      <c r="G841" s="2987">
        <v>601</v>
      </c>
      <c r="H841" s="2987" t="s">
        <v>4308</v>
      </c>
      <c r="I841" s="2987" t="s">
        <v>3486</v>
      </c>
      <c r="J841" s="2987" t="s">
        <v>3597</v>
      </c>
      <c r="K841" s="2988">
        <v>128.26</v>
      </c>
    </row>
    <row r="842" spans="2:11" ht="18" customHeight="1">
      <c r="B842" s="2986">
        <v>806</v>
      </c>
      <c r="C842" s="2987" t="s">
        <v>3482</v>
      </c>
      <c r="D842" s="2987" t="s">
        <v>3594</v>
      </c>
      <c r="E842" s="2987" t="s">
        <v>4239</v>
      </c>
      <c r="F842" s="2987">
        <v>1</v>
      </c>
      <c r="G842" s="2987">
        <v>602</v>
      </c>
      <c r="H842" s="2987" t="s">
        <v>4309</v>
      </c>
      <c r="I842" s="2987" t="s">
        <v>3486</v>
      </c>
      <c r="J842" s="2987" t="s">
        <v>3599</v>
      </c>
      <c r="K842" s="2988">
        <v>96.17</v>
      </c>
    </row>
    <row r="843" spans="2:11" ht="18" customHeight="1">
      <c r="B843" s="2986">
        <v>807</v>
      </c>
      <c r="C843" s="2987" t="s">
        <v>3482</v>
      </c>
      <c r="D843" s="2987" t="s">
        <v>3594</v>
      </c>
      <c r="E843" s="2987" t="s">
        <v>4239</v>
      </c>
      <c r="F843" s="2987">
        <v>1</v>
      </c>
      <c r="G843" s="2987">
        <v>603</v>
      </c>
      <c r="H843" s="2987" t="s">
        <v>4310</v>
      </c>
      <c r="I843" s="2987" t="s">
        <v>3486</v>
      </c>
      <c r="J843" s="2987" t="s">
        <v>3599</v>
      </c>
      <c r="K843" s="2988">
        <v>96.17</v>
      </c>
    </row>
    <row r="844" spans="2:11" ht="18" customHeight="1">
      <c r="B844" s="2986">
        <v>808</v>
      </c>
      <c r="C844" s="2987" t="s">
        <v>3482</v>
      </c>
      <c r="D844" s="2987" t="s">
        <v>3594</v>
      </c>
      <c r="E844" s="2987" t="s">
        <v>4239</v>
      </c>
      <c r="F844" s="2987">
        <v>1</v>
      </c>
      <c r="G844" s="2987">
        <v>604</v>
      </c>
      <c r="H844" s="2987" t="s">
        <v>4311</v>
      </c>
      <c r="I844" s="2987" t="s">
        <v>3486</v>
      </c>
      <c r="J844" s="2987" t="s">
        <v>3602</v>
      </c>
      <c r="K844" s="2988">
        <v>111.01</v>
      </c>
    </row>
    <row r="845" spans="2:11" ht="18" customHeight="1">
      <c r="B845" s="2986">
        <v>809</v>
      </c>
      <c r="C845" s="2987" t="s">
        <v>3482</v>
      </c>
      <c r="D845" s="2987" t="s">
        <v>3594</v>
      </c>
      <c r="E845" s="2987" t="s">
        <v>4239</v>
      </c>
      <c r="F845" s="2987">
        <v>1</v>
      </c>
      <c r="G845" s="2987">
        <v>701</v>
      </c>
      <c r="H845" s="2987" t="s">
        <v>4312</v>
      </c>
      <c r="I845" s="2987" t="s">
        <v>3486</v>
      </c>
      <c r="J845" s="2987" t="s">
        <v>3597</v>
      </c>
      <c r="K845" s="2988">
        <v>128.26</v>
      </c>
    </row>
    <row r="846" spans="2:11" ht="18" customHeight="1">
      <c r="B846" s="2986">
        <v>810</v>
      </c>
      <c r="C846" s="2987" t="s">
        <v>3482</v>
      </c>
      <c r="D846" s="2987" t="s">
        <v>3594</v>
      </c>
      <c r="E846" s="2987" t="s">
        <v>4239</v>
      </c>
      <c r="F846" s="2987">
        <v>1</v>
      </c>
      <c r="G846" s="2987">
        <v>702</v>
      </c>
      <c r="H846" s="2987" t="s">
        <v>4313</v>
      </c>
      <c r="I846" s="2987" t="s">
        <v>3486</v>
      </c>
      <c r="J846" s="2987" t="s">
        <v>3599</v>
      </c>
      <c r="K846" s="2988">
        <v>96.17</v>
      </c>
    </row>
    <row r="847" spans="2:11" ht="18" customHeight="1">
      <c r="B847" s="2986">
        <v>811</v>
      </c>
      <c r="C847" s="2987" t="s">
        <v>3482</v>
      </c>
      <c r="D847" s="2987" t="s">
        <v>3594</v>
      </c>
      <c r="E847" s="2987" t="s">
        <v>4239</v>
      </c>
      <c r="F847" s="2987">
        <v>1</v>
      </c>
      <c r="G847" s="2987">
        <v>703</v>
      </c>
      <c r="H847" s="2987" t="s">
        <v>4314</v>
      </c>
      <c r="I847" s="2987" t="s">
        <v>3486</v>
      </c>
      <c r="J847" s="2987" t="s">
        <v>3599</v>
      </c>
      <c r="K847" s="2988">
        <v>96.17</v>
      </c>
    </row>
    <row r="848" spans="2:11" ht="18" customHeight="1">
      <c r="B848" s="2986">
        <v>812</v>
      </c>
      <c r="C848" s="2987" t="s">
        <v>3482</v>
      </c>
      <c r="D848" s="2987" t="s">
        <v>3594</v>
      </c>
      <c r="E848" s="2987" t="s">
        <v>4239</v>
      </c>
      <c r="F848" s="2987">
        <v>1</v>
      </c>
      <c r="G848" s="2987">
        <v>704</v>
      </c>
      <c r="H848" s="2987" t="s">
        <v>4315</v>
      </c>
      <c r="I848" s="2987" t="s">
        <v>3486</v>
      </c>
      <c r="J848" s="2987" t="s">
        <v>3602</v>
      </c>
      <c r="K848" s="2988">
        <v>111.01</v>
      </c>
    </row>
    <row r="849" spans="2:11" ht="18" customHeight="1">
      <c r="B849" s="2986">
        <v>813</v>
      </c>
      <c r="C849" s="2987" t="s">
        <v>3482</v>
      </c>
      <c r="D849" s="2987" t="s">
        <v>3594</v>
      </c>
      <c r="E849" s="2987" t="s">
        <v>4239</v>
      </c>
      <c r="F849" s="2987">
        <v>1</v>
      </c>
      <c r="G849" s="2987">
        <v>801</v>
      </c>
      <c r="H849" s="2987" t="s">
        <v>4316</v>
      </c>
      <c r="I849" s="2987" t="s">
        <v>3486</v>
      </c>
      <c r="J849" s="2987" t="s">
        <v>3597</v>
      </c>
      <c r="K849" s="2988">
        <v>128.26</v>
      </c>
    </row>
    <row r="850" spans="2:11" ht="18" customHeight="1">
      <c r="B850" s="2986">
        <v>814</v>
      </c>
      <c r="C850" s="2987" t="s">
        <v>3482</v>
      </c>
      <c r="D850" s="2987" t="s">
        <v>3594</v>
      </c>
      <c r="E850" s="2987" t="s">
        <v>4239</v>
      </c>
      <c r="F850" s="2987">
        <v>1</v>
      </c>
      <c r="G850" s="2987">
        <v>802</v>
      </c>
      <c r="H850" s="2987" t="s">
        <v>4317</v>
      </c>
      <c r="I850" s="2987" t="s">
        <v>3486</v>
      </c>
      <c r="J850" s="2987" t="s">
        <v>3599</v>
      </c>
      <c r="K850" s="2988">
        <v>96.17</v>
      </c>
    </row>
    <row r="851" spans="2:11" ht="18" customHeight="1">
      <c r="B851" s="2986">
        <v>815</v>
      </c>
      <c r="C851" s="2987" t="s">
        <v>3482</v>
      </c>
      <c r="D851" s="2987" t="s">
        <v>3594</v>
      </c>
      <c r="E851" s="2987" t="s">
        <v>4239</v>
      </c>
      <c r="F851" s="2987">
        <v>1</v>
      </c>
      <c r="G851" s="2987">
        <v>803</v>
      </c>
      <c r="H851" s="2987" t="s">
        <v>4318</v>
      </c>
      <c r="I851" s="2987" t="s">
        <v>3486</v>
      </c>
      <c r="J851" s="2987" t="s">
        <v>3599</v>
      </c>
      <c r="K851" s="2988">
        <v>96.17</v>
      </c>
    </row>
    <row r="852" spans="2:11" ht="18" customHeight="1">
      <c r="B852" s="2986">
        <v>816</v>
      </c>
      <c r="C852" s="2987" t="s">
        <v>3482</v>
      </c>
      <c r="D852" s="2987" t="s">
        <v>3594</v>
      </c>
      <c r="E852" s="2987" t="s">
        <v>4239</v>
      </c>
      <c r="F852" s="2987">
        <v>1</v>
      </c>
      <c r="G852" s="2987">
        <v>804</v>
      </c>
      <c r="H852" s="2987" t="s">
        <v>4319</v>
      </c>
      <c r="I852" s="2987" t="s">
        <v>3486</v>
      </c>
      <c r="J852" s="2987" t="s">
        <v>3602</v>
      </c>
      <c r="K852" s="2988">
        <v>111.01</v>
      </c>
    </row>
    <row r="853" spans="2:11" ht="18" customHeight="1">
      <c r="B853" s="2986">
        <v>817</v>
      </c>
      <c r="C853" s="2987" t="s">
        <v>3482</v>
      </c>
      <c r="D853" s="2987" t="s">
        <v>3594</v>
      </c>
      <c r="E853" s="2987" t="s">
        <v>4239</v>
      </c>
      <c r="F853" s="2987">
        <v>1</v>
      </c>
      <c r="G853" s="2987">
        <v>901</v>
      </c>
      <c r="H853" s="2987" t="s">
        <v>4320</v>
      </c>
      <c r="I853" s="2987" t="s">
        <v>3486</v>
      </c>
      <c r="J853" s="2987" t="s">
        <v>3597</v>
      </c>
      <c r="K853" s="2988">
        <v>128.26</v>
      </c>
    </row>
    <row r="854" spans="2:11" ht="18" customHeight="1">
      <c r="B854" s="2986">
        <v>818</v>
      </c>
      <c r="C854" s="2987" t="s">
        <v>3482</v>
      </c>
      <c r="D854" s="2987" t="s">
        <v>3594</v>
      </c>
      <c r="E854" s="2987" t="s">
        <v>4239</v>
      </c>
      <c r="F854" s="2987">
        <v>1</v>
      </c>
      <c r="G854" s="2987">
        <v>902</v>
      </c>
      <c r="H854" s="2987" t="s">
        <v>4321</v>
      </c>
      <c r="I854" s="2987" t="s">
        <v>3486</v>
      </c>
      <c r="J854" s="2987" t="s">
        <v>3599</v>
      </c>
      <c r="K854" s="2988">
        <v>96.17</v>
      </c>
    </row>
    <row r="855" spans="2:11" ht="18" customHeight="1">
      <c r="B855" s="2986">
        <v>819</v>
      </c>
      <c r="C855" s="2987" t="s">
        <v>3482</v>
      </c>
      <c r="D855" s="2987" t="s">
        <v>3594</v>
      </c>
      <c r="E855" s="2987" t="s">
        <v>4239</v>
      </c>
      <c r="F855" s="2987">
        <v>1</v>
      </c>
      <c r="G855" s="2987">
        <v>903</v>
      </c>
      <c r="H855" s="2987" t="s">
        <v>4322</v>
      </c>
      <c r="I855" s="2987" t="s">
        <v>3486</v>
      </c>
      <c r="J855" s="2987" t="s">
        <v>3599</v>
      </c>
      <c r="K855" s="2988">
        <v>96.17</v>
      </c>
    </row>
    <row r="856" spans="2:11" ht="18" customHeight="1">
      <c r="B856" s="2986">
        <v>820</v>
      </c>
      <c r="C856" s="2987" t="s">
        <v>3482</v>
      </c>
      <c r="D856" s="2987" t="s">
        <v>3594</v>
      </c>
      <c r="E856" s="2987" t="s">
        <v>4239</v>
      </c>
      <c r="F856" s="2987">
        <v>1</v>
      </c>
      <c r="G856" s="2987">
        <v>904</v>
      </c>
      <c r="H856" s="2987" t="s">
        <v>4323</v>
      </c>
      <c r="I856" s="2987" t="s">
        <v>3486</v>
      </c>
      <c r="J856" s="2987" t="s">
        <v>3602</v>
      </c>
      <c r="K856" s="2988">
        <v>111.01</v>
      </c>
    </row>
    <row r="857" spans="2:11" ht="18" customHeight="1">
      <c r="B857" s="2986">
        <v>821</v>
      </c>
      <c r="C857" s="2987" t="s">
        <v>3482</v>
      </c>
      <c r="D857" s="2987" t="s">
        <v>3594</v>
      </c>
      <c r="E857" s="2987" t="s">
        <v>4239</v>
      </c>
      <c r="F857" s="2987">
        <v>2</v>
      </c>
      <c r="G857" s="2987">
        <v>1001</v>
      </c>
      <c r="H857" s="2987" t="s">
        <v>4324</v>
      </c>
      <c r="I857" s="2987" t="s">
        <v>3486</v>
      </c>
      <c r="J857" s="2987" t="s">
        <v>3602</v>
      </c>
      <c r="K857" s="2988">
        <v>111.01</v>
      </c>
    </row>
    <row r="858" spans="2:11" ht="18" customHeight="1">
      <c r="B858" s="2986">
        <v>822</v>
      </c>
      <c r="C858" s="2987" t="s">
        <v>3482</v>
      </c>
      <c r="D858" s="2987" t="s">
        <v>3594</v>
      </c>
      <c r="E858" s="2987" t="s">
        <v>4239</v>
      </c>
      <c r="F858" s="2987">
        <v>2</v>
      </c>
      <c r="G858" s="2987">
        <v>1002</v>
      </c>
      <c r="H858" s="2987" t="s">
        <v>4325</v>
      </c>
      <c r="I858" s="2987" t="s">
        <v>3486</v>
      </c>
      <c r="J858" s="2987" t="s">
        <v>3599</v>
      </c>
      <c r="K858" s="2988">
        <v>96.17</v>
      </c>
    </row>
    <row r="859" spans="2:11" ht="18" customHeight="1">
      <c r="B859" s="2986">
        <v>823</v>
      </c>
      <c r="C859" s="2987" t="s">
        <v>3482</v>
      </c>
      <c r="D859" s="2987" t="s">
        <v>3594</v>
      </c>
      <c r="E859" s="2987" t="s">
        <v>4239</v>
      </c>
      <c r="F859" s="2987">
        <v>2</v>
      </c>
      <c r="G859" s="2987">
        <v>1003</v>
      </c>
      <c r="H859" s="2987" t="s">
        <v>4326</v>
      </c>
      <c r="I859" s="2987" t="s">
        <v>3486</v>
      </c>
      <c r="J859" s="2987" t="s">
        <v>3599</v>
      </c>
      <c r="K859" s="2988">
        <v>96.17</v>
      </c>
    </row>
    <row r="860" spans="2:11" ht="18" customHeight="1">
      <c r="B860" s="2986">
        <v>824</v>
      </c>
      <c r="C860" s="2987" t="s">
        <v>3482</v>
      </c>
      <c r="D860" s="2987" t="s">
        <v>3594</v>
      </c>
      <c r="E860" s="2987" t="s">
        <v>4239</v>
      </c>
      <c r="F860" s="2987">
        <v>2</v>
      </c>
      <c r="G860" s="2987">
        <v>1004</v>
      </c>
      <c r="H860" s="2987" t="s">
        <v>4327</v>
      </c>
      <c r="I860" s="2987" t="s">
        <v>3486</v>
      </c>
      <c r="J860" s="2987" t="s">
        <v>3597</v>
      </c>
      <c r="K860" s="2988">
        <v>128.26</v>
      </c>
    </row>
    <row r="861" spans="2:11" ht="18" customHeight="1">
      <c r="B861" s="2986">
        <v>825</v>
      </c>
      <c r="C861" s="2987" t="s">
        <v>3482</v>
      </c>
      <c r="D861" s="2987" t="s">
        <v>3594</v>
      </c>
      <c r="E861" s="2987" t="s">
        <v>4239</v>
      </c>
      <c r="F861" s="2987">
        <v>2</v>
      </c>
      <c r="G861" s="2987">
        <v>101</v>
      </c>
      <c r="H861" s="2987" t="s">
        <v>4328</v>
      </c>
      <c r="I861" s="2987" t="s">
        <v>3486</v>
      </c>
      <c r="J861" s="2987" t="s">
        <v>3602</v>
      </c>
      <c r="K861" s="2988">
        <v>111.01</v>
      </c>
    </row>
    <row r="862" spans="2:11" ht="18" customHeight="1">
      <c r="B862" s="2986">
        <v>826</v>
      </c>
      <c r="C862" s="2987" t="s">
        <v>3482</v>
      </c>
      <c r="D862" s="2987" t="s">
        <v>3594</v>
      </c>
      <c r="E862" s="2987" t="s">
        <v>4239</v>
      </c>
      <c r="F862" s="2987">
        <v>2</v>
      </c>
      <c r="G862" s="2987">
        <v>102</v>
      </c>
      <c r="H862" s="2987" t="s">
        <v>4329</v>
      </c>
      <c r="I862" s="2987" t="s">
        <v>3486</v>
      </c>
      <c r="J862" s="2987" t="s">
        <v>3599</v>
      </c>
      <c r="K862" s="2988">
        <v>96.17</v>
      </c>
    </row>
    <row r="863" spans="2:11" ht="18" customHeight="1">
      <c r="B863" s="2986">
        <v>827</v>
      </c>
      <c r="C863" s="2987" t="s">
        <v>3482</v>
      </c>
      <c r="D863" s="2987" t="s">
        <v>3594</v>
      </c>
      <c r="E863" s="2987" t="s">
        <v>4239</v>
      </c>
      <c r="F863" s="2987">
        <v>2</v>
      </c>
      <c r="G863" s="2987">
        <v>103</v>
      </c>
      <c r="H863" s="2987" t="s">
        <v>4330</v>
      </c>
      <c r="I863" s="2987" t="s">
        <v>3486</v>
      </c>
      <c r="J863" s="2987" t="s">
        <v>3599</v>
      </c>
      <c r="K863" s="2988">
        <v>96.17</v>
      </c>
    </row>
    <row r="864" spans="2:11" ht="18" customHeight="1">
      <c r="B864" s="2986">
        <v>828</v>
      </c>
      <c r="C864" s="2987" t="s">
        <v>3482</v>
      </c>
      <c r="D864" s="2987" t="s">
        <v>3594</v>
      </c>
      <c r="E864" s="2987" t="s">
        <v>4239</v>
      </c>
      <c r="F864" s="2987">
        <v>2</v>
      </c>
      <c r="G864" s="2987">
        <v>104</v>
      </c>
      <c r="H864" s="2987" t="s">
        <v>4331</v>
      </c>
      <c r="I864" s="2987" t="s">
        <v>3486</v>
      </c>
      <c r="J864" s="2987" t="s">
        <v>3597</v>
      </c>
      <c r="K864" s="2988">
        <v>128.26</v>
      </c>
    </row>
    <row r="865" spans="2:11" ht="18" customHeight="1">
      <c r="B865" s="2986">
        <v>829</v>
      </c>
      <c r="C865" s="2987" t="s">
        <v>3482</v>
      </c>
      <c r="D865" s="2987" t="s">
        <v>3594</v>
      </c>
      <c r="E865" s="2987" t="s">
        <v>4239</v>
      </c>
      <c r="F865" s="2987">
        <v>2</v>
      </c>
      <c r="G865" s="2987">
        <v>1101</v>
      </c>
      <c r="H865" s="2987" t="s">
        <v>4332</v>
      </c>
      <c r="I865" s="2987" t="s">
        <v>3486</v>
      </c>
      <c r="J865" s="2987" t="s">
        <v>3602</v>
      </c>
      <c r="K865" s="2988">
        <v>111.01</v>
      </c>
    </row>
    <row r="866" spans="2:11" ht="18" customHeight="1">
      <c r="B866" s="2986">
        <v>830</v>
      </c>
      <c r="C866" s="2987" t="s">
        <v>3482</v>
      </c>
      <c r="D866" s="2987" t="s">
        <v>3594</v>
      </c>
      <c r="E866" s="2987" t="s">
        <v>4239</v>
      </c>
      <c r="F866" s="2987">
        <v>2</v>
      </c>
      <c r="G866" s="2987">
        <v>1102</v>
      </c>
      <c r="H866" s="2987" t="s">
        <v>4333</v>
      </c>
      <c r="I866" s="2987" t="s">
        <v>3486</v>
      </c>
      <c r="J866" s="2987" t="s">
        <v>3599</v>
      </c>
      <c r="K866" s="2988">
        <v>96.17</v>
      </c>
    </row>
    <row r="867" spans="2:11" ht="18" customHeight="1">
      <c r="B867" s="2986">
        <v>831</v>
      </c>
      <c r="C867" s="2987" t="s">
        <v>3482</v>
      </c>
      <c r="D867" s="2987" t="s">
        <v>3594</v>
      </c>
      <c r="E867" s="2987" t="s">
        <v>4239</v>
      </c>
      <c r="F867" s="2987">
        <v>2</v>
      </c>
      <c r="G867" s="2987">
        <v>1103</v>
      </c>
      <c r="H867" s="2987" t="s">
        <v>4334</v>
      </c>
      <c r="I867" s="2987" t="s">
        <v>3486</v>
      </c>
      <c r="J867" s="2987" t="s">
        <v>3599</v>
      </c>
      <c r="K867" s="2988">
        <v>96.17</v>
      </c>
    </row>
    <row r="868" spans="2:11" ht="18" customHeight="1">
      <c r="B868" s="2986">
        <v>832</v>
      </c>
      <c r="C868" s="2987" t="s">
        <v>3482</v>
      </c>
      <c r="D868" s="2987" t="s">
        <v>3594</v>
      </c>
      <c r="E868" s="2987" t="s">
        <v>4239</v>
      </c>
      <c r="F868" s="2987">
        <v>2</v>
      </c>
      <c r="G868" s="2987">
        <v>1104</v>
      </c>
      <c r="H868" s="2987" t="s">
        <v>4335</v>
      </c>
      <c r="I868" s="2987" t="s">
        <v>3486</v>
      </c>
      <c r="J868" s="2987" t="s">
        <v>3597</v>
      </c>
      <c r="K868" s="2988">
        <v>128.26</v>
      </c>
    </row>
    <row r="869" spans="2:11" ht="18" customHeight="1">
      <c r="B869" s="2986">
        <v>833</v>
      </c>
      <c r="C869" s="2987" t="s">
        <v>3482</v>
      </c>
      <c r="D869" s="2987" t="s">
        <v>3594</v>
      </c>
      <c r="E869" s="2987" t="s">
        <v>4239</v>
      </c>
      <c r="F869" s="2987">
        <v>2</v>
      </c>
      <c r="G869" s="2987">
        <v>1201</v>
      </c>
      <c r="H869" s="2987" t="s">
        <v>4336</v>
      </c>
      <c r="I869" s="2987" t="s">
        <v>3486</v>
      </c>
      <c r="J869" s="2987" t="s">
        <v>3602</v>
      </c>
      <c r="K869" s="2988">
        <v>111.01</v>
      </c>
    </row>
    <row r="870" spans="2:11" ht="18" customHeight="1">
      <c r="B870" s="2986">
        <v>834</v>
      </c>
      <c r="C870" s="2987" t="s">
        <v>3482</v>
      </c>
      <c r="D870" s="2987" t="s">
        <v>3594</v>
      </c>
      <c r="E870" s="2987" t="s">
        <v>4239</v>
      </c>
      <c r="F870" s="2987">
        <v>2</v>
      </c>
      <c r="G870" s="2987">
        <v>1202</v>
      </c>
      <c r="H870" s="2987" t="s">
        <v>4337</v>
      </c>
      <c r="I870" s="2987" t="s">
        <v>3486</v>
      </c>
      <c r="J870" s="2987" t="s">
        <v>3599</v>
      </c>
      <c r="K870" s="2988">
        <v>96.17</v>
      </c>
    </row>
    <row r="871" spans="2:11" ht="18" customHeight="1">
      <c r="B871" s="2986">
        <v>835</v>
      </c>
      <c r="C871" s="2987" t="s">
        <v>3482</v>
      </c>
      <c r="D871" s="2987" t="s">
        <v>3594</v>
      </c>
      <c r="E871" s="2987" t="s">
        <v>4239</v>
      </c>
      <c r="F871" s="2987">
        <v>2</v>
      </c>
      <c r="G871" s="2987">
        <v>1203</v>
      </c>
      <c r="H871" s="2987" t="s">
        <v>4338</v>
      </c>
      <c r="I871" s="2987" t="s">
        <v>3486</v>
      </c>
      <c r="J871" s="2987" t="s">
        <v>3599</v>
      </c>
      <c r="K871" s="2988">
        <v>96.17</v>
      </c>
    </row>
    <row r="872" spans="2:11" ht="18" customHeight="1">
      <c r="B872" s="2986">
        <v>836</v>
      </c>
      <c r="C872" s="2987" t="s">
        <v>3482</v>
      </c>
      <c r="D872" s="2987" t="s">
        <v>3594</v>
      </c>
      <c r="E872" s="2987" t="s">
        <v>4239</v>
      </c>
      <c r="F872" s="2987">
        <v>2</v>
      </c>
      <c r="G872" s="2987">
        <v>1204</v>
      </c>
      <c r="H872" s="2987" t="s">
        <v>4339</v>
      </c>
      <c r="I872" s="2987" t="s">
        <v>3486</v>
      </c>
      <c r="J872" s="2987" t="s">
        <v>3597</v>
      </c>
      <c r="K872" s="2988">
        <v>128.26</v>
      </c>
    </row>
    <row r="873" spans="2:11" ht="18" customHeight="1">
      <c r="B873" s="2986">
        <v>837</v>
      </c>
      <c r="C873" s="2987" t="s">
        <v>3482</v>
      </c>
      <c r="D873" s="2987" t="s">
        <v>3594</v>
      </c>
      <c r="E873" s="2987" t="s">
        <v>4239</v>
      </c>
      <c r="F873" s="2987">
        <v>2</v>
      </c>
      <c r="G873" s="2987">
        <v>1301</v>
      </c>
      <c r="H873" s="2987" t="s">
        <v>4340</v>
      </c>
      <c r="I873" s="2987" t="s">
        <v>3486</v>
      </c>
      <c r="J873" s="2987" t="s">
        <v>3602</v>
      </c>
      <c r="K873" s="2988">
        <v>111.01</v>
      </c>
    </row>
    <row r="874" spans="2:11" ht="18" customHeight="1">
      <c r="B874" s="2986">
        <v>838</v>
      </c>
      <c r="C874" s="2987" t="s">
        <v>3482</v>
      </c>
      <c r="D874" s="2987" t="s">
        <v>3594</v>
      </c>
      <c r="E874" s="2987" t="s">
        <v>4239</v>
      </c>
      <c r="F874" s="2987">
        <v>2</v>
      </c>
      <c r="G874" s="2987">
        <v>1302</v>
      </c>
      <c r="H874" s="2987" t="s">
        <v>4341</v>
      </c>
      <c r="I874" s="2987" t="s">
        <v>3486</v>
      </c>
      <c r="J874" s="2987" t="s">
        <v>3599</v>
      </c>
      <c r="K874" s="2988">
        <v>96.17</v>
      </c>
    </row>
    <row r="875" spans="2:11" ht="18" customHeight="1">
      <c r="B875" s="2986">
        <v>839</v>
      </c>
      <c r="C875" s="2987" t="s">
        <v>3482</v>
      </c>
      <c r="D875" s="2987" t="s">
        <v>3594</v>
      </c>
      <c r="E875" s="2987" t="s">
        <v>4239</v>
      </c>
      <c r="F875" s="2987">
        <v>2</v>
      </c>
      <c r="G875" s="2987">
        <v>1303</v>
      </c>
      <c r="H875" s="2987" t="s">
        <v>4342</v>
      </c>
      <c r="I875" s="2987" t="s">
        <v>3486</v>
      </c>
      <c r="J875" s="2987" t="s">
        <v>3599</v>
      </c>
      <c r="K875" s="2988">
        <v>96.17</v>
      </c>
    </row>
    <row r="876" spans="2:11" ht="18" customHeight="1">
      <c r="B876" s="2986">
        <v>840</v>
      </c>
      <c r="C876" s="2987" t="s">
        <v>3482</v>
      </c>
      <c r="D876" s="2987" t="s">
        <v>3594</v>
      </c>
      <c r="E876" s="2987" t="s">
        <v>4239</v>
      </c>
      <c r="F876" s="2987">
        <v>2</v>
      </c>
      <c r="G876" s="2987">
        <v>1304</v>
      </c>
      <c r="H876" s="2987" t="s">
        <v>4343</v>
      </c>
      <c r="I876" s="2987" t="s">
        <v>3486</v>
      </c>
      <c r="J876" s="2987" t="s">
        <v>3597</v>
      </c>
      <c r="K876" s="2988">
        <v>128.26</v>
      </c>
    </row>
    <row r="877" spans="2:11" ht="18" customHeight="1">
      <c r="B877" s="2986">
        <v>841</v>
      </c>
      <c r="C877" s="2987" t="s">
        <v>3482</v>
      </c>
      <c r="D877" s="2987" t="s">
        <v>3594</v>
      </c>
      <c r="E877" s="2987" t="s">
        <v>4239</v>
      </c>
      <c r="F877" s="2987">
        <v>2</v>
      </c>
      <c r="G877" s="2987">
        <v>1401</v>
      </c>
      <c r="H877" s="2987" t="s">
        <v>4344</v>
      </c>
      <c r="I877" s="2987" t="s">
        <v>3486</v>
      </c>
      <c r="J877" s="2987" t="s">
        <v>3602</v>
      </c>
      <c r="K877" s="2988">
        <v>111.01</v>
      </c>
    </row>
    <row r="878" spans="2:11" ht="18" customHeight="1">
      <c r="B878" s="2986">
        <v>842</v>
      </c>
      <c r="C878" s="2987" t="s">
        <v>3482</v>
      </c>
      <c r="D878" s="2987" t="s">
        <v>3594</v>
      </c>
      <c r="E878" s="2987" t="s">
        <v>4239</v>
      </c>
      <c r="F878" s="2987">
        <v>2</v>
      </c>
      <c r="G878" s="2987">
        <v>1402</v>
      </c>
      <c r="H878" s="2987" t="s">
        <v>4345</v>
      </c>
      <c r="I878" s="2987" t="s">
        <v>3486</v>
      </c>
      <c r="J878" s="2987" t="s">
        <v>3599</v>
      </c>
      <c r="K878" s="2988">
        <v>96.17</v>
      </c>
    </row>
    <row r="879" spans="2:11" ht="18" customHeight="1">
      <c r="B879" s="2986">
        <v>843</v>
      </c>
      <c r="C879" s="2987" t="s">
        <v>3482</v>
      </c>
      <c r="D879" s="2987" t="s">
        <v>3594</v>
      </c>
      <c r="E879" s="2987" t="s">
        <v>4239</v>
      </c>
      <c r="F879" s="2987">
        <v>2</v>
      </c>
      <c r="G879" s="2987">
        <v>1403</v>
      </c>
      <c r="H879" s="2987" t="s">
        <v>4346</v>
      </c>
      <c r="I879" s="2987" t="s">
        <v>3486</v>
      </c>
      <c r="J879" s="2987" t="s">
        <v>3599</v>
      </c>
      <c r="K879" s="2988">
        <v>96.17</v>
      </c>
    </row>
    <row r="880" spans="2:11" ht="18" customHeight="1">
      <c r="B880" s="2986">
        <v>844</v>
      </c>
      <c r="C880" s="2987" t="s">
        <v>3482</v>
      </c>
      <c r="D880" s="2987" t="s">
        <v>3594</v>
      </c>
      <c r="E880" s="2987" t="s">
        <v>4239</v>
      </c>
      <c r="F880" s="2987">
        <v>2</v>
      </c>
      <c r="G880" s="2987">
        <v>1404</v>
      </c>
      <c r="H880" s="2987" t="s">
        <v>4347</v>
      </c>
      <c r="I880" s="2987" t="s">
        <v>3486</v>
      </c>
      <c r="J880" s="2987" t="s">
        <v>3597</v>
      </c>
      <c r="K880" s="2988">
        <v>128.26</v>
      </c>
    </row>
    <row r="881" spans="2:11" ht="18" customHeight="1">
      <c r="B881" s="2986">
        <v>845</v>
      </c>
      <c r="C881" s="2987" t="s">
        <v>3482</v>
      </c>
      <c r="D881" s="2987" t="s">
        <v>3594</v>
      </c>
      <c r="E881" s="2987" t="s">
        <v>4239</v>
      </c>
      <c r="F881" s="2987">
        <v>2</v>
      </c>
      <c r="G881" s="2987">
        <v>1501</v>
      </c>
      <c r="H881" s="2987" t="s">
        <v>4348</v>
      </c>
      <c r="I881" s="2987" t="s">
        <v>3486</v>
      </c>
      <c r="J881" s="2987" t="s">
        <v>3602</v>
      </c>
      <c r="K881" s="2988">
        <v>111.01</v>
      </c>
    </row>
    <row r="882" spans="2:11" ht="18" customHeight="1">
      <c r="B882" s="2986">
        <v>846</v>
      </c>
      <c r="C882" s="2987" t="s">
        <v>3482</v>
      </c>
      <c r="D882" s="2987" t="s">
        <v>3594</v>
      </c>
      <c r="E882" s="2987" t="s">
        <v>4239</v>
      </c>
      <c r="F882" s="2987">
        <v>2</v>
      </c>
      <c r="G882" s="2987">
        <v>1502</v>
      </c>
      <c r="H882" s="2987" t="s">
        <v>4349</v>
      </c>
      <c r="I882" s="2987" t="s">
        <v>3486</v>
      </c>
      <c r="J882" s="2987" t="s">
        <v>3599</v>
      </c>
      <c r="K882" s="2988">
        <v>96.17</v>
      </c>
    </row>
    <row r="883" spans="2:11" ht="18" customHeight="1">
      <c r="B883" s="2986">
        <v>847</v>
      </c>
      <c r="C883" s="2987" t="s">
        <v>3482</v>
      </c>
      <c r="D883" s="2987" t="s">
        <v>3594</v>
      </c>
      <c r="E883" s="2987" t="s">
        <v>4239</v>
      </c>
      <c r="F883" s="2987">
        <v>2</v>
      </c>
      <c r="G883" s="2987">
        <v>1503</v>
      </c>
      <c r="H883" s="2987" t="s">
        <v>4350</v>
      </c>
      <c r="I883" s="2987" t="s">
        <v>3486</v>
      </c>
      <c r="J883" s="2987" t="s">
        <v>3599</v>
      </c>
      <c r="K883" s="2988">
        <v>96.17</v>
      </c>
    </row>
    <row r="884" spans="2:11" ht="18" customHeight="1">
      <c r="B884" s="2986">
        <v>848</v>
      </c>
      <c r="C884" s="2987" t="s">
        <v>3482</v>
      </c>
      <c r="D884" s="2987" t="s">
        <v>3594</v>
      </c>
      <c r="E884" s="2987" t="s">
        <v>4239</v>
      </c>
      <c r="F884" s="2987">
        <v>2</v>
      </c>
      <c r="G884" s="2987">
        <v>1504</v>
      </c>
      <c r="H884" s="2987" t="s">
        <v>4351</v>
      </c>
      <c r="I884" s="2987" t="s">
        <v>3486</v>
      </c>
      <c r="J884" s="2987" t="s">
        <v>3597</v>
      </c>
      <c r="K884" s="2988">
        <v>128.26</v>
      </c>
    </row>
    <row r="885" spans="2:11" ht="18" customHeight="1">
      <c r="B885" s="2986">
        <v>849</v>
      </c>
      <c r="C885" s="2987" t="s">
        <v>3482</v>
      </c>
      <c r="D885" s="2987" t="s">
        <v>3594</v>
      </c>
      <c r="E885" s="2987" t="s">
        <v>4239</v>
      </c>
      <c r="F885" s="2987">
        <v>2</v>
      </c>
      <c r="G885" s="2987">
        <v>1601</v>
      </c>
      <c r="H885" s="2987" t="s">
        <v>4352</v>
      </c>
      <c r="I885" s="2987" t="s">
        <v>3486</v>
      </c>
      <c r="J885" s="2987" t="s">
        <v>3602</v>
      </c>
      <c r="K885" s="2988">
        <v>111.01</v>
      </c>
    </row>
    <row r="886" spans="2:11" ht="18" customHeight="1">
      <c r="B886" s="2986">
        <v>850</v>
      </c>
      <c r="C886" s="2987" t="s">
        <v>3482</v>
      </c>
      <c r="D886" s="2987" t="s">
        <v>3594</v>
      </c>
      <c r="E886" s="2987" t="s">
        <v>4239</v>
      </c>
      <c r="F886" s="2987">
        <v>2</v>
      </c>
      <c r="G886" s="2987">
        <v>1602</v>
      </c>
      <c r="H886" s="2987" t="s">
        <v>4353</v>
      </c>
      <c r="I886" s="2987" t="s">
        <v>3486</v>
      </c>
      <c r="J886" s="2987" t="s">
        <v>3599</v>
      </c>
      <c r="K886" s="2988">
        <v>96.17</v>
      </c>
    </row>
    <row r="887" spans="2:11" ht="18" customHeight="1">
      <c r="B887" s="2986">
        <v>851</v>
      </c>
      <c r="C887" s="2987" t="s">
        <v>3482</v>
      </c>
      <c r="D887" s="2987" t="s">
        <v>3594</v>
      </c>
      <c r="E887" s="2987" t="s">
        <v>4239</v>
      </c>
      <c r="F887" s="2987">
        <v>2</v>
      </c>
      <c r="G887" s="2987">
        <v>1603</v>
      </c>
      <c r="H887" s="2987" t="s">
        <v>4354</v>
      </c>
      <c r="I887" s="2987" t="s">
        <v>3486</v>
      </c>
      <c r="J887" s="2987" t="s">
        <v>3599</v>
      </c>
      <c r="K887" s="2988">
        <v>96.17</v>
      </c>
    </row>
    <row r="888" spans="2:11" ht="18" customHeight="1">
      <c r="B888" s="2986">
        <v>852</v>
      </c>
      <c r="C888" s="2987" t="s">
        <v>3482</v>
      </c>
      <c r="D888" s="2987" t="s">
        <v>3594</v>
      </c>
      <c r="E888" s="2987" t="s">
        <v>4239</v>
      </c>
      <c r="F888" s="2987">
        <v>2</v>
      </c>
      <c r="G888" s="2987">
        <v>1604</v>
      </c>
      <c r="H888" s="2987" t="s">
        <v>4355</v>
      </c>
      <c r="I888" s="2987" t="s">
        <v>3486</v>
      </c>
      <c r="J888" s="2987" t="s">
        <v>3597</v>
      </c>
      <c r="K888" s="2988">
        <v>128.26</v>
      </c>
    </row>
    <row r="889" spans="2:11" ht="18" customHeight="1">
      <c r="B889" s="2986">
        <v>853</v>
      </c>
      <c r="C889" s="2987" t="s">
        <v>3482</v>
      </c>
      <c r="D889" s="2987" t="s">
        <v>3594</v>
      </c>
      <c r="E889" s="2987" t="s">
        <v>4239</v>
      </c>
      <c r="F889" s="2987">
        <v>2</v>
      </c>
      <c r="G889" s="2987">
        <v>1701</v>
      </c>
      <c r="H889" s="2987" t="s">
        <v>4356</v>
      </c>
      <c r="I889" s="2987" t="s">
        <v>3486</v>
      </c>
      <c r="J889" s="2987" t="s">
        <v>3602</v>
      </c>
      <c r="K889" s="2988">
        <v>111.01</v>
      </c>
    </row>
    <row r="890" spans="2:11" ht="18" customHeight="1">
      <c r="B890" s="2986">
        <v>854</v>
      </c>
      <c r="C890" s="2987" t="s">
        <v>3482</v>
      </c>
      <c r="D890" s="2987" t="s">
        <v>3594</v>
      </c>
      <c r="E890" s="2987" t="s">
        <v>4239</v>
      </c>
      <c r="F890" s="2987">
        <v>2</v>
      </c>
      <c r="G890" s="2987">
        <v>1702</v>
      </c>
      <c r="H890" s="2987" t="s">
        <v>4357</v>
      </c>
      <c r="I890" s="2987" t="s">
        <v>3486</v>
      </c>
      <c r="J890" s="2987" t="s">
        <v>3599</v>
      </c>
      <c r="K890" s="2988">
        <v>96.17</v>
      </c>
    </row>
    <row r="891" spans="2:11" ht="18" customHeight="1">
      <c r="B891" s="2986">
        <v>855</v>
      </c>
      <c r="C891" s="2987" t="s">
        <v>3482</v>
      </c>
      <c r="D891" s="2987" t="s">
        <v>3594</v>
      </c>
      <c r="E891" s="2987" t="s">
        <v>4239</v>
      </c>
      <c r="F891" s="2987">
        <v>2</v>
      </c>
      <c r="G891" s="2987">
        <v>1703</v>
      </c>
      <c r="H891" s="2987" t="s">
        <v>4358</v>
      </c>
      <c r="I891" s="2987" t="s">
        <v>3486</v>
      </c>
      <c r="J891" s="2987" t="s">
        <v>3599</v>
      </c>
      <c r="K891" s="2988">
        <v>96.17</v>
      </c>
    </row>
    <row r="892" spans="2:11" ht="18" customHeight="1">
      <c r="B892" s="2986">
        <v>856</v>
      </c>
      <c r="C892" s="2987" t="s">
        <v>3482</v>
      </c>
      <c r="D892" s="2987" t="s">
        <v>3594</v>
      </c>
      <c r="E892" s="2987" t="s">
        <v>4239</v>
      </c>
      <c r="F892" s="2987">
        <v>2</v>
      </c>
      <c r="G892" s="2987">
        <v>1704</v>
      </c>
      <c r="H892" s="2987" t="s">
        <v>4359</v>
      </c>
      <c r="I892" s="2987" t="s">
        <v>3486</v>
      </c>
      <c r="J892" s="2987" t="s">
        <v>3597</v>
      </c>
      <c r="K892" s="2988">
        <v>128.26</v>
      </c>
    </row>
    <row r="893" spans="2:11" ht="18" customHeight="1">
      <c r="B893" s="2986">
        <v>857</v>
      </c>
      <c r="C893" s="2987" t="s">
        <v>3482</v>
      </c>
      <c r="D893" s="2987" t="s">
        <v>3594</v>
      </c>
      <c r="E893" s="2987" t="s">
        <v>4239</v>
      </c>
      <c r="F893" s="2987">
        <v>2</v>
      </c>
      <c r="G893" s="2987">
        <v>1801</v>
      </c>
      <c r="H893" s="2987" t="s">
        <v>4360</v>
      </c>
      <c r="I893" s="2987" t="s">
        <v>3486</v>
      </c>
      <c r="J893" s="2987" t="s">
        <v>3602</v>
      </c>
      <c r="K893" s="2988">
        <v>111.01</v>
      </c>
    </row>
    <row r="894" spans="2:11" ht="18" customHeight="1">
      <c r="B894" s="2986">
        <v>858</v>
      </c>
      <c r="C894" s="2987" t="s">
        <v>3482</v>
      </c>
      <c r="D894" s="2987" t="s">
        <v>3594</v>
      </c>
      <c r="E894" s="2987" t="s">
        <v>4239</v>
      </c>
      <c r="F894" s="2987">
        <v>2</v>
      </c>
      <c r="G894" s="2987">
        <v>1802</v>
      </c>
      <c r="H894" s="2987" t="s">
        <v>4361</v>
      </c>
      <c r="I894" s="2987" t="s">
        <v>3486</v>
      </c>
      <c r="J894" s="2987" t="s">
        <v>3599</v>
      </c>
      <c r="K894" s="2988">
        <v>96.17</v>
      </c>
    </row>
    <row r="895" spans="2:11" ht="18" customHeight="1">
      <c r="B895" s="2986">
        <v>859</v>
      </c>
      <c r="C895" s="2987" t="s">
        <v>3482</v>
      </c>
      <c r="D895" s="2987" t="s">
        <v>3594</v>
      </c>
      <c r="E895" s="2987" t="s">
        <v>4239</v>
      </c>
      <c r="F895" s="2987">
        <v>2</v>
      </c>
      <c r="G895" s="2987">
        <v>1803</v>
      </c>
      <c r="H895" s="2987" t="s">
        <v>4362</v>
      </c>
      <c r="I895" s="2987" t="s">
        <v>3486</v>
      </c>
      <c r="J895" s="2987" t="s">
        <v>3599</v>
      </c>
      <c r="K895" s="2988">
        <v>96.17</v>
      </c>
    </row>
    <row r="896" spans="2:11" ht="18" customHeight="1">
      <c r="B896" s="2986">
        <v>860</v>
      </c>
      <c r="C896" s="2987" t="s">
        <v>3482</v>
      </c>
      <c r="D896" s="2987" t="s">
        <v>3594</v>
      </c>
      <c r="E896" s="2987" t="s">
        <v>4239</v>
      </c>
      <c r="F896" s="2987">
        <v>2</v>
      </c>
      <c r="G896" s="2987">
        <v>1804</v>
      </c>
      <c r="H896" s="2987" t="s">
        <v>4363</v>
      </c>
      <c r="I896" s="2987" t="s">
        <v>3486</v>
      </c>
      <c r="J896" s="2987" t="s">
        <v>3597</v>
      </c>
      <c r="K896" s="2988">
        <v>128.26</v>
      </c>
    </row>
    <row r="897" spans="2:11" ht="18" customHeight="1">
      <c r="B897" s="2986">
        <v>861</v>
      </c>
      <c r="C897" s="2987" t="s">
        <v>3482</v>
      </c>
      <c r="D897" s="2987" t="s">
        <v>3594</v>
      </c>
      <c r="E897" s="2987" t="s">
        <v>4239</v>
      </c>
      <c r="F897" s="2987">
        <v>2</v>
      </c>
      <c r="G897" s="2987">
        <v>1901</v>
      </c>
      <c r="H897" s="2987" t="s">
        <v>4364</v>
      </c>
      <c r="I897" s="2987" t="s">
        <v>3486</v>
      </c>
      <c r="J897" s="2987" t="s">
        <v>3602</v>
      </c>
      <c r="K897" s="2988">
        <v>111.01</v>
      </c>
    </row>
    <row r="898" spans="2:11" ht="18" customHeight="1">
      <c r="B898" s="2986">
        <v>862</v>
      </c>
      <c r="C898" s="2987" t="s">
        <v>3482</v>
      </c>
      <c r="D898" s="2987" t="s">
        <v>3594</v>
      </c>
      <c r="E898" s="2987" t="s">
        <v>4239</v>
      </c>
      <c r="F898" s="2987">
        <v>2</v>
      </c>
      <c r="G898" s="2987">
        <v>1902</v>
      </c>
      <c r="H898" s="2987" t="s">
        <v>4365</v>
      </c>
      <c r="I898" s="2987" t="s">
        <v>3486</v>
      </c>
      <c r="J898" s="2987" t="s">
        <v>3599</v>
      </c>
      <c r="K898" s="2988">
        <v>96.17</v>
      </c>
    </row>
    <row r="899" spans="2:11" ht="18" customHeight="1">
      <c r="B899" s="2986">
        <v>863</v>
      </c>
      <c r="C899" s="2987" t="s">
        <v>3482</v>
      </c>
      <c r="D899" s="2987" t="s">
        <v>3594</v>
      </c>
      <c r="E899" s="2987" t="s">
        <v>4239</v>
      </c>
      <c r="F899" s="2987">
        <v>2</v>
      </c>
      <c r="G899" s="2987">
        <v>1903</v>
      </c>
      <c r="H899" s="2987" t="s">
        <v>4366</v>
      </c>
      <c r="I899" s="2987" t="s">
        <v>3486</v>
      </c>
      <c r="J899" s="2987" t="s">
        <v>3599</v>
      </c>
      <c r="K899" s="2988">
        <v>96.17</v>
      </c>
    </row>
    <row r="900" spans="2:11" ht="18" customHeight="1">
      <c r="B900" s="2986">
        <v>864</v>
      </c>
      <c r="C900" s="2987" t="s">
        <v>3482</v>
      </c>
      <c r="D900" s="2987" t="s">
        <v>3594</v>
      </c>
      <c r="E900" s="2987" t="s">
        <v>4239</v>
      </c>
      <c r="F900" s="2987">
        <v>2</v>
      </c>
      <c r="G900" s="2987">
        <v>1904</v>
      </c>
      <c r="H900" s="2987" t="s">
        <v>4367</v>
      </c>
      <c r="I900" s="2987" t="s">
        <v>3486</v>
      </c>
      <c r="J900" s="2987" t="s">
        <v>3597</v>
      </c>
      <c r="K900" s="2988">
        <v>128.26</v>
      </c>
    </row>
    <row r="901" spans="2:11" ht="18" customHeight="1">
      <c r="B901" s="2986">
        <v>865</v>
      </c>
      <c r="C901" s="2987" t="s">
        <v>3482</v>
      </c>
      <c r="D901" s="2987" t="s">
        <v>3594</v>
      </c>
      <c r="E901" s="2987" t="s">
        <v>4239</v>
      </c>
      <c r="F901" s="2987">
        <v>2</v>
      </c>
      <c r="G901" s="2987">
        <v>2001</v>
      </c>
      <c r="H901" s="2987" t="s">
        <v>4368</v>
      </c>
      <c r="I901" s="2987" t="s">
        <v>3486</v>
      </c>
      <c r="J901" s="2987" t="s">
        <v>3602</v>
      </c>
      <c r="K901" s="2988">
        <v>111.01</v>
      </c>
    </row>
    <row r="902" spans="2:11" ht="18" customHeight="1">
      <c r="B902" s="2986">
        <v>866</v>
      </c>
      <c r="C902" s="2987" t="s">
        <v>3482</v>
      </c>
      <c r="D902" s="2987" t="s">
        <v>3594</v>
      </c>
      <c r="E902" s="2987" t="s">
        <v>4239</v>
      </c>
      <c r="F902" s="2987">
        <v>2</v>
      </c>
      <c r="G902" s="2987">
        <v>2002</v>
      </c>
      <c r="H902" s="2987" t="s">
        <v>4369</v>
      </c>
      <c r="I902" s="2987" t="s">
        <v>3486</v>
      </c>
      <c r="J902" s="2987" t="s">
        <v>3599</v>
      </c>
      <c r="K902" s="2988">
        <v>96.17</v>
      </c>
    </row>
    <row r="903" spans="2:11" ht="18" customHeight="1">
      <c r="B903" s="2986">
        <v>867</v>
      </c>
      <c r="C903" s="2987" t="s">
        <v>3482</v>
      </c>
      <c r="D903" s="2987" t="s">
        <v>3594</v>
      </c>
      <c r="E903" s="2987" t="s">
        <v>4239</v>
      </c>
      <c r="F903" s="2987">
        <v>2</v>
      </c>
      <c r="G903" s="2987">
        <v>2003</v>
      </c>
      <c r="H903" s="2987" t="s">
        <v>4370</v>
      </c>
      <c r="I903" s="2987" t="s">
        <v>3486</v>
      </c>
      <c r="J903" s="2987" t="s">
        <v>3599</v>
      </c>
      <c r="K903" s="2988">
        <v>96.17</v>
      </c>
    </row>
    <row r="904" spans="2:11" ht="18" customHeight="1">
      <c r="B904" s="2986">
        <v>868</v>
      </c>
      <c r="C904" s="2987" t="s">
        <v>3482</v>
      </c>
      <c r="D904" s="2987" t="s">
        <v>3594</v>
      </c>
      <c r="E904" s="2987" t="s">
        <v>4239</v>
      </c>
      <c r="F904" s="2987">
        <v>2</v>
      </c>
      <c r="G904" s="2987">
        <v>2004</v>
      </c>
      <c r="H904" s="2987" t="s">
        <v>4371</v>
      </c>
      <c r="I904" s="2987" t="s">
        <v>3486</v>
      </c>
      <c r="J904" s="2987" t="s">
        <v>3597</v>
      </c>
      <c r="K904" s="2988">
        <v>128.26</v>
      </c>
    </row>
    <row r="905" spans="2:11" ht="18" customHeight="1">
      <c r="B905" s="2986">
        <v>869</v>
      </c>
      <c r="C905" s="2987" t="s">
        <v>3482</v>
      </c>
      <c r="D905" s="2987" t="s">
        <v>3594</v>
      </c>
      <c r="E905" s="2987" t="s">
        <v>4239</v>
      </c>
      <c r="F905" s="2987">
        <v>2</v>
      </c>
      <c r="G905" s="2987">
        <v>201</v>
      </c>
      <c r="H905" s="2987" t="s">
        <v>4372</v>
      </c>
      <c r="I905" s="2987" t="s">
        <v>3486</v>
      </c>
      <c r="J905" s="2987" t="s">
        <v>3602</v>
      </c>
      <c r="K905" s="2988">
        <v>111.01</v>
      </c>
    </row>
    <row r="906" spans="2:11" ht="18" customHeight="1">
      <c r="B906" s="2986">
        <v>870</v>
      </c>
      <c r="C906" s="2987" t="s">
        <v>3482</v>
      </c>
      <c r="D906" s="2987" t="s">
        <v>3594</v>
      </c>
      <c r="E906" s="2987" t="s">
        <v>4239</v>
      </c>
      <c r="F906" s="2987">
        <v>2</v>
      </c>
      <c r="G906" s="2987">
        <v>202</v>
      </c>
      <c r="H906" s="2987" t="s">
        <v>4373</v>
      </c>
      <c r="I906" s="2987" t="s">
        <v>3486</v>
      </c>
      <c r="J906" s="2987" t="s">
        <v>3599</v>
      </c>
      <c r="K906" s="2988">
        <v>96.17</v>
      </c>
    </row>
    <row r="907" spans="2:11" ht="18" customHeight="1">
      <c r="B907" s="2986">
        <v>871</v>
      </c>
      <c r="C907" s="2987" t="s">
        <v>3482</v>
      </c>
      <c r="D907" s="2987" t="s">
        <v>3594</v>
      </c>
      <c r="E907" s="2987" t="s">
        <v>4239</v>
      </c>
      <c r="F907" s="2987">
        <v>2</v>
      </c>
      <c r="G907" s="2987">
        <v>203</v>
      </c>
      <c r="H907" s="2987" t="s">
        <v>4374</v>
      </c>
      <c r="I907" s="2987" t="s">
        <v>3486</v>
      </c>
      <c r="J907" s="2987" t="s">
        <v>3599</v>
      </c>
      <c r="K907" s="2988">
        <v>96.17</v>
      </c>
    </row>
    <row r="908" spans="2:11" ht="18" customHeight="1">
      <c r="B908" s="2986">
        <v>872</v>
      </c>
      <c r="C908" s="2987" t="s">
        <v>3482</v>
      </c>
      <c r="D908" s="2987" t="s">
        <v>3594</v>
      </c>
      <c r="E908" s="2987" t="s">
        <v>4239</v>
      </c>
      <c r="F908" s="2987">
        <v>2</v>
      </c>
      <c r="G908" s="2987">
        <v>204</v>
      </c>
      <c r="H908" s="2987" t="s">
        <v>4375</v>
      </c>
      <c r="I908" s="2987" t="s">
        <v>3486</v>
      </c>
      <c r="J908" s="2987" t="s">
        <v>3597</v>
      </c>
      <c r="K908" s="2988">
        <v>128.26</v>
      </c>
    </row>
    <row r="909" spans="2:11" ht="18" customHeight="1">
      <c r="B909" s="2986">
        <v>873</v>
      </c>
      <c r="C909" s="2987" t="s">
        <v>3482</v>
      </c>
      <c r="D909" s="2987" t="s">
        <v>3594</v>
      </c>
      <c r="E909" s="2987" t="s">
        <v>4239</v>
      </c>
      <c r="F909" s="2987">
        <v>2</v>
      </c>
      <c r="G909" s="2987">
        <v>2101</v>
      </c>
      <c r="H909" s="2987" t="s">
        <v>4376</v>
      </c>
      <c r="I909" s="2987" t="s">
        <v>3486</v>
      </c>
      <c r="J909" s="2987" t="s">
        <v>3602</v>
      </c>
      <c r="K909" s="2988">
        <v>111.01</v>
      </c>
    </row>
    <row r="910" spans="2:11" ht="18" customHeight="1">
      <c r="B910" s="2986">
        <v>874</v>
      </c>
      <c r="C910" s="2987" t="s">
        <v>3482</v>
      </c>
      <c r="D910" s="2987" t="s">
        <v>3594</v>
      </c>
      <c r="E910" s="2987" t="s">
        <v>4239</v>
      </c>
      <c r="F910" s="2987">
        <v>2</v>
      </c>
      <c r="G910" s="2987">
        <v>2102</v>
      </c>
      <c r="H910" s="2987" t="s">
        <v>4377</v>
      </c>
      <c r="I910" s="2987" t="s">
        <v>3486</v>
      </c>
      <c r="J910" s="2987" t="s">
        <v>3599</v>
      </c>
      <c r="K910" s="2988">
        <v>96.17</v>
      </c>
    </row>
    <row r="911" spans="2:11" ht="18" customHeight="1">
      <c r="B911" s="2986">
        <v>875</v>
      </c>
      <c r="C911" s="2987" t="s">
        <v>3482</v>
      </c>
      <c r="D911" s="2987" t="s">
        <v>3594</v>
      </c>
      <c r="E911" s="2987" t="s">
        <v>4239</v>
      </c>
      <c r="F911" s="2987">
        <v>2</v>
      </c>
      <c r="G911" s="2987">
        <v>2103</v>
      </c>
      <c r="H911" s="2987" t="s">
        <v>4378</v>
      </c>
      <c r="I911" s="2987" t="s">
        <v>3486</v>
      </c>
      <c r="J911" s="2987" t="s">
        <v>3599</v>
      </c>
      <c r="K911" s="2988">
        <v>96.17</v>
      </c>
    </row>
    <row r="912" spans="2:11" ht="18" customHeight="1">
      <c r="B912" s="2986">
        <v>876</v>
      </c>
      <c r="C912" s="2987" t="s">
        <v>3482</v>
      </c>
      <c r="D912" s="2987" t="s">
        <v>3594</v>
      </c>
      <c r="E912" s="2987" t="s">
        <v>4239</v>
      </c>
      <c r="F912" s="2987">
        <v>2</v>
      </c>
      <c r="G912" s="2987">
        <v>2104</v>
      </c>
      <c r="H912" s="2987" t="s">
        <v>4379</v>
      </c>
      <c r="I912" s="2987" t="s">
        <v>3486</v>
      </c>
      <c r="J912" s="2987" t="s">
        <v>3597</v>
      </c>
      <c r="K912" s="2988">
        <v>128.26</v>
      </c>
    </row>
    <row r="913" spans="2:11" ht="18" customHeight="1">
      <c r="B913" s="2986">
        <v>877</v>
      </c>
      <c r="C913" s="2987" t="s">
        <v>3482</v>
      </c>
      <c r="D913" s="2987" t="s">
        <v>3594</v>
      </c>
      <c r="E913" s="2987" t="s">
        <v>4239</v>
      </c>
      <c r="F913" s="2987">
        <v>2</v>
      </c>
      <c r="G913" s="2987">
        <v>301</v>
      </c>
      <c r="H913" s="2987" t="s">
        <v>4380</v>
      </c>
      <c r="I913" s="2987" t="s">
        <v>3486</v>
      </c>
      <c r="J913" s="2987" t="s">
        <v>3602</v>
      </c>
      <c r="K913" s="2988">
        <v>111.01</v>
      </c>
    </row>
    <row r="914" spans="2:11" ht="18" customHeight="1">
      <c r="B914" s="2986">
        <v>878</v>
      </c>
      <c r="C914" s="2987" t="s">
        <v>3482</v>
      </c>
      <c r="D914" s="2987" t="s">
        <v>3594</v>
      </c>
      <c r="E914" s="2987" t="s">
        <v>5386</v>
      </c>
      <c r="F914" s="2987">
        <v>2</v>
      </c>
      <c r="G914" s="2987">
        <v>302</v>
      </c>
      <c r="H914" s="2987" t="s">
        <v>4381</v>
      </c>
      <c r="I914" s="2987" t="s">
        <v>3486</v>
      </c>
      <c r="J914" s="2987" t="s">
        <v>3599</v>
      </c>
      <c r="K914" s="2988">
        <v>96.17</v>
      </c>
    </row>
    <row r="915" spans="2:11" ht="18" customHeight="1">
      <c r="B915" s="2986">
        <v>879</v>
      </c>
      <c r="C915" s="2987" t="s">
        <v>3482</v>
      </c>
      <c r="D915" s="2987" t="s">
        <v>3594</v>
      </c>
      <c r="E915" s="2987" t="s">
        <v>4239</v>
      </c>
      <c r="F915" s="2987">
        <v>2</v>
      </c>
      <c r="G915" s="2987">
        <v>303</v>
      </c>
      <c r="H915" s="2987" t="s">
        <v>4382</v>
      </c>
      <c r="I915" s="2987" t="s">
        <v>3486</v>
      </c>
      <c r="J915" s="2987" t="s">
        <v>3599</v>
      </c>
      <c r="K915" s="2988">
        <v>96.17</v>
      </c>
    </row>
    <row r="916" spans="2:11" ht="18" customHeight="1">
      <c r="B916" s="2986">
        <v>880</v>
      </c>
      <c r="C916" s="2987" t="s">
        <v>3482</v>
      </c>
      <c r="D916" s="2987" t="s">
        <v>3594</v>
      </c>
      <c r="E916" s="2987" t="s">
        <v>4239</v>
      </c>
      <c r="F916" s="2987">
        <v>2</v>
      </c>
      <c r="G916" s="2987">
        <v>304</v>
      </c>
      <c r="H916" s="2987" t="s">
        <v>4383</v>
      </c>
      <c r="I916" s="2987" t="s">
        <v>3486</v>
      </c>
      <c r="J916" s="2987" t="s">
        <v>3597</v>
      </c>
      <c r="K916" s="2988">
        <v>128.26</v>
      </c>
    </row>
    <row r="917" spans="2:11" ht="18" customHeight="1">
      <c r="B917" s="2986">
        <v>881</v>
      </c>
      <c r="C917" s="2987" t="s">
        <v>3482</v>
      </c>
      <c r="D917" s="2987" t="s">
        <v>3594</v>
      </c>
      <c r="E917" s="2987" t="s">
        <v>4239</v>
      </c>
      <c r="F917" s="2987">
        <v>2</v>
      </c>
      <c r="G917" s="2987">
        <v>401</v>
      </c>
      <c r="H917" s="2987" t="s">
        <v>4384</v>
      </c>
      <c r="I917" s="2987" t="s">
        <v>3486</v>
      </c>
      <c r="J917" s="2987" t="s">
        <v>3602</v>
      </c>
      <c r="K917" s="2988">
        <v>111.01</v>
      </c>
    </row>
    <row r="918" spans="2:11" ht="18" customHeight="1">
      <c r="B918" s="2986">
        <v>882</v>
      </c>
      <c r="C918" s="2987" t="s">
        <v>3482</v>
      </c>
      <c r="D918" s="2987" t="s">
        <v>3594</v>
      </c>
      <c r="E918" s="2987" t="s">
        <v>4239</v>
      </c>
      <c r="F918" s="2987">
        <v>2</v>
      </c>
      <c r="G918" s="2987">
        <v>402</v>
      </c>
      <c r="H918" s="2987" t="s">
        <v>4385</v>
      </c>
      <c r="I918" s="2987" t="s">
        <v>3486</v>
      </c>
      <c r="J918" s="2987" t="s">
        <v>3599</v>
      </c>
      <c r="K918" s="2988">
        <v>96.17</v>
      </c>
    </row>
    <row r="919" spans="2:11" ht="18" customHeight="1">
      <c r="B919" s="2986">
        <v>883</v>
      </c>
      <c r="C919" s="2987" t="s">
        <v>3482</v>
      </c>
      <c r="D919" s="2987" t="s">
        <v>3594</v>
      </c>
      <c r="E919" s="2987" t="s">
        <v>4239</v>
      </c>
      <c r="F919" s="2987">
        <v>2</v>
      </c>
      <c r="G919" s="2987">
        <v>403</v>
      </c>
      <c r="H919" s="2987" t="s">
        <v>4386</v>
      </c>
      <c r="I919" s="2987" t="s">
        <v>3486</v>
      </c>
      <c r="J919" s="2987" t="s">
        <v>3599</v>
      </c>
      <c r="K919" s="2988">
        <v>96.17</v>
      </c>
    </row>
    <row r="920" spans="2:11" ht="18" customHeight="1">
      <c r="B920" s="2986">
        <v>884</v>
      </c>
      <c r="C920" s="2987" t="s">
        <v>3482</v>
      </c>
      <c r="D920" s="2987" t="s">
        <v>3594</v>
      </c>
      <c r="E920" s="2987" t="s">
        <v>4239</v>
      </c>
      <c r="F920" s="2987">
        <v>2</v>
      </c>
      <c r="G920" s="2987">
        <v>404</v>
      </c>
      <c r="H920" s="2987" t="s">
        <v>4387</v>
      </c>
      <c r="I920" s="2987" t="s">
        <v>3486</v>
      </c>
      <c r="J920" s="2987" t="s">
        <v>3597</v>
      </c>
      <c r="K920" s="2988">
        <v>128.26</v>
      </c>
    </row>
    <row r="921" spans="2:11" ht="18" customHeight="1">
      <c r="B921" s="2986">
        <v>885</v>
      </c>
      <c r="C921" s="2987" t="s">
        <v>3482</v>
      </c>
      <c r="D921" s="2987" t="s">
        <v>3594</v>
      </c>
      <c r="E921" s="2987" t="s">
        <v>4239</v>
      </c>
      <c r="F921" s="2987">
        <v>2</v>
      </c>
      <c r="G921" s="2987">
        <v>501</v>
      </c>
      <c r="H921" s="2987" t="s">
        <v>4388</v>
      </c>
      <c r="I921" s="2987" t="s">
        <v>3486</v>
      </c>
      <c r="J921" s="2987" t="s">
        <v>3602</v>
      </c>
      <c r="K921" s="2988">
        <v>111.01</v>
      </c>
    </row>
    <row r="922" spans="2:11" ht="18" customHeight="1">
      <c r="B922" s="2986">
        <v>886</v>
      </c>
      <c r="C922" s="2987" t="s">
        <v>3482</v>
      </c>
      <c r="D922" s="2987" t="s">
        <v>3594</v>
      </c>
      <c r="E922" s="2987" t="s">
        <v>4239</v>
      </c>
      <c r="F922" s="2987">
        <v>2</v>
      </c>
      <c r="G922" s="2987">
        <v>502</v>
      </c>
      <c r="H922" s="2987" t="s">
        <v>4389</v>
      </c>
      <c r="I922" s="2987" t="s">
        <v>3486</v>
      </c>
      <c r="J922" s="2987" t="s">
        <v>3599</v>
      </c>
      <c r="K922" s="2988">
        <v>96.17</v>
      </c>
    </row>
    <row r="923" spans="2:11" ht="18" customHeight="1">
      <c r="B923" s="2986">
        <v>887</v>
      </c>
      <c r="C923" s="2987" t="s">
        <v>3482</v>
      </c>
      <c r="D923" s="2987" t="s">
        <v>3594</v>
      </c>
      <c r="E923" s="2987" t="s">
        <v>4239</v>
      </c>
      <c r="F923" s="2987">
        <v>2</v>
      </c>
      <c r="G923" s="2987">
        <v>503</v>
      </c>
      <c r="H923" s="2987" t="s">
        <v>4390</v>
      </c>
      <c r="I923" s="2987" t="s">
        <v>3486</v>
      </c>
      <c r="J923" s="2987" t="s">
        <v>3599</v>
      </c>
      <c r="K923" s="2988">
        <v>96.17</v>
      </c>
    </row>
    <row r="924" spans="2:11" ht="18" customHeight="1">
      <c r="B924" s="2986">
        <v>888</v>
      </c>
      <c r="C924" s="2987" t="s">
        <v>3482</v>
      </c>
      <c r="D924" s="2987" t="s">
        <v>3594</v>
      </c>
      <c r="E924" s="2987" t="s">
        <v>4239</v>
      </c>
      <c r="F924" s="2987">
        <v>2</v>
      </c>
      <c r="G924" s="2987">
        <v>504</v>
      </c>
      <c r="H924" s="2987" t="s">
        <v>4391</v>
      </c>
      <c r="I924" s="2987" t="s">
        <v>3486</v>
      </c>
      <c r="J924" s="2987" t="s">
        <v>3597</v>
      </c>
      <c r="K924" s="2988">
        <v>128.26</v>
      </c>
    </row>
    <row r="925" spans="2:11" ht="18" customHeight="1">
      <c r="B925" s="2986">
        <v>889</v>
      </c>
      <c r="C925" s="2987" t="s">
        <v>3482</v>
      </c>
      <c r="D925" s="2987" t="s">
        <v>3594</v>
      </c>
      <c r="E925" s="2987" t="s">
        <v>4239</v>
      </c>
      <c r="F925" s="2987">
        <v>2</v>
      </c>
      <c r="G925" s="2987">
        <v>601</v>
      </c>
      <c r="H925" s="2987" t="s">
        <v>4392</v>
      </c>
      <c r="I925" s="2987" t="s">
        <v>3486</v>
      </c>
      <c r="J925" s="2987" t="s">
        <v>3602</v>
      </c>
      <c r="K925" s="2988">
        <v>111.01</v>
      </c>
    </row>
    <row r="926" spans="2:11" ht="18" customHeight="1">
      <c r="B926" s="2986">
        <v>890</v>
      </c>
      <c r="C926" s="2987" t="s">
        <v>3482</v>
      </c>
      <c r="D926" s="2987" t="s">
        <v>3594</v>
      </c>
      <c r="E926" s="2987" t="s">
        <v>4239</v>
      </c>
      <c r="F926" s="2987">
        <v>2</v>
      </c>
      <c r="G926" s="2987">
        <v>602</v>
      </c>
      <c r="H926" s="2987" t="s">
        <v>4393</v>
      </c>
      <c r="I926" s="2987" t="s">
        <v>3486</v>
      </c>
      <c r="J926" s="2987" t="s">
        <v>3599</v>
      </c>
      <c r="K926" s="2988">
        <v>96.17</v>
      </c>
    </row>
    <row r="927" spans="2:11" ht="18" customHeight="1">
      <c r="B927" s="2986">
        <v>891</v>
      </c>
      <c r="C927" s="2987" t="s">
        <v>3482</v>
      </c>
      <c r="D927" s="2987" t="s">
        <v>3594</v>
      </c>
      <c r="E927" s="2987" t="s">
        <v>4239</v>
      </c>
      <c r="F927" s="2987">
        <v>2</v>
      </c>
      <c r="G927" s="2987">
        <v>603</v>
      </c>
      <c r="H927" s="2987" t="s">
        <v>4394</v>
      </c>
      <c r="I927" s="2987" t="s">
        <v>3486</v>
      </c>
      <c r="J927" s="2987" t="s">
        <v>3599</v>
      </c>
      <c r="K927" s="2988">
        <v>96.17</v>
      </c>
    </row>
    <row r="928" spans="2:11" ht="18" customHeight="1">
      <c r="B928" s="2986">
        <v>892</v>
      </c>
      <c r="C928" s="2987" t="s">
        <v>3482</v>
      </c>
      <c r="D928" s="2987" t="s">
        <v>3594</v>
      </c>
      <c r="E928" s="2987" t="s">
        <v>4239</v>
      </c>
      <c r="F928" s="2987">
        <v>2</v>
      </c>
      <c r="G928" s="2987">
        <v>604</v>
      </c>
      <c r="H928" s="2987" t="s">
        <v>4395</v>
      </c>
      <c r="I928" s="2987" t="s">
        <v>3486</v>
      </c>
      <c r="J928" s="2987" t="s">
        <v>3597</v>
      </c>
      <c r="K928" s="2988">
        <v>128.26</v>
      </c>
    </row>
    <row r="929" spans="2:11" ht="18" customHeight="1">
      <c r="B929" s="2986">
        <v>893</v>
      </c>
      <c r="C929" s="2987" t="s">
        <v>3482</v>
      </c>
      <c r="D929" s="2987" t="s">
        <v>3594</v>
      </c>
      <c r="E929" s="2987" t="s">
        <v>4239</v>
      </c>
      <c r="F929" s="2987">
        <v>2</v>
      </c>
      <c r="G929" s="2987">
        <v>701</v>
      </c>
      <c r="H929" s="2987" t="s">
        <v>4396</v>
      </c>
      <c r="I929" s="2987" t="s">
        <v>3486</v>
      </c>
      <c r="J929" s="2987" t="s">
        <v>3602</v>
      </c>
      <c r="K929" s="2988">
        <v>111.01</v>
      </c>
    </row>
    <row r="930" spans="2:11" ht="18" customHeight="1">
      <c r="B930" s="2986">
        <v>894</v>
      </c>
      <c r="C930" s="2987" t="s">
        <v>3482</v>
      </c>
      <c r="D930" s="2987" t="s">
        <v>3594</v>
      </c>
      <c r="E930" s="2987" t="s">
        <v>4239</v>
      </c>
      <c r="F930" s="2987">
        <v>2</v>
      </c>
      <c r="G930" s="2987">
        <v>702</v>
      </c>
      <c r="H930" s="2987" t="s">
        <v>4397</v>
      </c>
      <c r="I930" s="2987" t="s">
        <v>3486</v>
      </c>
      <c r="J930" s="2987" t="s">
        <v>3599</v>
      </c>
      <c r="K930" s="2988">
        <v>96.17</v>
      </c>
    </row>
    <row r="931" spans="2:11" ht="18" customHeight="1">
      <c r="B931" s="2986">
        <v>895</v>
      </c>
      <c r="C931" s="2987" t="s">
        <v>3482</v>
      </c>
      <c r="D931" s="2987" t="s">
        <v>3594</v>
      </c>
      <c r="E931" s="2987" t="s">
        <v>4239</v>
      </c>
      <c r="F931" s="2987">
        <v>2</v>
      </c>
      <c r="G931" s="2987">
        <v>703</v>
      </c>
      <c r="H931" s="2987" t="s">
        <v>4398</v>
      </c>
      <c r="I931" s="2987" t="s">
        <v>3486</v>
      </c>
      <c r="J931" s="2987" t="s">
        <v>3599</v>
      </c>
      <c r="K931" s="2988">
        <v>96.17</v>
      </c>
    </row>
    <row r="932" spans="2:11" ht="18" customHeight="1">
      <c r="B932" s="2986">
        <v>896</v>
      </c>
      <c r="C932" s="2987" t="s">
        <v>3482</v>
      </c>
      <c r="D932" s="2987" t="s">
        <v>3594</v>
      </c>
      <c r="E932" s="2987" t="s">
        <v>4239</v>
      </c>
      <c r="F932" s="2987">
        <v>2</v>
      </c>
      <c r="G932" s="2987">
        <v>704</v>
      </c>
      <c r="H932" s="2987" t="s">
        <v>4399</v>
      </c>
      <c r="I932" s="2987" t="s">
        <v>3486</v>
      </c>
      <c r="J932" s="2987" t="s">
        <v>3597</v>
      </c>
      <c r="K932" s="2988">
        <v>128.26</v>
      </c>
    </row>
    <row r="933" spans="2:11" ht="18" customHeight="1">
      <c r="B933" s="2986">
        <v>897</v>
      </c>
      <c r="C933" s="2987" t="s">
        <v>3482</v>
      </c>
      <c r="D933" s="2987" t="s">
        <v>3594</v>
      </c>
      <c r="E933" s="2987" t="s">
        <v>4239</v>
      </c>
      <c r="F933" s="2987">
        <v>2</v>
      </c>
      <c r="G933" s="2987">
        <v>801</v>
      </c>
      <c r="H933" s="2987" t="s">
        <v>4400</v>
      </c>
      <c r="I933" s="2987" t="s">
        <v>3486</v>
      </c>
      <c r="J933" s="2987" t="s">
        <v>3602</v>
      </c>
      <c r="K933" s="2988">
        <v>111.01</v>
      </c>
    </row>
    <row r="934" spans="2:11" ht="18" customHeight="1">
      <c r="B934" s="2986">
        <v>898</v>
      </c>
      <c r="C934" s="2987" t="s">
        <v>3482</v>
      </c>
      <c r="D934" s="2987" t="s">
        <v>3594</v>
      </c>
      <c r="E934" s="2987" t="s">
        <v>4239</v>
      </c>
      <c r="F934" s="2987">
        <v>2</v>
      </c>
      <c r="G934" s="2987">
        <v>802</v>
      </c>
      <c r="H934" s="2987" t="s">
        <v>4401</v>
      </c>
      <c r="I934" s="2987" t="s">
        <v>3486</v>
      </c>
      <c r="J934" s="2987" t="s">
        <v>3599</v>
      </c>
      <c r="K934" s="2988">
        <v>96.17</v>
      </c>
    </row>
    <row r="935" spans="2:11" ht="18" customHeight="1">
      <c r="B935" s="2986">
        <v>899</v>
      </c>
      <c r="C935" s="2987" t="s">
        <v>3482</v>
      </c>
      <c r="D935" s="2987" t="s">
        <v>3594</v>
      </c>
      <c r="E935" s="2987" t="s">
        <v>4239</v>
      </c>
      <c r="F935" s="2987">
        <v>2</v>
      </c>
      <c r="G935" s="2987">
        <v>803</v>
      </c>
      <c r="H935" s="2987" t="s">
        <v>4402</v>
      </c>
      <c r="I935" s="2987" t="s">
        <v>3486</v>
      </c>
      <c r="J935" s="2987" t="s">
        <v>3599</v>
      </c>
      <c r="K935" s="2988">
        <v>96.17</v>
      </c>
    </row>
    <row r="936" spans="2:11" ht="18" customHeight="1">
      <c r="B936" s="2986">
        <v>900</v>
      </c>
      <c r="C936" s="2987" t="s">
        <v>3482</v>
      </c>
      <c r="D936" s="2987" t="s">
        <v>3594</v>
      </c>
      <c r="E936" s="2987" t="s">
        <v>4239</v>
      </c>
      <c r="F936" s="2987">
        <v>2</v>
      </c>
      <c r="G936" s="2987">
        <v>804</v>
      </c>
      <c r="H936" s="2987" t="s">
        <v>4403</v>
      </c>
      <c r="I936" s="2987" t="s">
        <v>3486</v>
      </c>
      <c r="J936" s="2987" t="s">
        <v>3597</v>
      </c>
      <c r="K936" s="2988">
        <v>128.26</v>
      </c>
    </row>
    <row r="937" spans="2:11" ht="18" customHeight="1">
      <c r="B937" s="2986">
        <v>901</v>
      </c>
      <c r="C937" s="2987" t="s">
        <v>3482</v>
      </c>
      <c r="D937" s="2987" t="s">
        <v>3594</v>
      </c>
      <c r="E937" s="2987" t="s">
        <v>4239</v>
      </c>
      <c r="F937" s="2987">
        <v>2</v>
      </c>
      <c r="G937" s="2987">
        <v>901</v>
      </c>
      <c r="H937" s="2987" t="s">
        <v>4404</v>
      </c>
      <c r="I937" s="2987" t="s">
        <v>3486</v>
      </c>
      <c r="J937" s="2987" t="s">
        <v>3602</v>
      </c>
      <c r="K937" s="2988">
        <v>111.01</v>
      </c>
    </row>
    <row r="938" spans="2:11" ht="18" customHeight="1">
      <c r="B938" s="2986">
        <v>902</v>
      </c>
      <c r="C938" s="2987" t="s">
        <v>3482</v>
      </c>
      <c r="D938" s="2987" t="s">
        <v>3594</v>
      </c>
      <c r="E938" s="2987" t="s">
        <v>4239</v>
      </c>
      <c r="F938" s="2987">
        <v>2</v>
      </c>
      <c r="G938" s="2987">
        <v>902</v>
      </c>
      <c r="H938" s="2987" t="s">
        <v>4405</v>
      </c>
      <c r="I938" s="2987" t="s">
        <v>3486</v>
      </c>
      <c r="J938" s="2987" t="s">
        <v>3599</v>
      </c>
      <c r="K938" s="2988">
        <v>96.17</v>
      </c>
    </row>
    <row r="939" spans="2:11" ht="18" customHeight="1">
      <c r="B939" s="2986">
        <v>903</v>
      </c>
      <c r="C939" s="2987" t="s">
        <v>3482</v>
      </c>
      <c r="D939" s="2987" t="s">
        <v>3594</v>
      </c>
      <c r="E939" s="2987" t="s">
        <v>4239</v>
      </c>
      <c r="F939" s="2987">
        <v>2</v>
      </c>
      <c r="G939" s="2987">
        <v>903</v>
      </c>
      <c r="H939" s="2987" t="s">
        <v>4406</v>
      </c>
      <c r="I939" s="2987" t="s">
        <v>3486</v>
      </c>
      <c r="J939" s="2987" t="s">
        <v>3599</v>
      </c>
      <c r="K939" s="2988">
        <v>96.17</v>
      </c>
    </row>
    <row r="940" spans="2:11" ht="18" customHeight="1">
      <c r="B940" s="2986">
        <v>904</v>
      </c>
      <c r="C940" s="2987" t="s">
        <v>3482</v>
      </c>
      <c r="D940" s="2987" t="s">
        <v>3594</v>
      </c>
      <c r="E940" s="2987" t="s">
        <v>4239</v>
      </c>
      <c r="F940" s="2987">
        <v>2</v>
      </c>
      <c r="G940" s="2987">
        <v>904</v>
      </c>
      <c r="H940" s="2987" t="s">
        <v>4407</v>
      </c>
      <c r="I940" s="2987" t="s">
        <v>3486</v>
      </c>
      <c r="J940" s="2987" t="s">
        <v>3597</v>
      </c>
      <c r="K940" s="2988">
        <v>128.26</v>
      </c>
    </row>
    <row r="941" spans="2:11" s="3021" customFormat="1" ht="18" customHeight="1">
      <c r="B941" s="3018"/>
      <c r="C941" s="3019"/>
      <c r="D941" s="3019"/>
      <c r="E941" s="3019"/>
      <c r="F941" s="3019"/>
      <c r="G941" s="3019"/>
      <c r="H941" s="3019"/>
      <c r="I941" s="3019"/>
      <c r="J941" s="3019"/>
      <c r="K941" s="3020">
        <f>SUM(K773:K940)</f>
        <v>18127.619999999992</v>
      </c>
    </row>
    <row r="942" spans="2:11" ht="18" customHeight="1">
      <c r="B942" s="2986">
        <v>905</v>
      </c>
      <c r="C942" s="2987" t="s">
        <v>3482</v>
      </c>
      <c r="D942" s="2987" t="s">
        <v>3594</v>
      </c>
      <c r="E942" s="2987" t="s">
        <v>4408</v>
      </c>
      <c r="F942" s="2987">
        <v>1</v>
      </c>
      <c r="G942" s="2987">
        <v>1001</v>
      </c>
      <c r="H942" s="2987" t="s">
        <v>4409</v>
      </c>
      <c r="I942" s="2987" t="s">
        <v>3486</v>
      </c>
      <c r="J942" s="2987" t="s">
        <v>3597</v>
      </c>
      <c r="K942" s="2988">
        <v>128.26</v>
      </c>
    </row>
    <row r="943" spans="2:11" ht="18" customHeight="1">
      <c r="B943" s="2986">
        <v>906</v>
      </c>
      <c r="C943" s="2987" t="s">
        <v>3482</v>
      </c>
      <c r="D943" s="2987" t="s">
        <v>3594</v>
      </c>
      <c r="E943" s="2987" t="s">
        <v>4408</v>
      </c>
      <c r="F943" s="2987">
        <v>1</v>
      </c>
      <c r="G943" s="2987">
        <v>1002</v>
      </c>
      <c r="H943" s="2987" t="s">
        <v>4410</v>
      </c>
      <c r="I943" s="2987" t="s">
        <v>3486</v>
      </c>
      <c r="J943" s="2987" t="s">
        <v>3599</v>
      </c>
      <c r="K943" s="2988">
        <v>96.17</v>
      </c>
    </row>
    <row r="944" spans="2:11" ht="18" customHeight="1">
      <c r="B944" s="2986">
        <v>907</v>
      </c>
      <c r="C944" s="2987" t="s">
        <v>3482</v>
      </c>
      <c r="D944" s="2987" t="s">
        <v>3594</v>
      </c>
      <c r="E944" s="2987" t="s">
        <v>4408</v>
      </c>
      <c r="F944" s="2987">
        <v>1</v>
      </c>
      <c r="G944" s="2987">
        <v>1003</v>
      </c>
      <c r="H944" s="2987" t="s">
        <v>4411</v>
      </c>
      <c r="I944" s="2987" t="s">
        <v>3486</v>
      </c>
      <c r="J944" s="2987" t="s">
        <v>3599</v>
      </c>
      <c r="K944" s="2988">
        <v>96.17</v>
      </c>
    </row>
    <row r="945" spans="2:11" ht="18" customHeight="1">
      <c r="B945" s="2986">
        <v>908</v>
      </c>
      <c r="C945" s="2987" t="s">
        <v>3482</v>
      </c>
      <c r="D945" s="2987" t="s">
        <v>3594</v>
      </c>
      <c r="E945" s="2987" t="s">
        <v>4408</v>
      </c>
      <c r="F945" s="2987">
        <v>1</v>
      </c>
      <c r="G945" s="2987">
        <v>1004</v>
      </c>
      <c r="H945" s="2987" t="s">
        <v>4412</v>
      </c>
      <c r="I945" s="2987" t="s">
        <v>3486</v>
      </c>
      <c r="J945" s="2987" t="s">
        <v>3602</v>
      </c>
      <c r="K945" s="2988">
        <v>111.01</v>
      </c>
    </row>
    <row r="946" spans="2:11" ht="18" customHeight="1">
      <c r="B946" s="2986">
        <v>909</v>
      </c>
      <c r="C946" s="2987" t="s">
        <v>3482</v>
      </c>
      <c r="D946" s="2987" t="s">
        <v>3594</v>
      </c>
      <c r="E946" s="2987" t="s">
        <v>4408</v>
      </c>
      <c r="F946" s="2987">
        <v>1</v>
      </c>
      <c r="G946" s="2987">
        <v>101</v>
      </c>
      <c r="H946" s="2987" t="s">
        <v>4413</v>
      </c>
      <c r="I946" s="2987" t="s">
        <v>3486</v>
      </c>
      <c r="J946" s="2987" t="s">
        <v>3597</v>
      </c>
      <c r="K946" s="2988">
        <v>128.26</v>
      </c>
    </row>
    <row r="947" spans="2:11" ht="18" customHeight="1">
      <c r="B947" s="2986">
        <v>910</v>
      </c>
      <c r="C947" s="2987" t="s">
        <v>3482</v>
      </c>
      <c r="D947" s="2987" t="s">
        <v>3594</v>
      </c>
      <c r="E947" s="2987" t="s">
        <v>4408</v>
      </c>
      <c r="F947" s="2987">
        <v>1</v>
      </c>
      <c r="G947" s="2987">
        <v>102</v>
      </c>
      <c r="H947" s="2987" t="s">
        <v>4414</v>
      </c>
      <c r="I947" s="2987" t="s">
        <v>3486</v>
      </c>
      <c r="J947" s="2987" t="s">
        <v>3599</v>
      </c>
      <c r="K947" s="2988">
        <v>96.17</v>
      </c>
    </row>
    <row r="948" spans="2:11" ht="18" customHeight="1">
      <c r="B948" s="2986">
        <v>911</v>
      </c>
      <c r="C948" s="2987" t="s">
        <v>3482</v>
      </c>
      <c r="D948" s="2987" t="s">
        <v>3594</v>
      </c>
      <c r="E948" s="2987" t="s">
        <v>4408</v>
      </c>
      <c r="F948" s="2987">
        <v>1</v>
      </c>
      <c r="G948" s="2987">
        <v>103</v>
      </c>
      <c r="H948" s="2987" t="s">
        <v>4415</v>
      </c>
      <c r="I948" s="2987" t="s">
        <v>3486</v>
      </c>
      <c r="J948" s="2987" t="s">
        <v>3599</v>
      </c>
      <c r="K948" s="2988">
        <v>96.17</v>
      </c>
    </row>
    <row r="949" spans="2:11" ht="18" customHeight="1">
      <c r="B949" s="2986">
        <v>912</v>
      </c>
      <c r="C949" s="2987" t="s">
        <v>3482</v>
      </c>
      <c r="D949" s="2987" t="s">
        <v>3594</v>
      </c>
      <c r="E949" s="2987" t="s">
        <v>4408</v>
      </c>
      <c r="F949" s="2987">
        <v>1</v>
      </c>
      <c r="G949" s="2987">
        <v>104</v>
      </c>
      <c r="H949" s="2987" t="s">
        <v>4416</v>
      </c>
      <c r="I949" s="2987" t="s">
        <v>3486</v>
      </c>
      <c r="J949" s="2987" t="s">
        <v>3602</v>
      </c>
      <c r="K949" s="2988">
        <v>111.01</v>
      </c>
    </row>
    <row r="950" spans="2:11" ht="18" customHeight="1">
      <c r="B950" s="2986">
        <v>913</v>
      </c>
      <c r="C950" s="2987" t="s">
        <v>3482</v>
      </c>
      <c r="D950" s="2987" t="s">
        <v>3594</v>
      </c>
      <c r="E950" s="2987" t="s">
        <v>4408</v>
      </c>
      <c r="F950" s="2987">
        <v>1</v>
      </c>
      <c r="G950" s="2987">
        <v>1101</v>
      </c>
      <c r="H950" s="2987" t="s">
        <v>4417</v>
      </c>
      <c r="I950" s="2987" t="s">
        <v>3486</v>
      </c>
      <c r="J950" s="2987" t="s">
        <v>3597</v>
      </c>
      <c r="K950" s="2988">
        <v>128.26</v>
      </c>
    </row>
    <row r="951" spans="2:11" ht="18" customHeight="1">
      <c r="B951" s="2986">
        <v>914</v>
      </c>
      <c r="C951" s="2987" t="s">
        <v>3482</v>
      </c>
      <c r="D951" s="2987" t="s">
        <v>3594</v>
      </c>
      <c r="E951" s="2987" t="s">
        <v>4408</v>
      </c>
      <c r="F951" s="2987">
        <v>1</v>
      </c>
      <c r="G951" s="2987">
        <v>1102</v>
      </c>
      <c r="H951" s="2987" t="s">
        <v>4418</v>
      </c>
      <c r="I951" s="2987" t="s">
        <v>3486</v>
      </c>
      <c r="J951" s="2987" t="s">
        <v>3599</v>
      </c>
      <c r="K951" s="2988">
        <v>96.17</v>
      </c>
    </row>
    <row r="952" spans="2:11" ht="18" customHeight="1">
      <c r="B952" s="2986">
        <v>915</v>
      </c>
      <c r="C952" s="2987" t="s">
        <v>3482</v>
      </c>
      <c r="D952" s="2987" t="s">
        <v>3594</v>
      </c>
      <c r="E952" s="2987" t="s">
        <v>4408</v>
      </c>
      <c r="F952" s="2987">
        <v>1</v>
      </c>
      <c r="G952" s="2987">
        <v>1103</v>
      </c>
      <c r="H952" s="2987" t="s">
        <v>4419</v>
      </c>
      <c r="I952" s="2987" t="s">
        <v>3486</v>
      </c>
      <c r="J952" s="2987" t="s">
        <v>3599</v>
      </c>
      <c r="K952" s="2988">
        <v>96.17</v>
      </c>
    </row>
    <row r="953" spans="2:11" ht="18" customHeight="1">
      <c r="B953" s="2986">
        <v>916</v>
      </c>
      <c r="C953" s="2987" t="s">
        <v>3482</v>
      </c>
      <c r="D953" s="2987" t="s">
        <v>3594</v>
      </c>
      <c r="E953" s="2987" t="s">
        <v>4408</v>
      </c>
      <c r="F953" s="2987">
        <v>1</v>
      </c>
      <c r="G953" s="2987">
        <v>1104</v>
      </c>
      <c r="H953" s="2987" t="s">
        <v>4420</v>
      </c>
      <c r="I953" s="2987" t="s">
        <v>3486</v>
      </c>
      <c r="J953" s="2987" t="s">
        <v>3602</v>
      </c>
      <c r="K953" s="2988">
        <v>111.01</v>
      </c>
    </row>
    <row r="954" spans="2:11" ht="18" customHeight="1">
      <c r="B954" s="2986">
        <v>917</v>
      </c>
      <c r="C954" s="2987" t="s">
        <v>3482</v>
      </c>
      <c r="D954" s="2987" t="s">
        <v>3594</v>
      </c>
      <c r="E954" s="2987" t="s">
        <v>4408</v>
      </c>
      <c r="F954" s="2987">
        <v>1</v>
      </c>
      <c r="G954" s="2987">
        <v>1201</v>
      </c>
      <c r="H954" s="2987" t="s">
        <v>4421</v>
      </c>
      <c r="I954" s="2987" t="s">
        <v>3486</v>
      </c>
      <c r="J954" s="2987" t="s">
        <v>3597</v>
      </c>
      <c r="K954" s="2988">
        <v>128.26</v>
      </c>
    </row>
    <row r="955" spans="2:11" ht="18" customHeight="1">
      <c r="B955" s="2986">
        <v>918</v>
      </c>
      <c r="C955" s="2987" t="s">
        <v>3482</v>
      </c>
      <c r="D955" s="2987" t="s">
        <v>3594</v>
      </c>
      <c r="E955" s="2987" t="s">
        <v>4408</v>
      </c>
      <c r="F955" s="2987">
        <v>1</v>
      </c>
      <c r="G955" s="2987">
        <v>1202</v>
      </c>
      <c r="H955" s="2987" t="s">
        <v>4422</v>
      </c>
      <c r="I955" s="2987" t="s">
        <v>3486</v>
      </c>
      <c r="J955" s="2987" t="s">
        <v>3599</v>
      </c>
      <c r="K955" s="2988">
        <v>96.17</v>
      </c>
    </row>
    <row r="956" spans="2:11" ht="18" customHeight="1">
      <c r="B956" s="2986">
        <v>919</v>
      </c>
      <c r="C956" s="2987" t="s">
        <v>3482</v>
      </c>
      <c r="D956" s="2987" t="s">
        <v>3594</v>
      </c>
      <c r="E956" s="2987" t="s">
        <v>4408</v>
      </c>
      <c r="F956" s="2987">
        <v>1</v>
      </c>
      <c r="G956" s="2987">
        <v>1203</v>
      </c>
      <c r="H956" s="2987" t="s">
        <v>4423</v>
      </c>
      <c r="I956" s="2987" t="s">
        <v>3486</v>
      </c>
      <c r="J956" s="2987" t="s">
        <v>3599</v>
      </c>
      <c r="K956" s="2988">
        <v>96.17</v>
      </c>
    </row>
    <row r="957" spans="2:11" ht="18" customHeight="1">
      <c r="B957" s="2986">
        <v>920</v>
      </c>
      <c r="C957" s="2987" t="s">
        <v>3482</v>
      </c>
      <c r="D957" s="2987" t="s">
        <v>3594</v>
      </c>
      <c r="E957" s="2987" t="s">
        <v>4408</v>
      </c>
      <c r="F957" s="2987">
        <v>1</v>
      </c>
      <c r="G957" s="2987">
        <v>1204</v>
      </c>
      <c r="H957" s="2987" t="s">
        <v>4424</v>
      </c>
      <c r="I957" s="2987" t="s">
        <v>3486</v>
      </c>
      <c r="J957" s="2987" t="s">
        <v>3602</v>
      </c>
      <c r="K957" s="2988">
        <v>111.01</v>
      </c>
    </row>
    <row r="958" spans="2:11" ht="18" customHeight="1">
      <c r="B958" s="2986">
        <v>921</v>
      </c>
      <c r="C958" s="2987" t="s">
        <v>3482</v>
      </c>
      <c r="D958" s="2987" t="s">
        <v>3594</v>
      </c>
      <c r="E958" s="2987" t="s">
        <v>4408</v>
      </c>
      <c r="F958" s="2987">
        <v>1</v>
      </c>
      <c r="G958" s="2987">
        <v>1301</v>
      </c>
      <c r="H958" s="2987" t="s">
        <v>4425</v>
      </c>
      <c r="I958" s="2987" t="s">
        <v>3486</v>
      </c>
      <c r="J958" s="2987" t="s">
        <v>3597</v>
      </c>
      <c r="K958" s="2988">
        <v>128.26</v>
      </c>
    </row>
    <row r="959" spans="2:11" ht="18" customHeight="1">
      <c r="B959" s="2986">
        <v>922</v>
      </c>
      <c r="C959" s="2987" t="s">
        <v>3482</v>
      </c>
      <c r="D959" s="2987" t="s">
        <v>3594</v>
      </c>
      <c r="E959" s="2987" t="s">
        <v>4408</v>
      </c>
      <c r="F959" s="2987">
        <v>1</v>
      </c>
      <c r="G959" s="2987">
        <v>1302</v>
      </c>
      <c r="H959" s="2987" t="s">
        <v>4426</v>
      </c>
      <c r="I959" s="2987" t="s">
        <v>3486</v>
      </c>
      <c r="J959" s="2987" t="s">
        <v>3599</v>
      </c>
      <c r="K959" s="2988">
        <v>96.17</v>
      </c>
    </row>
    <row r="960" spans="2:11" ht="18" customHeight="1">
      <c r="B960" s="2986">
        <v>923</v>
      </c>
      <c r="C960" s="2987" t="s">
        <v>3482</v>
      </c>
      <c r="D960" s="2987" t="s">
        <v>3594</v>
      </c>
      <c r="E960" s="2987" t="s">
        <v>4408</v>
      </c>
      <c r="F960" s="2987">
        <v>1</v>
      </c>
      <c r="G960" s="2987">
        <v>1303</v>
      </c>
      <c r="H960" s="2987" t="s">
        <v>4427</v>
      </c>
      <c r="I960" s="2987" t="s">
        <v>3486</v>
      </c>
      <c r="J960" s="2987" t="s">
        <v>3599</v>
      </c>
      <c r="K960" s="2988">
        <v>96.17</v>
      </c>
    </row>
    <row r="961" spans="2:11" ht="18" customHeight="1">
      <c r="B961" s="2986">
        <v>924</v>
      </c>
      <c r="C961" s="2987" t="s">
        <v>3482</v>
      </c>
      <c r="D961" s="2987" t="s">
        <v>3594</v>
      </c>
      <c r="E961" s="2987" t="s">
        <v>4408</v>
      </c>
      <c r="F961" s="2987">
        <v>1</v>
      </c>
      <c r="G961" s="2987">
        <v>1304</v>
      </c>
      <c r="H961" s="2987" t="s">
        <v>4428</v>
      </c>
      <c r="I961" s="2987" t="s">
        <v>3486</v>
      </c>
      <c r="J961" s="2987" t="s">
        <v>3602</v>
      </c>
      <c r="K961" s="2988">
        <v>111.01</v>
      </c>
    </row>
    <row r="962" spans="2:11" ht="18" customHeight="1">
      <c r="B962" s="2986">
        <v>925</v>
      </c>
      <c r="C962" s="2987" t="s">
        <v>3482</v>
      </c>
      <c r="D962" s="2987" t="s">
        <v>3594</v>
      </c>
      <c r="E962" s="2987" t="s">
        <v>4408</v>
      </c>
      <c r="F962" s="2987">
        <v>1</v>
      </c>
      <c r="G962" s="2987">
        <v>1401</v>
      </c>
      <c r="H962" s="2987" t="s">
        <v>4429</v>
      </c>
      <c r="I962" s="2987" t="s">
        <v>3486</v>
      </c>
      <c r="J962" s="2987" t="s">
        <v>3597</v>
      </c>
      <c r="K962" s="2988">
        <v>128.26</v>
      </c>
    </row>
    <row r="963" spans="2:11" ht="18" customHeight="1">
      <c r="B963" s="2986">
        <v>926</v>
      </c>
      <c r="C963" s="2987" t="s">
        <v>3482</v>
      </c>
      <c r="D963" s="2987" t="s">
        <v>3594</v>
      </c>
      <c r="E963" s="2987" t="s">
        <v>4408</v>
      </c>
      <c r="F963" s="2987">
        <v>1</v>
      </c>
      <c r="G963" s="2987">
        <v>1402</v>
      </c>
      <c r="H963" s="2987" t="s">
        <v>4430</v>
      </c>
      <c r="I963" s="2987" t="s">
        <v>3486</v>
      </c>
      <c r="J963" s="2987" t="s">
        <v>3599</v>
      </c>
      <c r="K963" s="2988">
        <v>96.17</v>
      </c>
    </row>
    <row r="964" spans="2:11" ht="18" customHeight="1">
      <c r="B964" s="2986">
        <v>927</v>
      </c>
      <c r="C964" s="2987" t="s">
        <v>3482</v>
      </c>
      <c r="D964" s="2987" t="s">
        <v>3594</v>
      </c>
      <c r="E964" s="2987" t="s">
        <v>4408</v>
      </c>
      <c r="F964" s="2987">
        <v>1</v>
      </c>
      <c r="G964" s="2987">
        <v>1403</v>
      </c>
      <c r="H964" s="2987" t="s">
        <v>4431</v>
      </c>
      <c r="I964" s="2987" t="s">
        <v>3486</v>
      </c>
      <c r="J964" s="2987" t="s">
        <v>3599</v>
      </c>
      <c r="K964" s="2988">
        <v>96.17</v>
      </c>
    </row>
    <row r="965" spans="2:11" ht="18" customHeight="1">
      <c r="B965" s="2986">
        <v>928</v>
      </c>
      <c r="C965" s="2987" t="s">
        <v>3482</v>
      </c>
      <c r="D965" s="2987" t="s">
        <v>3594</v>
      </c>
      <c r="E965" s="2987" t="s">
        <v>4408</v>
      </c>
      <c r="F965" s="2987">
        <v>1</v>
      </c>
      <c r="G965" s="2987">
        <v>1404</v>
      </c>
      <c r="H965" s="2987" t="s">
        <v>4432</v>
      </c>
      <c r="I965" s="2987" t="s">
        <v>3486</v>
      </c>
      <c r="J965" s="2987" t="s">
        <v>3602</v>
      </c>
      <c r="K965" s="2988">
        <v>111.01</v>
      </c>
    </row>
    <row r="966" spans="2:11" ht="18" customHeight="1">
      <c r="B966" s="2986">
        <v>929</v>
      </c>
      <c r="C966" s="2987" t="s">
        <v>3482</v>
      </c>
      <c r="D966" s="2987" t="s">
        <v>3594</v>
      </c>
      <c r="E966" s="2987" t="s">
        <v>4408</v>
      </c>
      <c r="F966" s="2987">
        <v>1</v>
      </c>
      <c r="G966" s="2987">
        <v>1501</v>
      </c>
      <c r="H966" s="2987" t="s">
        <v>4433</v>
      </c>
      <c r="I966" s="2987" t="s">
        <v>3486</v>
      </c>
      <c r="J966" s="2987" t="s">
        <v>3597</v>
      </c>
      <c r="K966" s="2988">
        <v>128.26</v>
      </c>
    </row>
    <row r="967" spans="2:11" ht="18" customHeight="1">
      <c r="B967" s="2986">
        <v>930</v>
      </c>
      <c r="C967" s="2987" t="s">
        <v>3482</v>
      </c>
      <c r="D967" s="2987" t="s">
        <v>3594</v>
      </c>
      <c r="E967" s="2987" t="s">
        <v>4408</v>
      </c>
      <c r="F967" s="2987">
        <v>1</v>
      </c>
      <c r="G967" s="2987">
        <v>1502</v>
      </c>
      <c r="H967" s="2987" t="s">
        <v>4434</v>
      </c>
      <c r="I967" s="2987" t="s">
        <v>3486</v>
      </c>
      <c r="J967" s="2987" t="s">
        <v>3599</v>
      </c>
      <c r="K967" s="2988">
        <v>96.17</v>
      </c>
    </row>
    <row r="968" spans="2:11" ht="18" customHeight="1">
      <c r="B968" s="2986">
        <v>931</v>
      </c>
      <c r="C968" s="2987" t="s">
        <v>3482</v>
      </c>
      <c r="D968" s="2987" t="s">
        <v>3594</v>
      </c>
      <c r="E968" s="2987" t="s">
        <v>4408</v>
      </c>
      <c r="F968" s="2987">
        <v>1</v>
      </c>
      <c r="G968" s="2987">
        <v>1503</v>
      </c>
      <c r="H968" s="2987" t="s">
        <v>4435</v>
      </c>
      <c r="I968" s="2987" t="s">
        <v>3486</v>
      </c>
      <c r="J968" s="2987" t="s">
        <v>3599</v>
      </c>
      <c r="K968" s="2988">
        <v>96.17</v>
      </c>
    </row>
    <row r="969" spans="2:11" ht="18" customHeight="1">
      <c r="B969" s="2986">
        <v>932</v>
      </c>
      <c r="C969" s="2987" t="s">
        <v>3482</v>
      </c>
      <c r="D969" s="2987" t="s">
        <v>3594</v>
      </c>
      <c r="E969" s="2987" t="s">
        <v>4408</v>
      </c>
      <c r="F969" s="2987">
        <v>1</v>
      </c>
      <c r="G969" s="2987">
        <v>1504</v>
      </c>
      <c r="H969" s="2987" t="s">
        <v>4436</v>
      </c>
      <c r="I969" s="2987" t="s">
        <v>3486</v>
      </c>
      <c r="J969" s="2987" t="s">
        <v>3602</v>
      </c>
      <c r="K969" s="2988">
        <v>111.01</v>
      </c>
    </row>
    <row r="970" spans="2:11" ht="18" customHeight="1">
      <c r="B970" s="2986">
        <v>933</v>
      </c>
      <c r="C970" s="2987" t="s">
        <v>3482</v>
      </c>
      <c r="D970" s="2987" t="s">
        <v>3594</v>
      </c>
      <c r="E970" s="2987" t="s">
        <v>4408</v>
      </c>
      <c r="F970" s="2987">
        <v>1</v>
      </c>
      <c r="G970" s="2987">
        <v>1601</v>
      </c>
      <c r="H970" s="2987" t="s">
        <v>4437</v>
      </c>
      <c r="I970" s="2987" t="s">
        <v>3486</v>
      </c>
      <c r="J970" s="2987" t="s">
        <v>3597</v>
      </c>
      <c r="K970" s="2988">
        <v>128.26</v>
      </c>
    </row>
    <row r="971" spans="2:11" ht="18" customHeight="1">
      <c r="B971" s="2986">
        <v>934</v>
      </c>
      <c r="C971" s="2987" t="s">
        <v>3482</v>
      </c>
      <c r="D971" s="2987" t="s">
        <v>3594</v>
      </c>
      <c r="E971" s="2987" t="s">
        <v>4408</v>
      </c>
      <c r="F971" s="2987">
        <v>1</v>
      </c>
      <c r="G971" s="2987">
        <v>1602</v>
      </c>
      <c r="H971" s="2987" t="s">
        <v>4438</v>
      </c>
      <c r="I971" s="2987" t="s">
        <v>3486</v>
      </c>
      <c r="J971" s="2987" t="s">
        <v>3599</v>
      </c>
      <c r="K971" s="2988">
        <v>96.17</v>
      </c>
    </row>
    <row r="972" spans="2:11" ht="18" customHeight="1">
      <c r="B972" s="2986">
        <v>935</v>
      </c>
      <c r="C972" s="2987" t="s">
        <v>3482</v>
      </c>
      <c r="D972" s="2987" t="s">
        <v>3594</v>
      </c>
      <c r="E972" s="2987" t="s">
        <v>4408</v>
      </c>
      <c r="F972" s="2987">
        <v>1</v>
      </c>
      <c r="G972" s="2987">
        <v>1603</v>
      </c>
      <c r="H972" s="2987" t="s">
        <v>4439</v>
      </c>
      <c r="I972" s="2987" t="s">
        <v>3486</v>
      </c>
      <c r="J972" s="2987" t="s">
        <v>3599</v>
      </c>
      <c r="K972" s="2988">
        <v>96.17</v>
      </c>
    </row>
    <row r="973" spans="2:11" ht="18" customHeight="1">
      <c r="B973" s="2986">
        <v>936</v>
      </c>
      <c r="C973" s="2987" t="s">
        <v>3482</v>
      </c>
      <c r="D973" s="2987" t="s">
        <v>3594</v>
      </c>
      <c r="E973" s="2987" t="s">
        <v>4408</v>
      </c>
      <c r="F973" s="2987">
        <v>1</v>
      </c>
      <c r="G973" s="2987">
        <v>1604</v>
      </c>
      <c r="H973" s="2987" t="s">
        <v>4440</v>
      </c>
      <c r="I973" s="2987" t="s">
        <v>3486</v>
      </c>
      <c r="J973" s="2987" t="s">
        <v>3602</v>
      </c>
      <c r="K973" s="2988">
        <v>111.01</v>
      </c>
    </row>
    <row r="974" spans="2:11" ht="18" customHeight="1">
      <c r="B974" s="2986">
        <v>937</v>
      </c>
      <c r="C974" s="2987" t="s">
        <v>3482</v>
      </c>
      <c r="D974" s="2987" t="s">
        <v>3594</v>
      </c>
      <c r="E974" s="2987" t="s">
        <v>4408</v>
      </c>
      <c r="F974" s="2987">
        <v>1</v>
      </c>
      <c r="G974" s="2987">
        <v>1701</v>
      </c>
      <c r="H974" s="2987" t="s">
        <v>4441</v>
      </c>
      <c r="I974" s="2987" t="s">
        <v>3486</v>
      </c>
      <c r="J974" s="2987" t="s">
        <v>3597</v>
      </c>
      <c r="K974" s="2988">
        <v>128.26</v>
      </c>
    </row>
    <row r="975" spans="2:11" ht="18" customHeight="1">
      <c r="B975" s="2986">
        <v>938</v>
      </c>
      <c r="C975" s="2987" t="s">
        <v>3482</v>
      </c>
      <c r="D975" s="2987" t="s">
        <v>3594</v>
      </c>
      <c r="E975" s="2987" t="s">
        <v>4408</v>
      </c>
      <c r="F975" s="2987">
        <v>1</v>
      </c>
      <c r="G975" s="2987">
        <v>1702</v>
      </c>
      <c r="H975" s="2987" t="s">
        <v>4442</v>
      </c>
      <c r="I975" s="2987" t="s">
        <v>3486</v>
      </c>
      <c r="J975" s="2987" t="s">
        <v>3599</v>
      </c>
      <c r="K975" s="2988">
        <v>96.17</v>
      </c>
    </row>
    <row r="976" spans="2:11" ht="18" customHeight="1">
      <c r="B976" s="2986">
        <v>939</v>
      </c>
      <c r="C976" s="2987" t="s">
        <v>3482</v>
      </c>
      <c r="D976" s="2987" t="s">
        <v>3594</v>
      </c>
      <c r="E976" s="2987" t="s">
        <v>4408</v>
      </c>
      <c r="F976" s="2987">
        <v>1</v>
      </c>
      <c r="G976" s="2987">
        <v>1703</v>
      </c>
      <c r="H976" s="2987" t="s">
        <v>4443</v>
      </c>
      <c r="I976" s="2987" t="s">
        <v>3486</v>
      </c>
      <c r="J976" s="2987" t="s">
        <v>3599</v>
      </c>
      <c r="K976" s="2988">
        <v>96.17</v>
      </c>
    </row>
    <row r="977" spans="2:11" ht="18" customHeight="1">
      <c r="B977" s="2986">
        <v>940</v>
      </c>
      <c r="C977" s="2987" t="s">
        <v>3482</v>
      </c>
      <c r="D977" s="2987" t="s">
        <v>3594</v>
      </c>
      <c r="E977" s="2987" t="s">
        <v>4408</v>
      </c>
      <c r="F977" s="2987">
        <v>1</v>
      </c>
      <c r="G977" s="2987">
        <v>1704</v>
      </c>
      <c r="H977" s="2987" t="s">
        <v>4444</v>
      </c>
      <c r="I977" s="2987" t="s">
        <v>3486</v>
      </c>
      <c r="J977" s="2987" t="s">
        <v>3602</v>
      </c>
      <c r="K977" s="2988">
        <v>111.01</v>
      </c>
    </row>
    <row r="978" spans="2:11" ht="18" customHeight="1">
      <c r="B978" s="2986">
        <v>941</v>
      </c>
      <c r="C978" s="2987" t="s">
        <v>3482</v>
      </c>
      <c r="D978" s="2987" t="s">
        <v>3594</v>
      </c>
      <c r="E978" s="2987" t="s">
        <v>4408</v>
      </c>
      <c r="F978" s="2987">
        <v>1</v>
      </c>
      <c r="G978" s="2987">
        <v>1801</v>
      </c>
      <c r="H978" s="2987" t="s">
        <v>4445</v>
      </c>
      <c r="I978" s="2987" t="s">
        <v>3486</v>
      </c>
      <c r="J978" s="2987" t="s">
        <v>3597</v>
      </c>
      <c r="K978" s="2988">
        <v>128.26</v>
      </c>
    </row>
    <row r="979" spans="2:11" ht="18" customHeight="1">
      <c r="B979" s="2986">
        <v>942</v>
      </c>
      <c r="C979" s="2987" t="s">
        <v>3482</v>
      </c>
      <c r="D979" s="2987" t="s">
        <v>3594</v>
      </c>
      <c r="E979" s="2987" t="s">
        <v>4408</v>
      </c>
      <c r="F979" s="2987">
        <v>1</v>
      </c>
      <c r="G979" s="2987">
        <v>1802</v>
      </c>
      <c r="H979" s="2987" t="s">
        <v>4446</v>
      </c>
      <c r="I979" s="2987" t="s">
        <v>3486</v>
      </c>
      <c r="J979" s="2987" t="s">
        <v>3599</v>
      </c>
      <c r="K979" s="2988">
        <v>96.17</v>
      </c>
    </row>
    <row r="980" spans="2:11" ht="18" customHeight="1">
      <c r="B980" s="2986">
        <v>943</v>
      </c>
      <c r="C980" s="2987" t="s">
        <v>3482</v>
      </c>
      <c r="D980" s="2987" t="s">
        <v>3594</v>
      </c>
      <c r="E980" s="2987" t="s">
        <v>4408</v>
      </c>
      <c r="F980" s="2987">
        <v>1</v>
      </c>
      <c r="G980" s="2987">
        <v>1803</v>
      </c>
      <c r="H980" s="2987" t="s">
        <v>4447</v>
      </c>
      <c r="I980" s="2987" t="s">
        <v>3486</v>
      </c>
      <c r="J980" s="2987" t="s">
        <v>3599</v>
      </c>
      <c r="K980" s="2988">
        <v>96.17</v>
      </c>
    </row>
    <row r="981" spans="2:11" ht="18" customHeight="1">
      <c r="B981" s="2986">
        <v>944</v>
      </c>
      <c r="C981" s="2987" t="s">
        <v>3482</v>
      </c>
      <c r="D981" s="2987" t="s">
        <v>3594</v>
      </c>
      <c r="E981" s="2987" t="s">
        <v>4408</v>
      </c>
      <c r="F981" s="2987">
        <v>1</v>
      </c>
      <c r="G981" s="2987">
        <v>1804</v>
      </c>
      <c r="H981" s="2987" t="s">
        <v>4448</v>
      </c>
      <c r="I981" s="2987" t="s">
        <v>3486</v>
      </c>
      <c r="J981" s="2987" t="s">
        <v>3602</v>
      </c>
      <c r="K981" s="2988">
        <v>111.01</v>
      </c>
    </row>
    <row r="982" spans="2:11" ht="18" customHeight="1">
      <c r="B982" s="2986">
        <v>945</v>
      </c>
      <c r="C982" s="2987" t="s">
        <v>3482</v>
      </c>
      <c r="D982" s="2987" t="s">
        <v>3594</v>
      </c>
      <c r="E982" s="2987" t="s">
        <v>4408</v>
      </c>
      <c r="F982" s="2987">
        <v>1</v>
      </c>
      <c r="G982" s="2987">
        <v>1901</v>
      </c>
      <c r="H982" s="2987" t="s">
        <v>4449</v>
      </c>
      <c r="I982" s="2987" t="s">
        <v>3486</v>
      </c>
      <c r="J982" s="2987" t="s">
        <v>3597</v>
      </c>
      <c r="K982" s="2988">
        <v>128.26</v>
      </c>
    </row>
    <row r="983" spans="2:11" ht="18" customHeight="1">
      <c r="B983" s="2986">
        <v>946</v>
      </c>
      <c r="C983" s="2987" t="s">
        <v>3482</v>
      </c>
      <c r="D983" s="2987" t="s">
        <v>3594</v>
      </c>
      <c r="E983" s="2987" t="s">
        <v>4408</v>
      </c>
      <c r="F983" s="2987">
        <v>1</v>
      </c>
      <c r="G983" s="2987">
        <v>1902</v>
      </c>
      <c r="H983" s="2987" t="s">
        <v>4450</v>
      </c>
      <c r="I983" s="2987" t="s">
        <v>3486</v>
      </c>
      <c r="J983" s="2987" t="s">
        <v>3599</v>
      </c>
      <c r="K983" s="2988">
        <v>96.17</v>
      </c>
    </row>
    <row r="984" spans="2:11" ht="18" customHeight="1">
      <c r="B984" s="2986">
        <v>947</v>
      </c>
      <c r="C984" s="2987" t="s">
        <v>3482</v>
      </c>
      <c r="D984" s="2987" t="s">
        <v>3594</v>
      </c>
      <c r="E984" s="2987" t="s">
        <v>4408</v>
      </c>
      <c r="F984" s="2987">
        <v>1</v>
      </c>
      <c r="G984" s="2987">
        <v>1903</v>
      </c>
      <c r="H984" s="2987" t="s">
        <v>4451</v>
      </c>
      <c r="I984" s="2987" t="s">
        <v>3486</v>
      </c>
      <c r="J984" s="2987" t="s">
        <v>3599</v>
      </c>
      <c r="K984" s="2988">
        <v>96.17</v>
      </c>
    </row>
    <row r="985" spans="2:11" ht="18" customHeight="1">
      <c r="B985" s="2986">
        <v>948</v>
      </c>
      <c r="C985" s="2987" t="s">
        <v>3482</v>
      </c>
      <c r="D985" s="2987" t="s">
        <v>3594</v>
      </c>
      <c r="E985" s="2987" t="s">
        <v>4408</v>
      </c>
      <c r="F985" s="2987">
        <v>1</v>
      </c>
      <c r="G985" s="2987">
        <v>1904</v>
      </c>
      <c r="H985" s="2987" t="s">
        <v>4452</v>
      </c>
      <c r="I985" s="2987" t="s">
        <v>3486</v>
      </c>
      <c r="J985" s="2987" t="s">
        <v>3602</v>
      </c>
      <c r="K985" s="2988">
        <v>111.01</v>
      </c>
    </row>
    <row r="986" spans="2:11" ht="18" customHeight="1">
      <c r="B986" s="2986">
        <v>949</v>
      </c>
      <c r="C986" s="2987" t="s">
        <v>3482</v>
      </c>
      <c r="D986" s="2987" t="s">
        <v>3594</v>
      </c>
      <c r="E986" s="2987" t="s">
        <v>4408</v>
      </c>
      <c r="F986" s="2987">
        <v>1</v>
      </c>
      <c r="G986" s="2987">
        <v>2001</v>
      </c>
      <c r="H986" s="2987" t="s">
        <v>4453</v>
      </c>
      <c r="I986" s="2987" t="s">
        <v>3486</v>
      </c>
      <c r="J986" s="2987" t="s">
        <v>3597</v>
      </c>
      <c r="K986" s="2988">
        <v>128.26</v>
      </c>
    </row>
    <row r="987" spans="2:11" ht="18" customHeight="1">
      <c r="B987" s="2986">
        <v>950</v>
      </c>
      <c r="C987" s="2987" t="s">
        <v>3482</v>
      </c>
      <c r="D987" s="2987" t="s">
        <v>3594</v>
      </c>
      <c r="E987" s="2987" t="s">
        <v>4408</v>
      </c>
      <c r="F987" s="2987">
        <v>1</v>
      </c>
      <c r="G987" s="2987">
        <v>2002</v>
      </c>
      <c r="H987" s="2987" t="s">
        <v>4454</v>
      </c>
      <c r="I987" s="2987" t="s">
        <v>3486</v>
      </c>
      <c r="J987" s="2987" t="s">
        <v>3599</v>
      </c>
      <c r="K987" s="2988">
        <v>96.17</v>
      </c>
    </row>
    <row r="988" spans="2:11" ht="18" customHeight="1">
      <c r="B988" s="2986">
        <v>951</v>
      </c>
      <c r="C988" s="2987" t="s">
        <v>3482</v>
      </c>
      <c r="D988" s="2987" t="s">
        <v>3594</v>
      </c>
      <c r="E988" s="2987" t="s">
        <v>4408</v>
      </c>
      <c r="F988" s="2987">
        <v>1</v>
      </c>
      <c r="G988" s="2987">
        <v>2003</v>
      </c>
      <c r="H988" s="2987" t="s">
        <v>4455</v>
      </c>
      <c r="I988" s="2987" t="s">
        <v>3486</v>
      </c>
      <c r="J988" s="2987" t="s">
        <v>3599</v>
      </c>
      <c r="K988" s="2988">
        <v>96.17</v>
      </c>
    </row>
    <row r="989" spans="2:11" ht="18" customHeight="1">
      <c r="B989" s="2986">
        <v>952</v>
      </c>
      <c r="C989" s="2987" t="s">
        <v>3482</v>
      </c>
      <c r="D989" s="2987" t="s">
        <v>3594</v>
      </c>
      <c r="E989" s="2987" t="s">
        <v>4408</v>
      </c>
      <c r="F989" s="2987">
        <v>1</v>
      </c>
      <c r="G989" s="2987">
        <v>2004</v>
      </c>
      <c r="H989" s="2987" t="s">
        <v>4456</v>
      </c>
      <c r="I989" s="2987" t="s">
        <v>3486</v>
      </c>
      <c r="J989" s="2987" t="s">
        <v>3602</v>
      </c>
      <c r="K989" s="2988">
        <v>111.01</v>
      </c>
    </row>
    <row r="990" spans="2:11" ht="18" customHeight="1">
      <c r="B990" s="2986">
        <v>953</v>
      </c>
      <c r="C990" s="2987" t="s">
        <v>3482</v>
      </c>
      <c r="D990" s="2987" t="s">
        <v>3594</v>
      </c>
      <c r="E990" s="2987" t="s">
        <v>4408</v>
      </c>
      <c r="F990" s="2987">
        <v>1</v>
      </c>
      <c r="G990" s="2987">
        <v>201</v>
      </c>
      <c r="H990" s="2987" t="s">
        <v>4457</v>
      </c>
      <c r="I990" s="2987" t="s">
        <v>3486</v>
      </c>
      <c r="J990" s="2987" t="s">
        <v>3597</v>
      </c>
      <c r="K990" s="2988">
        <v>128.26</v>
      </c>
    </row>
    <row r="991" spans="2:11" ht="18" customHeight="1">
      <c r="B991" s="2986">
        <v>954</v>
      </c>
      <c r="C991" s="2987" t="s">
        <v>3482</v>
      </c>
      <c r="D991" s="2987" t="s">
        <v>3594</v>
      </c>
      <c r="E991" s="2987" t="s">
        <v>4408</v>
      </c>
      <c r="F991" s="2987">
        <v>1</v>
      </c>
      <c r="G991" s="2987">
        <v>202</v>
      </c>
      <c r="H991" s="2987" t="s">
        <v>4458</v>
      </c>
      <c r="I991" s="2987" t="s">
        <v>3486</v>
      </c>
      <c r="J991" s="2987" t="s">
        <v>3599</v>
      </c>
      <c r="K991" s="2988">
        <v>96.17</v>
      </c>
    </row>
    <row r="992" spans="2:11" ht="18" customHeight="1">
      <c r="B992" s="2986">
        <v>955</v>
      </c>
      <c r="C992" s="2987" t="s">
        <v>3482</v>
      </c>
      <c r="D992" s="2987" t="s">
        <v>3594</v>
      </c>
      <c r="E992" s="2987" t="s">
        <v>4408</v>
      </c>
      <c r="F992" s="2987">
        <v>1</v>
      </c>
      <c r="G992" s="2987">
        <v>203</v>
      </c>
      <c r="H992" s="2987" t="s">
        <v>4459</v>
      </c>
      <c r="I992" s="2987" t="s">
        <v>3486</v>
      </c>
      <c r="J992" s="2987" t="s">
        <v>3599</v>
      </c>
      <c r="K992" s="2988">
        <v>96.17</v>
      </c>
    </row>
    <row r="993" spans="2:11" ht="18" customHeight="1">
      <c r="B993" s="2986">
        <v>956</v>
      </c>
      <c r="C993" s="2987" t="s">
        <v>3482</v>
      </c>
      <c r="D993" s="2987" t="s">
        <v>3594</v>
      </c>
      <c r="E993" s="2987" t="s">
        <v>4408</v>
      </c>
      <c r="F993" s="2987">
        <v>1</v>
      </c>
      <c r="G993" s="2987">
        <v>204</v>
      </c>
      <c r="H993" s="2987" t="s">
        <v>4460</v>
      </c>
      <c r="I993" s="2987" t="s">
        <v>3486</v>
      </c>
      <c r="J993" s="2987" t="s">
        <v>3602</v>
      </c>
      <c r="K993" s="2988">
        <v>111.01</v>
      </c>
    </row>
    <row r="994" spans="2:11" ht="18" customHeight="1">
      <c r="B994" s="2986">
        <v>957</v>
      </c>
      <c r="C994" s="2987" t="s">
        <v>3482</v>
      </c>
      <c r="D994" s="2987" t="s">
        <v>3594</v>
      </c>
      <c r="E994" s="2987" t="s">
        <v>4408</v>
      </c>
      <c r="F994" s="2987">
        <v>1</v>
      </c>
      <c r="G994" s="2987">
        <v>2101</v>
      </c>
      <c r="H994" s="2987" t="s">
        <v>4461</v>
      </c>
      <c r="I994" s="2987" t="s">
        <v>3486</v>
      </c>
      <c r="J994" s="2987" t="s">
        <v>3597</v>
      </c>
      <c r="K994" s="2988">
        <v>128.26</v>
      </c>
    </row>
    <row r="995" spans="2:11" ht="18" customHeight="1">
      <c r="B995" s="2986">
        <v>958</v>
      </c>
      <c r="C995" s="2987" t="s">
        <v>3482</v>
      </c>
      <c r="D995" s="2987" t="s">
        <v>3594</v>
      </c>
      <c r="E995" s="2987" t="s">
        <v>4408</v>
      </c>
      <c r="F995" s="2987">
        <v>1</v>
      </c>
      <c r="G995" s="2987">
        <v>2102</v>
      </c>
      <c r="H995" s="2987" t="s">
        <v>4462</v>
      </c>
      <c r="I995" s="2987" t="s">
        <v>3486</v>
      </c>
      <c r="J995" s="2987" t="s">
        <v>3599</v>
      </c>
      <c r="K995" s="2988">
        <v>96.17</v>
      </c>
    </row>
    <row r="996" spans="2:11" ht="18" customHeight="1">
      <c r="B996" s="2986">
        <v>959</v>
      </c>
      <c r="C996" s="2987" t="s">
        <v>3482</v>
      </c>
      <c r="D996" s="2987" t="s">
        <v>3594</v>
      </c>
      <c r="E996" s="2987" t="s">
        <v>4408</v>
      </c>
      <c r="F996" s="2987">
        <v>1</v>
      </c>
      <c r="G996" s="2987">
        <v>2103</v>
      </c>
      <c r="H996" s="2987" t="s">
        <v>4463</v>
      </c>
      <c r="I996" s="2987" t="s">
        <v>3486</v>
      </c>
      <c r="J996" s="2987" t="s">
        <v>3599</v>
      </c>
      <c r="K996" s="2988">
        <v>96.17</v>
      </c>
    </row>
    <row r="997" spans="2:11" ht="18" customHeight="1">
      <c r="B997" s="2986">
        <v>960</v>
      </c>
      <c r="C997" s="2987" t="s">
        <v>3482</v>
      </c>
      <c r="D997" s="2987" t="s">
        <v>3594</v>
      </c>
      <c r="E997" s="2987" t="s">
        <v>4408</v>
      </c>
      <c r="F997" s="2987">
        <v>1</v>
      </c>
      <c r="G997" s="2987">
        <v>2104</v>
      </c>
      <c r="H997" s="2987" t="s">
        <v>4464</v>
      </c>
      <c r="I997" s="2987" t="s">
        <v>3486</v>
      </c>
      <c r="J997" s="2987" t="s">
        <v>3602</v>
      </c>
      <c r="K997" s="2988">
        <v>111.01</v>
      </c>
    </row>
    <row r="998" spans="2:11" ht="18" customHeight="1">
      <c r="B998" s="2986">
        <v>961</v>
      </c>
      <c r="C998" s="2987" t="s">
        <v>3482</v>
      </c>
      <c r="D998" s="2987" t="s">
        <v>3594</v>
      </c>
      <c r="E998" s="2987" t="s">
        <v>4408</v>
      </c>
      <c r="F998" s="2987">
        <v>1</v>
      </c>
      <c r="G998" s="2987">
        <v>301</v>
      </c>
      <c r="H998" s="2987" t="s">
        <v>4465</v>
      </c>
      <c r="I998" s="2987" t="s">
        <v>3486</v>
      </c>
      <c r="J998" s="2987" t="s">
        <v>3597</v>
      </c>
      <c r="K998" s="2988">
        <v>128.26</v>
      </c>
    </row>
    <row r="999" spans="2:11" ht="18" customHeight="1">
      <c r="B999" s="2986">
        <v>962</v>
      </c>
      <c r="C999" s="2987" t="s">
        <v>3482</v>
      </c>
      <c r="D999" s="2987" t="s">
        <v>3594</v>
      </c>
      <c r="E999" s="2987" t="s">
        <v>4408</v>
      </c>
      <c r="F999" s="2987">
        <v>1</v>
      </c>
      <c r="G999" s="2987">
        <v>302</v>
      </c>
      <c r="H999" s="2987" t="s">
        <v>4466</v>
      </c>
      <c r="I999" s="2987" t="s">
        <v>3486</v>
      </c>
      <c r="J999" s="2987" t="s">
        <v>3599</v>
      </c>
      <c r="K999" s="2988">
        <v>96.17</v>
      </c>
    </row>
    <row r="1000" spans="2:11" ht="18" customHeight="1">
      <c r="B1000" s="2986">
        <v>963</v>
      </c>
      <c r="C1000" s="2987" t="s">
        <v>3482</v>
      </c>
      <c r="D1000" s="2987" t="s">
        <v>3594</v>
      </c>
      <c r="E1000" s="2987" t="s">
        <v>4408</v>
      </c>
      <c r="F1000" s="2987">
        <v>1</v>
      </c>
      <c r="G1000" s="2987">
        <v>303</v>
      </c>
      <c r="H1000" s="2987" t="s">
        <v>4467</v>
      </c>
      <c r="I1000" s="2987" t="s">
        <v>3486</v>
      </c>
      <c r="J1000" s="2987" t="s">
        <v>3599</v>
      </c>
      <c r="K1000" s="2988">
        <v>96.17</v>
      </c>
    </row>
    <row r="1001" spans="2:11" ht="18" customHeight="1">
      <c r="B1001" s="2986">
        <v>964</v>
      </c>
      <c r="C1001" s="2987" t="s">
        <v>3482</v>
      </c>
      <c r="D1001" s="2987" t="s">
        <v>3594</v>
      </c>
      <c r="E1001" s="2987" t="s">
        <v>4408</v>
      </c>
      <c r="F1001" s="2987">
        <v>1</v>
      </c>
      <c r="G1001" s="2987">
        <v>304</v>
      </c>
      <c r="H1001" s="2987" t="s">
        <v>4468</v>
      </c>
      <c r="I1001" s="2987" t="s">
        <v>3486</v>
      </c>
      <c r="J1001" s="2987" t="s">
        <v>3602</v>
      </c>
      <c r="K1001" s="2988">
        <v>111.01</v>
      </c>
    </row>
    <row r="1002" spans="2:11" ht="18" customHeight="1">
      <c r="B1002" s="2986">
        <v>965</v>
      </c>
      <c r="C1002" s="2987" t="s">
        <v>3482</v>
      </c>
      <c r="D1002" s="2987" t="s">
        <v>3594</v>
      </c>
      <c r="E1002" s="2987" t="s">
        <v>4408</v>
      </c>
      <c r="F1002" s="2987">
        <v>1</v>
      </c>
      <c r="G1002" s="2987">
        <v>401</v>
      </c>
      <c r="H1002" s="2987" t="s">
        <v>4469</v>
      </c>
      <c r="I1002" s="2987" t="s">
        <v>3486</v>
      </c>
      <c r="J1002" s="2987" t="s">
        <v>3597</v>
      </c>
      <c r="K1002" s="2988">
        <v>128.26</v>
      </c>
    </row>
    <row r="1003" spans="2:11" ht="18" customHeight="1">
      <c r="B1003" s="2986">
        <v>966</v>
      </c>
      <c r="C1003" s="2987" t="s">
        <v>3482</v>
      </c>
      <c r="D1003" s="2987" t="s">
        <v>3594</v>
      </c>
      <c r="E1003" s="2987" t="s">
        <v>4408</v>
      </c>
      <c r="F1003" s="2987">
        <v>1</v>
      </c>
      <c r="G1003" s="2987">
        <v>402</v>
      </c>
      <c r="H1003" s="2987" t="s">
        <v>4470</v>
      </c>
      <c r="I1003" s="2987" t="s">
        <v>3486</v>
      </c>
      <c r="J1003" s="2987" t="s">
        <v>3599</v>
      </c>
      <c r="K1003" s="2988">
        <v>96.17</v>
      </c>
    </row>
    <row r="1004" spans="2:11" ht="18" customHeight="1">
      <c r="B1004" s="2986">
        <v>967</v>
      </c>
      <c r="C1004" s="2987" t="s">
        <v>3482</v>
      </c>
      <c r="D1004" s="2987" t="s">
        <v>3594</v>
      </c>
      <c r="E1004" s="2987" t="s">
        <v>4408</v>
      </c>
      <c r="F1004" s="2987">
        <v>1</v>
      </c>
      <c r="G1004" s="2987">
        <v>403</v>
      </c>
      <c r="H1004" s="2987" t="s">
        <v>4471</v>
      </c>
      <c r="I1004" s="2987" t="s">
        <v>3486</v>
      </c>
      <c r="J1004" s="2987" t="s">
        <v>3599</v>
      </c>
      <c r="K1004" s="2988">
        <v>96.17</v>
      </c>
    </row>
    <row r="1005" spans="2:11" ht="18" customHeight="1">
      <c r="B1005" s="2986">
        <v>968</v>
      </c>
      <c r="C1005" s="2987" t="s">
        <v>3482</v>
      </c>
      <c r="D1005" s="2987" t="s">
        <v>3594</v>
      </c>
      <c r="E1005" s="2987" t="s">
        <v>4408</v>
      </c>
      <c r="F1005" s="2987">
        <v>1</v>
      </c>
      <c r="G1005" s="2987">
        <v>404</v>
      </c>
      <c r="H1005" s="2987" t="s">
        <v>4472</v>
      </c>
      <c r="I1005" s="2987" t="s">
        <v>3486</v>
      </c>
      <c r="J1005" s="2987" t="s">
        <v>3602</v>
      </c>
      <c r="K1005" s="2988">
        <v>111.01</v>
      </c>
    </row>
    <row r="1006" spans="2:11" ht="18" customHeight="1">
      <c r="B1006" s="2986">
        <v>969</v>
      </c>
      <c r="C1006" s="2987" t="s">
        <v>3482</v>
      </c>
      <c r="D1006" s="2987" t="s">
        <v>3594</v>
      </c>
      <c r="E1006" s="2987" t="s">
        <v>4408</v>
      </c>
      <c r="F1006" s="2987">
        <v>1</v>
      </c>
      <c r="G1006" s="2987">
        <v>501</v>
      </c>
      <c r="H1006" s="2987" t="s">
        <v>4473</v>
      </c>
      <c r="I1006" s="2987" t="s">
        <v>3486</v>
      </c>
      <c r="J1006" s="2987" t="s">
        <v>3597</v>
      </c>
      <c r="K1006" s="2988">
        <v>128.26</v>
      </c>
    </row>
    <row r="1007" spans="2:11" ht="18" customHeight="1">
      <c r="B1007" s="2986">
        <v>970</v>
      </c>
      <c r="C1007" s="2987" t="s">
        <v>3482</v>
      </c>
      <c r="D1007" s="2987" t="s">
        <v>3594</v>
      </c>
      <c r="E1007" s="2987" t="s">
        <v>4408</v>
      </c>
      <c r="F1007" s="2987">
        <v>1</v>
      </c>
      <c r="G1007" s="2987">
        <v>502</v>
      </c>
      <c r="H1007" s="2987" t="s">
        <v>4474</v>
      </c>
      <c r="I1007" s="2987" t="s">
        <v>3486</v>
      </c>
      <c r="J1007" s="2987" t="s">
        <v>3599</v>
      </c>
      <c r="K1007" s="2988">
        <v>96.17</v>
      </c>
    </row>
    <row r="1008" spans="2:11" ht="18" customHeight="1">
      <c r="B1008" s="2986">
        <v>971</v>
      </c>
      <c r="C1008" s="2987" t="s">
        <v>3482</v>
      </c>
      <c r="D1008" s="2987" t="s">
        <v>3594</v>
      </c>
      <c r="E1008" s="2987" t="s">
        <v>4408</v>
      </c>
      <c r="F1008" s="2987">
        <v>1</v>
      </c>
      <c r="G1008" s="2987">
        <v>503</v>
      </c>
      <c r="H1008" s="2987" t="s">
        <v>4475</v>
      </c>
      <c r="I1008" s="2987" t="s">
        <v>3486</v>
      </c>
      <c r="J1008" s="2987" t="s">
        <v>3599</v>
      </c>
      <c r="K1008" s="2988">
        <v>96.17</v>
      </c>
    </row>
    <row r="1009" spans="2:11" ht="18" customHeight="1">
      <c r="B1009" s="2986">
        <v>972</v>
      </c>
      <c r="C1009" s="2987" t="s">
        <v>3482</v>
      </c>
      <c r="D1009" s="2987" t="s">
        <v>3594</v>
      </c>
      <c r="E1009" s="2987" t="s">
        <v>4408</v>
      </c>
      <c r="F1009" s="2987">
        <v>1</v>
      </c>
      <c r="G1009" s="2987">
        <v>504</v>
      </c>
      <c r="H1009" s="2987" t="s">
        <v>4476</v>
      </c>
      <c r="I1009" s="2987" t="s">
        <v>3486</v>
      </c>
      <c r="J1009" s="2987" t="s">
        <v>3602</v>
      </c>
      <c r="K1009" s="2988">
        <v>111.01</v>
      </c>
    </row>
    <row r="1010" spans="2:11" ht="18" customHeight="1">
      <c r="B1010" s="2986">
        <v>973</v>
      </c>
      <c r="C1010" s="2987" t="s">
        <v>3482</v>
      </c>
      <c r="D1010" s="2987" t="s">
        <v>3594</v>
      </c>
      <c r="E1010" s="2987" t="s">
        <v>4408</v>
      </c>
      <c r="F1010" s="2987">
        <v>1</v>
      </c>
      <c r="G1010" s="2987">
        <v>601</v>
      </c>
      <c r="H1010" s="2987" t="s">
        <v>4477</v>
      </c>
      <c r="I1010" s="2987" t="s">
        <v>3486</v>
      </c>
      <c r="J1010" s="2987" t="s">
        <v>3597</v>
      </c>
      <c r="K1010" s="2988">
        <v>128.26</v>
      </c>
    </row>
    <row r="1011" spans="2:11" ht="18" customHeight="1">
      <c r="B1011" s="2986">
        <v>974</v>
      </c>
      <c r="C1011" s="2987" t="s">
        <v>3482</v>
      </c>
      <c r="D1011" s="2987" t="s">
        <v>3594</v>
      </c>
      <c r="E1011" s="2987" t="s">
        <v>4408</v>
      </c>
      <c r="F1011" s="2987">
        <v>1</v>
      </c>
      <c r="G1011" s="2987">
        <v>602</v>
      </c>
      <c r="H1011" s="2987" t="s">
        <v>4478</v>
      </c>
      <c r="I1011" s="2987" t="s">
        <v>3486</v>
      </c>
      <c r="J1011" s="2987" t="s">
        <v>3599</v>
      </c>
      <c r="K1011" s="2988">
        <v>96.17</v>
      </c>
    </row>
    <row r="1012" spans="2:11" ht="18" customHeight="1">
      <c r="B1012" s="2986">
        <v>975</v>
      </c>
      <c r="C1012" s="2987" t="s">
        <v>3482</v>
      </c>
      <c r="D1012" s="2987" t="s">
        <v>3594</v>
      </c>
      <c r="E1012" s="2987" t="s">
        <v>4408</v>
      </c>
      <c r="F1012" s="2987">
        <v>1</v>
      </c>
      <c r="G1012" s="2987">
        <v>603</v>
      </c>
      <c r="H1012" s="2987" t="s">
        <v>4479</v>
      </c>
      <c r="I1012" s="2987" t="s">
        <v>3486</v>
      </c>
      <c r="J1012" s="2987" t="s">
        <v>3599</v>
      </c>
      <c r="K1012" s="2988">
        <v>96.17</v>
      </c>
    </row>
    <row r="1013" spans="2:11" ht="18" customHeight="1">
      <c r="B1013" s="2986">
        <v>976</v>
      </c>
      <c r="C1013" s="2987" t="s">
        <v>3482</v>
      </c>
      <c r="D1013" s="2987" t="s">
        <v>3594</v>
      </c>
      <c r="E1013" s="2987" t="s">
        <v>4408</v>
      </c>
      <c r="F1013" s="2987">
        <v>1</v>
      </c>
      <c r="G1013" s="2987">
        <v>604</v>
      </c>
      <c r="H1013" s="2987" t="s">
        <v>4480</v>
      </c>
      <c r="I1013" s="2987" t="s">
        <v>3486</v>
      </c>
      <c r="J1013" s="2987" t="s">
        <v>3602</v>
      </c>
      <c r="K1013" s="2988">
        <v>111.01</v>
      </c>
    </row>
    <row r="1014" spans="2:11" ht="18" customHeight="1">
      <c r="B1014" s="2986">
        <v>977</v>
      </c>
      <c r="C1014" s="2987" t="s">
        <v>3482</v>
      </c>
      <c r="D1014" s="2987" t="s">
        <v>3594</v>
      </c>
      <c r="E1014" s="2987" t="s">
        <v>4408</v>
      </c>
      <c r="F1014" s="2987">
        <v>1</v>
      </c>
      <c r="G1014" s="2987">
        <v>701</v>
      </c>
      <c r="H1014" s="2987" t="s">
        <v>4481</v>
      </c>
      <c r="I1014" s="2987" t="s">
        <v>3486</v>
      </c>
      <c r="J1014" s="2987" t="s">
        <v>3597</v>
      </c>
      <c r="K1014" s="2988">
        <v>128.26</v>
      </c>
    </row>
    <row r="1015" spans="2:11" ht="18" customHeight="1">
      <c r="B1015" s="2986">
        <v>978</v>
      </c>
      <c r="C1015" s="2987" t="s">
        <v>3482</v>
      </c>
      <c r="D1015" s="2987" t="s">
        <v>3594</v>
      </c>
      <c r="E1015" s="2987" t="s">
        <v>4408</v>
      </c>
      <c r="F1015" s="2987">
        <v>1</v>
      </c>
      <c r="G1015" s="2987">
        <v>702</v>
      </c>
      <c r="H1015" s="2987" t="s">
        <v>4482</v>
      </c>
      <c r="I1015" s="2987" t="s">
        <v>3486</v>
      </c>
      <c r="J1015" s="2987" t="s">
        <v>3599</v>
      </c>
      <c r="K1015" s="2988">
        <v>96.17</v>
      </c>
    </row>
    <row r="1016" spans="2:11" ht="18" customHeight="1">
      <c r="B1016" s="2986">
        <v>979</v>
      </c>
      <c r="C1016" s="2987" t="s">
        <v>3482</v>
      </c>
      <c r="D1016" s="2987" t="s">
        <v>3594</v>
      </c>
      <c r="E1016" s="2987" t="s">
        <v>4408</v>
      </c>
      <c r="F1016" s="2987">
        <v>1</v>
      </c>
      <c r="G1016" s="2987">
        <v>703</v>
      </c>
      <c r="H1016" s="2987" t="s">
        <v>4483</v>
      </c>
      <c r="I1016" s="2987" t="s">
        <v>3486</v>
      </c>
      <c r="J1016" s="2987" t="s">
        <v>3599</v>
      </c>
      <c r="K1016" s="2988">
        <v>96.17</v>
      </c>
    </row>
    <row r="1017" spans="2:11" ht="18" customHeight="1">
      <c r="B1017" s="2986">
        <v>980</v>
      </c>
      <c r="C1017" s="2987" t="s">
        <v>3482</v>
      </c>
      <c r="D1017" s="2987" t="s">
        <v>3594</v>
      </c>
      <c r="E1017" s="2987" t="s">
        <v>4408</v>
      </c>
      <c r="F1017" s="2987">
        <v>1</v>
      </c>
      <c r="G1017" s="2987">
        <v>704</v>
      </c>
      <c r="H1017" s="2987" t="s">
        <v>4484</v>
      </c>
      <c r="I1017" s="2987" t="s">
        <v>3486</v>
      </c>
      <c r="J1017" s="2987" t="s">
        <v>3602</v>
      </c>
      <c r="K1017" s="2988">
        <v>111.01</v>
      </c>
    </row>
    <row r="1018" spans="2:11" ht="18" customHeight="1">
      <c r="B1018" s="2986">
        <v>981</v>
      </c>
      <c r="C1018" s="2987" t="s">
        <v>3482</v>
      </c>
      <c r="D1018" s="2987" t="s">
        <v>3594</v>
      </c>
      <c r="E1018" s="2987" t="s">
        <v>4408</v>
      </c>
      <c r="F1018" s="2987">
        <v>1</v>
      </c>
      <c r="G1018" s="2987">
        <v>801</v>
      </c>
      <c r="H1018" s="2987" t="s">
        <v>4485</v>
      </c>
      <c r="I1018" s="2987" t="s">
        <v>3486</v>
      </c>
      <c r="J1018" s="2987" t="s">
        <v>3597</v>
      </c>
      <c r="K1018" s="2988">
        <v>128.26</v>
      </c>
    </row>
    <row r="1019" spans="2:11" ht="18" customHeight="1">
      <c r="B1019" s="2986">
        <v>982</v>
      </c>
      <c r="C1019" s="2987" t="s">
        <v>3482</v>
      </c>
      <c r="D1019" s="2987" t="s">
        <v>3594</v>
      </c>
      <c r="E1019" s="2987" t="s">
        <v>4408</v>
      </c>
      <c r="F1019" s="2987">
        <v>1</v>
      </c>
      <c r="G1019" s="2987">
        <v>802</v>
      </c>
      <c r="H1019" s="2987" t="s">
        <v>4486</v>
      </c>
      <c r="I1019" s="2987" t="s">
        <v>3486</v>
      </c>
      <c r="J1019" s="2987" t="s">
        <v>3599</v>
      </c>
      <c r="K1019" s="2988">
        <v>96.17</v>
      </c>
    </row>
    <row r="1020" spans="2:11" ht="18" customHeight="1">
      <c r="B1020" s="2986">
        <v>983</v>
      </c>
      <c r="C1020" s="2987" t="s">
        <v>3482</v>
      </c>
      <c r="D1020" s="2987" t="s">
        <v>3594</v>
      </c>
      <c r="E1020" s="2987" t="s">
        <v>4408</v>
      </c>
      <c r="F1020" s="2987">
        <v>1</v>
      </c>
      <c r="G1020" s="2987">
        <v>803</v>
      </c>
      <c r="H1020" s="2987" t="s">
        <v>4487</v>
      </c>
      <c r="I1020" s="2987" t="s">
        <v>3486</v>
      </c>
      <c r="J1020" s="2987" t="s">
        <v>3599</v>
      </c>
      <c r="K1020" s="2988">
        <v>96.17</v>
      </c>
    </row>
    <row r="1021" spans="2:11" ht="18" customHeight="1">
      <c r="B1021" s="2986">
        <v>984</v>
      </c>
      <c r="C1021" s="2987" t="s">
        <v>3482</v>
      </c>
      <c r="D1021" s="2987" t="s">
        <v>3594</v>
      </c>
      <c r="E1021" s="2987" t="s">
        <v>4408</v>
      </c>
      <c r="F1021" s="2987">
        <v>1</v>
      </c>
      <c r="G1021" s="2987">
        <v>804</v>
      </c>
      <c r="H1021" s="2987" t="s">
        <v>4488</v>
      </c>
      <c r="I1021" s="2987" t="s">
        <v>3486</v>
      </c>
      <c r="J1021" s="2987" t="s">
        <v>3602</v>
      </c>
      <c r="K1021" s="2988">
        <v>111.01</v>
      </c>
    </row>
    <row r="1022" spans="2:11" ht="18" customHeight="1">
      <c r="B1022" s="2986">
        <v>985</v>
      </c>
      <c r="C1022" s="2987" t="s">
        <v>3482</v>
      </c>
      <c r="D1022" s="2987" t="s">
        <v>3594</v>
      </c>
      <c r="E1022" s="2987" t="s">
        <v>4408</v>
      </c>
      <c r="F1022" s="2987">
        <v>1</v>
      </c>
      <c r="G1022" s="2987">
        <v>901</v>
      </c>
      <c r="H1022" s="2987" t="s">
        <v>4489</v>
      </c>
      <c r="I1022" s="2987" t="s">
        <v>3486</v>
      </c>
      <c r="J1022" s="2987" t="s">
        <v>3597</v>
      </c>
      <c r="K1022" s="2988">
        <v>128.26</v>
      </c>
    </row>
    <row r="1023" spans="2:11" ht="18" customHeight="1">
      <c r="B1023" s="2986">
        <v>986</v>
      </c>
      <c r="C1023" s="2987" t="s">
        <v>3482</v>
      </c>
      <c r="D1023" s="2987" t="s">
        <v>3594</v>
      </c>
      <c r="E1023" s="2987" t="s">
        <v>4408</v>
      </c>
      <c r="F1023" s="2987">
        <v>1</v>
      </c>
      <c r="G1023" s="2987">
        <v>902</v>
      </c>
      <c r="H1023" s="2987" t="s">
        <v>4490</v>
      </c>
      <c r="I1023" s="2987" t="s">
        <v>3486</v>
      </c>
      <c r="J1023" s="2987" t="s">
        <v>3599</v>
      </c>
      <c r="K1023" s="2988">
        <v>96.17</v>
      </c>
    </row>
    <row r="1024" spans="2:11" ht="18" customHeight="1">
      <c r="B1024" s="2986">
        <v>987</v>
      </c>
      <c r="C1024" s="2987" t="s">
        <v>3482</v>
      </c>
      <c r="D1024" s="2987" t="s">
        <v>3594</v>
      </c>
      <c r="E1024" s="2987" t="s">
        <v>4408</v>
      </c>
      <c r="F1024" s="2987">
        <v>1</v>
      </c>
      <c r="G1024" s="2987">
        <v>903</v>
      </c>
      <c r="H1024" s="2987" t="s">
        <v>4491</v>
      </c>
      <c r="I1024" s="2987" t="s">
        <v>3486</v>
      </c>
      <c r="J1024" s="2987" t="s">
        <v>3599</v>
      </c>
      <c r="K1024" s="2988">
        <v>96.17</v>
      </c>
    </row>
    <row r="1025" spans="2:11" ht="18" customHeight="1">
      <c r="B1025" s="2986">
        <v>988</v>
      </c>
      <c r="C1025" s="2987" t="s">
        <v>3482</v>
      </c>
      <c r="D1025" s="2987" t="s">
        <v>3594</v>
      </c>
      <c r="E1025" s="2987" t="s">
        <v>4408</v>
      </c>
      <c r="F1025" s="2987">
        <v>1</v>
      </c>
      <c r="G1025" s="2987">
        <v>904</v>
      </c>
      <c r="H1025" s="2987" t="s">
        <v>4492</v>
      </c>
      <c r="I1025" s="2987" t="s">
        <v>3486</v>
      </c>
      <c r="J1025" s="2987" t="s">
        <v>3602</v>
      </c>
      <c r="K1025" s="2988">
        <v>111.01</v>
      </c>
    </row>
    <row r="1026" spans="2:11" ht="18" customHeight="1">
      <c r="B1026" s="2986">
        <v>989</v>
      </c>
      <c r="C1026" s="2987" t="s">
        <v>3482</v>
      </c>
      <c r="D1026" s="2987" t="s">
        <v>3594</v>
      </c>
      <c r="E1026" s="2987" t="s">
        <v>4408</v>
      </c>
      <c r="F1026" s="2987">
        <v>2</v>
      </c>
      <c r="G1026" s="2987">
        <v>1001</v>
      </c>
      <c r="H1026" s="2987" t="s">
        <v>4493</v>
      </c>
      <c r="I1026" s="2987" t="s">
        <v>3486</v>
      </c>
      <c r="J1026" s="2987" t="s">
        <v>3602</v>
      </c>
      <c r="K1026" s="2988">
        <v>111.01</v>
      </c>
    </row>
    <row r="1027" spans="2:11" ht="18" customHeight="1">
      <c r="B1027" s="2986">
        <v>990</v>
      </c>
      <c r="C1027" s="2987" t="s">
        <v>3482</v>
      </c>
      <c r="D1027" s="2987" t="s">
        <v>3594</v>
      </c>
      <c r="E1027" s="2987" t="s">
        <v>4408</v>
      </c>
      <c r="F1027" s="2987">
        <v>2</v>
      </c>
      <c r="G1027" s="2987">
        <v>1002</v>
      </c>
      <c r="H1027" s="2987" t="s">
        <v>4494</v>
      </c>
      <c r="I1027" s="2987" t="s">
        <v>3486</v>
      </c>
      <c r="J1027" s="2987" t="s">
        <v>3599</v>
      </c>
      <c r="K1027" s="2988">
        <v>96.17</v>
      </c>
    </row>
    <row r="1028" spans="2:11" ht="18" customHeight="1">
      <c r="B1028" s="2986">
        <v>991</v>
      </c>
      <c r="C1028" s="2987" t="s">
        <v>3482</v>
      </c>
      <c r="D1028" s="2987" t="s">
        <v>3594</v>
      </c>
      <c r="E1028" s="2987" t="s">
        <v>4408</v>
      </c>
      <c r="F1028" s="2987">
        <v>2</v>
      </c>
      <c r="G1028" s="2987">
        <v>1003</v>
      </c>
      <c r="H1028" s="2987" t="s">
        <v>4495</v>
      </c>
      <c r="I1028" s="2987" t="s">
        <v>3486</v>
      </c>
      <c r="J1028" s="2987" t="s">
        <v>3599</v>
      </c>
      <c r="K1028" s="2988">
        <v>96.17</v>
      </c>
    </row>
    <row r="1029" spans="2:11" ht="18" customHeight="1">
      <c r="B1029" s="2986">
        <v>992</v>
      </c>
      <c r="C1029" s="2987" t="s">
        <v>3482</v>
      </c>
      <c r="D1029" s="2987" t="s">
        <v>3594</v>
      </c>
      <c r="E1029" s="2987" t="s">
        <v>4408</v>
      </c>
      <c r="F1029" s="2987">
        <v>2</v>
      </c>
      <c r="G1029" s="2987">
        <v>1004</v>
      </c>
      <c r="H1029" s="2987" t="s">
        <v>4496</v>
      </c>
      <c r="I1029" s="2987" t="s">
        <v>3486</v>
      </c>
      <c r="J1029" s="2987" t="s">
        <v>3597</v>
      </c>
      <c r="K1029" s="2988">
        <v>128.26</v>
      </c>
    </row>
    <row r="1030" spans="2:11" ht="18" customHeight="1">
      <c r="B1030" s="2986">
        <v>993</v>
      </c>
      <c r="C1030" s="2987" t="s">
        <v>3482</v>
      </c>
      <c r="D1030" s="2987" t="s">
        <v>3594</v>
      </c>
      <c r="E1030" s="2987" t="s">
        <v>4408</v>
      </c>
      <c r="F1030" s="2987">
        <v>2</v>
      </c>
      <c r="G1030" s="2987">
        <v>101</v>
      </c>
      <c r="H1030" s="2987" t="s">
        <v>4497</v>
      </c>
      <c r="I1030" s="2987" t="s">
        <v>3486</v>
      </c>
      <c r="J1030" s="2987" t="s">
        <v>3602</v>
      </c>
      <c r="K1030" s="2988">
        <v>111.01</v>
      </c>
    </row>
    <row r="1031" spans="2:11" ht="18" customHeight="1">
      <c r="B1031" s="2986">
        <v>994</v>
      </c>
      <c r="C1031" s="2987" t="s">
        <v>3482</v>
      </c>
      <c r="D1031" s="2987" t="s">
        <v>3594</v>
      </c>
      <c r="E1031" s="2987" t="s">
        <v>4408</v>
      </c>
      <c r="F1031" s="2987">
        <v>2</v>
      </c>
      <c r="G1031" s="2987">
        <v>102</v>
      </c>
      <c r="H1031" s="2987" t="s">
        <v>4498</v>
      </c>
      <c r="I1031" s="2987" t="s">
        <v>3486</v>
      </c>
      <c r="J1031" s="2987" t="s">
        <v>3599</v>
      </c>
      <c r="K1031" s="2988">
        <v>96.17</v>
      </c>
    </row>
    <row r="1032" spans="2:11" ht="18" customHeight="1">
      <c r="B1032" s="2986">
        <v>995</v>
      </c>
      <c r="C1032" s="2987" t="s">
        <v>3482</v>
      </c>
      <c r="D1032" s="2987" t="s">
        <v>3594</v>
      </c>
      <c r="E1032" s="2987" t="s">
        <v>4408</v>
      </c>
      <c r="F1032" s="2987">
        <v>2</v>
      </c>
      <c r="G1032" s="2987">
        <v>103</v>
      </c>
      <c r="H1032" s="2987" t="s">
        <v>4499</v>
      </c>
      <c r="I1032" s="2987" t="s">
        <v>3486</v>
      </c>
      <c r="J1032" s="2987" t="s">
        <v>3599</v>
      </c>
      <c r="K1032" s="2988">
        <v>96.17</v>
      </c>
    </row>
    <row r="1033" spans="2:11" ht="18" customHeight="1">
      <c r="B1033" s="2986">
        <v>996</v>
      </c>
      <c r="C1033" s="2987" t="s">
        <v>3482</v>
      </c>
      <c r="D1033" s="2987" t="s">
        <v>3594</v>
      </c>
      <c r="E1033" s="2987" t="s">
        <v>4408</v>
      </c>
      <c r="F1033" s="2987">
        <v>2</v>
      </c>
      <c r="G1033" s="2987">
        <v>104</v>
      </c>
      <c r="H1033" s="2987" t="s">
        <v>4500</v>
      </c>
      <c r="I1033" s="2987" t="s">
        <v>3486</v>
      </c>
      <c r="J1033" s="2987" t="s">
        <v>3597</v>
      </c>
      <c r="K1033" s="2988">
        <v>128.26</v>
      </c>
    </row>
    <row r="1034" spans="2:11" ht="18" customHeight="1">
      <c r="B1034" s="2986">
        <v>997</v>
      </c>
      <c r="C1034" s="2987" t="s">
        <v>3482</v>
      </c>
      <c r="D1034" s="2987" t="s">
        <v>3594</v>
      </c>
      <c r="E1034" s="2987" t="s">
        <v>4408</v>
      </c>
      <c r="F1034" s="2987">
        <v>2</v>
      </c>
      <c r="G1034" s="2987">
        <v>1101</v>
      </c>
      <c r="H1034" s="2987" t="s">
        <v>4501</v>
      </c>
      <c r="I1034" s="2987" t="s">
        <v>3486</v>
      </c>
      <c r="J1034" s="2987" t="s">
        <v>3602</v>
      </c>
      <c r="K1034" s="2988">
        <v>111.01</v>
      </c>
    </row>
    <row r="1035" spans="2:11" ht="18" customHeight="1">
      <c r="B1035" s="2986">
        <v>998</v>
      </c>
      <c r="C1035" s="2987" t="s">
        <v>3482</v>
      </c>
      <c r="D1035" s="2987" t="s">
        <v>3594</v>
      </c>
      <c r="E1035" s="2987" t="s">
        <v>4408</v>
      </c>
      <c r="F1035" s="2987">
        <v>2</v>
      </c>
      <c r="G1035" s="2987">
        <v>1102</v>
      </c>
      <c r="H1035" s="2987" t="s">
        <v>4502</v>
      </c>
      <c r="I1035" s="2987" t="s">
        <v>3486</v>
      </c>
      <c r="J1035" s="2987" t="s">
        <v>3599</v>
      </c>
      <c r="K1035" s="2988">
        <v>96.17</v>
      </c>
    </row>
    <row r="1036" spans="2:11" ht="18" customHeight="1">
      <c r="B1036" s="2986">
        <v>999</v>
      </c>
      <c r="C1036" s="2987" t="s">
        <v>3482</v>
      </c>
      <c r="D1036" s="2987" t="s">
        <v>3594</v>
      </c>
      <c r="E1036" s="2987" t="s">
        <v>4408</v>
      </c>
      <c r="F1036" s="2987">
        <v>2</v>
      </c>
      <c r="G1036" s="2987">
        <v>1103</v>
      </c>
      <c r="H1036" s="2987" t="s">
        <v>4503</v>
      </c>
      <c r="I1036" s="2987" t="s">
        <v>3486</v>
      </c>
      <c r="J1036" s="2987" t="s">
        <v>3599</v>
      </c>
      <c r="K1036" s="2988">
        <v>96.17</v>
      </c>
    </row>
    <row r="1037" spans="2:11" ht="18" customHeight="1">
      <c r="B1037" s="2986">
        <v>1000</v>
      </c>
      <c r="C1037" s="2987" t="s">
        <v>3482</v>
      </c>
      <c r="D1037" s="2987" t="s">
        <v>3594</v>
      </c>
      <c r="E1037" s="2987" t="s">
        <v>4408</v>
      </c>
      <c r="F1037" s="2987">
        <v>2</v>
      </c>
      <c r="G1037" s="2987">
        <v>1104</v>
      </c>
      <c r="H1037" s="2987" t="s">
        <v>4504</v>
      </c>
      <c r="I1037" s="2987" t="s">
        <v>3486</v>
      </c>
      <c r="J1037" s="2987" t="s">
        <v>3597</v>
      </c>
      <c r="K1037" s="2988">
        <v>128.26</v>
      </c>
    </row>
    <row r="1038" spans="2:11" ht="18" customHeight="1">
      <c r="B1038" s="2986">
        <v>1001</v>
      </c>
      <c r="C1038" s="2987" t="s">
        <v>3482</v>
      </c>
      <c r="D1038" s="2987" t="s">
        <v>3594</v>
      </c>
      <c r="E1038" s="2987" t="s">
        <v>4408</v>
      </c>
      <c r="F1038" s="2987">
        <v>2</v>
      </c>
      <c r="G1038" s="2987">
        <v>1201</v>
      </c>
      <c r="H1038" s="2987" t="s">
        <v>4505</v>
      </c>
      <c r="I1038" s="2987" t="s">
        <v>3486</v>
      </c>
      <c r="J1038" s="2987" t="s">
        <v>3602</v>
      </c>
      <c r="K1038" s="2988">
        <v>111.01</v>
      </c>
    </row>
    <row r="1039" spans="2:11" ht="18" customHeight="1">
      <c r="B1039" s="2986">
        <v>1002</v>
      </c>
      <c r="C1039" s="2987" t="s">
        <v>3482</v>
      </c>
      <c r="D1039" s="2987" t="s">
        <v>3594</v>
      </c>
      <c r="E1039" s="2987" t="s">
        <v>4408</v>
      </c>
      <c r="F1039" s="2987">
        <v>2</v>
      </c>
      <c r="G1039" s="2987">
        <v>1202</v>
      </c>
      <c r="H1039" s="2987" t="s">
        <v>4506</v>
      </c>
      <c r="I1039" s="2987" t="s">
        <v>3486</v>
      </c>
      <c r="J1039" s="2987" t="s">
        <v>3599</v>
      </c>
      <c r="K1039" s="2988">
        <v>96.17</v>
      </c>
    </row>
    <row r="1040" spans="2:11" ht="18" customHeight="1">
      <c r="B1040" s="2986">
        <v>1003</v>
      </c>
      <c r="C1040" s="2987" t="s">
        <v>3482</v>
      </c>
      <c r="D1040" s="2987" t="s">
        <v>3594</v>
      </c>
      <c r="E1040" s="2987" t="s">
        <v>4408</v>
      </c>
      <c r="F1040" s="2987">
        <v>2</v>
      </c>
      <c r="G1040" s="2987">
        <v>1203</v>
      </c>
      <c r="H1040" s="2987" t="s">
        <v>4507</v>
      </c>
      <c r="I1040" s="2987" t="s">
        <v>3486</v>
      </c>
      <c r="J1040" s="2987" t="s">
        <v>3599</v>
      </c>
      <c r="K1040" s="2988">
        <v>96.17</v>
      </c>
    </row>
    <row r="1041" spans="2:11" ht="18" customHeight="1">
      <c r="B1041" s="2986">
        <v>1004</v>
      </c>
      <c r="C1041" s="2987" t="s">
        <v>3482</v>
      </c>
      <c r="D1041" s="2987" t="s">
        <v>3594</v>
      </c>
      <c r="E1041" s="2987" t="s">
        <v>4408</v>
      </c>
      <c r="F1041" s="2987">
        <v>2</v>
      </c>
      <c r="G1041" s="2987">
        <v>1204</v>
      </c>
      <c r="H1041" s="2987" t="s">
        <v>4508</v>
      </c>
      <c r="I1041" s="2987" t="s">
        <v>3486</v>
      </c>
      <c r="J1041" s="2987" t="s">
        <v>3597</v>
      </c>
      <c r="K1041" s="2988">
        <v>128.26</v>
      </c>
    </row>
    <row r="1042" spans="2:11" ht="18" customHeight="1">
      <c r="B1042" s="2986">
        <v>1005</v>
      </c>
      <c r="C1042" s="2987" t="s">
        <v>3482</v>
      </c>
      <c r="D1042" s="2987" t="s">
        <v>3594</v>
      </c>
      <c r="E1042" s="2987" t="s">
        <v>4408</v>
      </c>
      <c r="F1042" s="2987">
        <v>2</v>
      </c>
      <c r="G1042" s="2987">
        <v>1301</v>
      </c>
      <c r="H1042" s="2987" t="s">
        <v>4509</v>
      </c>
      <c r="I1042" s="2987" t="s">
        <v>3486</v>
      </c>
      <c r="J1042" s="2987" t="s">
        <v>3602</v>
      </c>
      <c r="K1042" s="2988">
        <v>111.01</v>
      </c>
    </row>
    <row r="1043" spans="2:11" ht="18" customHeight="1">
      <c r="B1043" s="2986">
        <v>1006</v>
      </c>
      <c r="C1043" s="2987" t="s">
        <v>3482</v>
      </c>
      <c r="D1043" s="2987" t="s">
        <v>3594</v>
      </c>
      <c r="E1043" s="2987" t="s">
        <v>4408</v>
      </c>
      <c r="F1043" s="2987">
        <v>2</v>
      </c>
      <c r="G1043" s="2987">
        <v>1302</v>
      </c>
      <c r="H1043" s="2987" t="s">
        <v>4510</v>
      </c>
      <c r="I1043" s="2987" t="s">
        <v>3486</v>
      </c>
      <c r="J1043" s="2987" t="s">
        <v>3599</v>
      </c>
      <c r="K1043" s="2988">
        <v>96.17</v>
      </c>
    </row>
    <row r="1044" spans="2:11" ht="18" customHeight="1">
      <c r="B1044" s="2986">
        <v>1007</v>
      </c>
      <c r="C1044" s="2987" t="s">
        <v>3482</v>
      </c>
      <c r="D1044" s="2987" t="s">
        <v>3594</v>
      </c>
      <c r="E1044" s="2987" t="s">
        <v>4408</v>
      </c>
      <c r="F1044" s="2987">
        <v>2</v>
      </c>
      <c r="G1044" s="2987">
        <v>1303</v>
      </c>
      <c r="H1044" s="2987" t="s">
        <v>4511</v>
      </c>
      <c r="I1044" s="2987" t="s">
        <v>3486</v>
      </c>
      <c r="J1044" s="2987" t="s">
        <v>3599</v>
      </c>
      <c r="K1044" s="2988">
        <v>96.17</v>
      </c>
    </row>
    <row r="1045" spans="2:11" ht="18" customHeight="1">
      <c r="B1045" s="2986">
        <v>1008</v>
      </c>
      <c r="C1045" s="2987" t="s">
        <v>3482</v>
      </c>
      <c r="D1045" s="2987" t="s">
        <v>3594</v>
      </c>
      <c r="E1045" s="2987" t="s">
        <v>4408</v>
      </c>
      <c r="F1045" s="2987">
        <v>2</v>
      </c>
      <c r="G1045" s="2987">
        <v>1304</v>
      </c>
      <c r="H1045" s="2987" t="s">
        <v>4512</v>
      </c>
      <c r="I1045" s="2987" t="s">
        <v>3486</v>
      </c>
      <c r="J1045" s="2987" t="s">
        <v>3597</v>
      </c>
      <c r="K1045" s="2988">
        <v>128.26</v>
      </c>
    </row>
    <row r="1046" spans="2:11" ht="18" customHeight="1">
      <c r="B1046" s="2986">
        <v>1009</v>
      </c>
      <c r="C1046" s="2987" t="s">
        <v>3482</v>
      </c>
      <c r="D1046" s="2987" t="s">
        <v>3594</v>
      </c>
      <c r="E1046" s="2987" t="s">
        <v>4408</v>
      </c>
      <c r="F1046" s="2987">
        <v>2</v>
      </c>
      <c r="G1046" s="2987">
        <v>1401</v>
      </c>
      <c r="H1046" s="2987" t="s">
        <v>4513</v>
      </c>
      <c r="I1046" s="2987" t="s">
        <v>3486</v>
      </c>
      <c r="J1046" s="2987" t="s">
        <v>3602</v>
      </c>
      <c r="K1046" s="2988">
        <v>111.01</v>
      </c>
    </row>
    <row r="1047" spans="2:11" ht="18" customHeight="1">
      <c r="B1047" s="2986">
        <v>1010</v>
      </c>
      <c r="C1047" s="2987" t="s">
        <v>3482</v>
      </c>
      <c r="D1047" s="2987" t="s">
        <v>3594</v>
      </c>
      <c r="E1047" s="2987" t="s">
        <v>4408</v>
      </c>
      <c r="F1047" s="2987">
        <v>2</v>
      </c>
      <c r="G1047" s="2987">
        <v>1402</v>
      </c>
      <c r="H1047" s="2987" t="s">
        <v>4514</v>
      </c>
      <c r="I1047" s="2987" t="s">
        <v>3486</v>
      </c>
      <c r="J1047" s="2987" t="s">
        <v>3599</v>
      </c>
      <c r="K1047" s="2988">
        <v>96.17</v>
      </c>
    </row>
    <row r="1048" spans="2:11" ht="18" customHeight="1">
      <c r="B1048" s="2986">
        <v>1011</v>
      </c>
      <c r="C1048" s="2987" t="s">
        <v>3482</v>
      </c>
      <c r="D1048" s="2987" t="s">
        <v>3594</v>
      </c>
      <c r="E1048" s="2987" t="s">
        <v>4408</v>
      </c>
      <c r="F1048" s="2987">
        <v>2</v>
      </c>
      <c r="G1048" s="2987">
        <v>1403</v>
      </c>
      <c r="H1048" s="2987" t="s">
        <v>4515</v>
      </c>
      <c r="I1048" s="2987" t="s">
        <v>3486</v>
      </c>
      <c r="J1048" s="2987" t="s">
        <v>3599</v>
      </c>
      <c r="K1048" s="2988">
        <v>96.17</v>
      </c>
    </row>
    <row r="1049" spans="2:11" ht="18" customHeight="1">
      <c r="B1049" s="2986">
        <v>1012</v>
      </c>
      <c r="C1049" s="2987" t="s">
        <v>3482</v>
      </c>
      <c r="D1049" s="2987" t="s">
        <v>3594</v>
      </c>
      <c r="E1049" s="2987" t="s">
        <v>4408</v>
      </c>
      <c r="F1049" s="2987">
        <v>2</v>
      </c>
      <c r="G1049" s="2987">
        <v>1404</v>
      </c>
      <c r="H1049" s="2987" t="s">
        <v>4516</v>
      </c>
      <c r="I1049" s="2987" t="s">
        <v>3486</v>
      </c>
      <c r="J1049" s="2987" t="s">
        <v>3597</v>
      </c>
      <c r="K1049" s="2988">
        <v>128.26</v>
      </c>
    </row>
    <row r="1050" spans="2:11" ht="18" customHeight="1">
      <c r="B1050" s="2986">
        <v>1013</v>
      </c>
      <c r="C1050" s="2987" t="s">
        <v>3482</v>
      </c>
      <c r="D1050" s="2987" t="s">
        <v>3594</v>
      </c>
      <c r="E1050" s="2987" t="s">
        <v>4408</v>
      </c>
      <c r="F1050" s="2987">
        <v>2</v>
      </c>
      <c r="G1050" s="2987">
        <v>1501</v>
      </c>
      <c r="H1050" s="2987" t="s">
        <v>4517</v>
      </c>
      <c r="I1050" s="2987" t="s">
        <v>3486</v>
      </c>
      <c r="J1050" s="2987" t="s">
        <v>3602</v>
      </c>
      <c r="K1050" s="2988">
        <v>111.01</v>
      </c>
    </row>
    <row r="1051" spans="2:11" ht="18" customHeight="1">
      <c r="B1051" s="2986">
        <v>1014</v>
      </c>
      <c r="C1051" s="2987" t="s">
        <v>3482</v>
      </c>
      <c r="D1051" s="2987" t="s">
        <v>3594</v>
      </c>
      <c r="E1051" s="2987" t="s">
        <v>4408</v>
      </c>
      <c r="F1051" s="2987">
        <v>2</v>
      </c>
      <c r="G1051" s="2987">
        <v>1502</v>
      </c>
      <c r="H1051" s="2987" t="s">
        <v>4518</v>
      </c>
      <c r="I1051" s="2987" t="s">
        <v>3486</v>
      </c>
      <c r="J1051" s="2987" t="s">
        <v>3599</v>
      </c>
      <c r="K1051" s="2988">
        <v>96.17</v>
      </c>
    </row>
    <row r="1052" spans="2:11" ht="18" customHeight="1">
      <c r="B1052" s="2986">
        <v>1015</v>
      </c>
      <c r="C1052" s="2987" t="s">
        <v>3482</v>
      </c>
      <c r="D1052" s="2987" t="s">
        <v>3594</v>
      </c>
      <c r="E1052" s="2987" t="s">
        <v>4408</v>
      </c>
      <c r="F1052" s="2987">
        <v>2</v>
      </c>
      <c r="G1052" s="2987">
        <v>1503</v>
      </c>
      <c r="H1052" s="2987" t="s">
        <v>4519</v>
      </c>
      <c r="I1052" s="2987" t="s">
        <v>3486</v>
      </c>
      <c r="J1052" s="2987" t="s">
        <v>3599</v>
      </c>
      <c r="K1052" s="2988">
        <v>96.17</v>
      </c>
    </row>
    <row r="1053" spans="2:11" ht="18" customHeight="1">
      <c r="B1053" s="2986">
        <v>1016</v>
      </c>
      <c r="C1053" s="2987" t="s">
        <v>3482</v>
      </c>
      <c r="D1053" s="2987" t="s">
        <v>3594</v>
      </c>
      <c r="E1053" s="2987" t="s">
        <v>4408</v>
      </c>
      <c r="F1053" s="2987">
        <v>2</v>
      </c>
      <c r="G1053" s="2987">
        <v>1504</v>
      </c>
      <c r="H1053" s="2987" t="s">
        <v>4520</v>
      </c>
      <c r="I1053" s="2987" t="s">
        <v>3486</v>
      </c>
      <c r="J1053" s="2987" t="s">
        <v>3597</v>
      </c>
      <c r="K1053" s="2988">
        <v>128.26</v>
      </c>
    </row>
    <row r="1054" spans="2:11" ht="18" customHeight="1">
      <c r="B1054" s="2986">
        <v>1017</v>
      </c>
      <c r="C1054" s="2987" t="s">
        <v>3482</v>
      </c>
      <c r="D1054" s="2987" t="s">
        <v>3594</v>
      </c>
      <c r="E1054" s="2987" t="s">
        <v>4408</v>
      </c>
      <c r="F1054" s="2987">
        <v>2</v>
      </c>
      <c r="G1054" s="2987">
        <v>1601</v>
      </c>
      <c r="H1054" s="2987" t="s">
        <v>4521</v>
      </c>
      <c r="I1054" s="2987" t="s">
        <v>3486</v>
      </c>
      <c r="J1054" s="2987" t="s">
        <v>3602</v>
      </c>
      <c r="K1054" s="2988">
        <v>111.01</v>
      </c>
    </row>
    <row r="1055" spans="2:11" ht="18" customHeight="1">
      <c r="B1055" s="2986">
        <v>1018</v>
      </c>
      <c r="C1055" s="2987" t="s">
        <v>3482</v>
      </c>
      <c r="D1055" s="2987" t="s">
        <v>3594</v>
      </c>
      <c r="E1055" s="2987" t="s">
        <v>4408</v>
      </c>
      <c r="F1055" s="2987">
        <v>2</v>
      </c>
      <c r="G1055" s="2987">
        <v>1602</v>
      </c>
      <c r="H1055" s="2987" t="s">
        <v>4522</v>
      </c>
      <c r="I1055" s="2987" t="s">
        <v>3486</v>
      </c>
      <c r="J1055" s="2987" t="s">
        <v>3599</v>
      </c>
      <c r="K1055" s="2988">
        <v>96.17</v>
      </c>
    </row>
    <row r="1056" spans="2:11" ht="18" customHeight="1">
      <c r="B1056" s="2986">
        <v>1019</v>
      </c>
      <c r="C1056" s="2987" t="s">
        <v>3482</v>
      </c>
      <c r="D1056" s="2987" t="s">
        <v>3594</v>
      </c>
      <c r="E1056" s="2987" t="s">
        <v>4408</v>
      </c>
      <c r="F1056" s="2987">
        <v>2</v>
      </c>
      <c r="G1056" s="2987">
        <v>1603</v>
      </c>
      <c r="H1056" s="2987" t="s">
        <v>4523</v>
      </c>
      <c r="I1056" s="2987" t="s">
        <v>3486</v>
      </c>
      <c r="J1056" s="2987" t="s">
        <v>3599</v>
      </c>
      <c r="K1056" s="2988">
        <v>96.17</v>
      </c>
    </row>
    <row r="1057" spans="2:11" ht="18" customHeight="1">
      <c r="B1057" s="2986">
        <v>1020</v>
      </c>
      <c r="C1057" s="2987" t="s">
        <v>3482</v>
      </c>
      <c r="D1057" s="2987" t="s">
        <v>3594</v>
      </c>
      <c r="E1057" s="2987" t="s">
        <v>4408</v>
      </c>
      <c r="F1057" s="2987">
        <v>2</v>
      </c>
      <c r="G1057" s="2987">
        <v>1604</v>
      </c>
      <c r="H1057" s="2987" t="s">
        <v>4524</v>
      </c>
      <c r="I1057" s="2987" t="s">
        <v>3486</v>
      </c>
      <c r="J1057" s="2987" t="s">
        <v>3597</v>
      </c>
      <c r="K1057" s="2988">
        <v>128.26</v>
      </c>
    </row>
    <row r="1058" spans="2:11" ht="18" customHeight="1">
      <c r="B1058" s="2986">
        <v>1021</v>
      </c>
      <c r="C1058" s="2987" t="s">
        <v>3482</v>
      </c>
      <c r="D1058" s="2987" t="s">
        <v>3594</v>
      </c>
      <c r="E1058" s="2987" t="s">
        <v>4408</v>
      </c>
      <c r="F1058" s="2987">
        <v>2</v>
      </c>
      <c r="G1058" s="2987">
        <v>1701</v>
      </c>
      <c r="H1058" s="2987" t="s">
        <v>4525</v>
      </c>
      <c r="I1058" s="2987" t="s">
        <v>3486</v>
      </c>
      <c r="J1058" s="2987" t="s">
        <v>3602</v>
      </c>
      <c r="K1058" s="2988">
        <v>111.01</v>
      </c>
    </row>
    <row r="1059" spans="2:11" ht="18" customHeight="1">
      <c r="B1059" s="2986">
        <v>1022</v>
      </c>
      <c r="C1059" s="2987" t="s">
        <v>3482</v>
      </c>
      <c r="D1059" s="2987" t="s">
        <v>3594</v>
      </c>
      <c r="E1059" s="2987" t="s">
        <v>4408</v>
      </c>
      <c r="F1059" s="2987">
        <v>2</v>
      </c>
      <c r="G1059" s="2987">
        <v>1702</v>
      </c>
      <c r="H1059" s="2987" t="s">
        <v>4526</v>
      </c>
      <c r="I1059" s="2987" t="s">
        <v>3486</v>
      </c>
      <c r="J1059" s="2987" t="s">
        <v>3599</v>
      </c>
      <c r="K1059" s="2988">
        <v>96.17</v>
      </c>
    </row>
    <row r="1060" spans="2:11" ht="18" customHeight="1">
      <c r="B1060" s="2986">
        <v>1023</v>
      </c>
      <c r="C1060" s="2987" t="s">
        <v>3482</v>
      </c>
      <c r="D1060" s="2987" t="s">
        <v>3594</v>
      </c>
      <c r="E1060" s="2987" t="s">
        <v>4408</v>
      </c>
      <c r="F1060" s="2987">
        <v>2</v>
      </c>
      <c r="G1060" s="2987">
        <v>1703</v>
      </c>
      <c r="H1060" s="2987" t="s">
        <v>4527</v>
      </c>
      <c r="I1060" s="2987" t="s">
        <v>3486</v>
      </c>
      <c r="J1060" s="2987" t="s">
        <v>3599</v>
      </c>
      <c r="K1060" s="2988">
        <v>96.17</v>
      </c>
    </row>
    <row r="1061" spans="2:11" ht="18" customHeight="1">
      <c r="B1061" s="2986">
        <v>1024</v>
      </c>
      <c r="C1061" s="2987" t="s">
        <v>3482</v>
      </c>
      <c r="D1061" s="2987" t="s">
        <v>3594</v>
      </c>
      <c r="E1061" s="2987" t="s">
        <v>4408</v>
      </c>
      <c r="F1061" s="2987">
        <v>2</v>
      </c>
      <c r="G1061" s="2987">
        <v>1704</v>
      </c>
      <c r="H1061" s="2987" t="s">
        <v>4528</v>
      </c>
      <c r="I1061" s="2987" t="s">
        <v>3486</v>
      </c>
      <c r="J1061" s="2987" t="s">
        <v>3597</v>
      </c>
      <c r="K1061" s="2988">
        <v>128.26</v>
      </c>
    </row>
    <row r="1062" spans="2:11" ht="18" customHeight="1">
      <c r="B1062" s="2986">
        <v>1025</v>
      </c>
      <c r="C1062" s="2987" t="s">
        <v>3482</v>
      </c>
      <c r="D1062" s="2987" t="s">
        <v>3594</v>
      </c>
      <c r="E1062" s="2987" t="s">
        <v>4408</v>
      </c>
      <c r="F1062" s="2987">
        <v>2</v>
      </c>
      <c r="G1062" s="2987">
        <v>1801</v>
      </c>
      <c r="H1062" s="2987" t="s">
        <v>4529</v>
      </c>
      <c r="I1062" s="2987" t="s">
        <v>3486</v>
      </c>
      <c r="J1062" s="2987" t="s">
        <v>3602</v>
      </c>
      <c r="K1062" s="2988">
        <v>111.01</v>
      </c>
    </row>
    <row r="1063" spans="2:11" ht="18" customHeight="1">
      <c r="B1063" s="2986">
        <v>1026</v>
      </c>
      <c r="C1063" s="2987" t="s">
        <v>3482</v>
      </c>
      <c r="D1063" s="2987" t="s">
        <v>3594</v>
      </c>
      <c r="E1063" s="2987" t="s">
        <v>4408</v>
      </c>
      <c r="F1063" s="2987">
        <v>2</v>
      </c>
      <c r="G1063" s="2987">
        <v>1802</v>
      </c>
      <c r="H1063" s="2987" t="s">
        <v>4530</v>
      </c>
      <c r="I1063" s="2987" t="s">
        <v>3486</v>
      </c>
      <c r="J1063" s="2987" t="s">
        <v>3599</v>
      </c>
      <c r="K1063" s="2988">
        <v>96.17</v>
      </c>
    </row>
    <row r="1064" spans="2:11" ht="18" customHeight="1">
      <c r="B1064" s="2986">
        <v>1027</v>
      </c>
      <c r="C1064" s="2987" t="s">
        <v>3482</v>
      </c>
      <c r="D1064" s="2987" t="s">
        <v>3594</v>
      </c>
      <c r="E1064" s="2987" t="s">
        <v>4408</v>
      </c>
      <c r="F1064" s="2987">
        <v>2</v>
      </c>
      <c r="G1064" s="2987">
        <v>1803</v>
      </c>
      <c r="H1064" s="2987" t="s">
        <v>4531</v>
      </c>
      <c r="I1064" s="2987" t="s">
        <v>3486</v>
      </c>
      <c r="J1064" s="2987" t="s">
        <v>3599</v>
      </c>
      <c r="K1064" s="2988">
        <v>96.17</v>
      </c>
    </row>
    <row r="1065" spans="2:11" ht="18" customHeight="1">
      <c r="B1065" s="2986">
        <v>1028</v>
      </c>
      <c r="C1065" s="2987" t="s">
        <v>3482</v>
      </c>
      <c r="D1065" s="2987" t="s">
        <v>3594</v>
      </c>
      <c r="E1065" s="2987" t="s">
        <v>4408</v>
      </c>
      <c r="F1065" s="2987">
        <v>2</v>
      </c>
      <c r="G1065" s="2987">
        <v>1804</v>
      </c>
      <c r="H1065" s="2987" t="s">
        <v>4532</v>
      </c>
      <c r="I1065" s="2987" t="s">
        <v>3486</v>
      </c>
      <c r="J1065" s="2987" t="s">
        <v>3597</v>
      </c>
      <c r="K1065" s="2988">
        <v>128.26</v>
      </c>
    </row>
    <row r="1066" spans="2:11" ht="18" customHeight="1">
      <c r="B1066" s="2986">
        <v>1029</v>
      </c>
      <c r="C1066" s="2987" t="s">
        <v>3482</v>
      </c>
      <c r="D1066" s="2987" t="s">
        <v>3594</v>
      </c>
      <c r="E1066" s="2987" t="s">
        <v>4408</v>
      </c>
      <c r="F1066" s="2987">
        <v>2</v>
      </c>
      <c r="G1066" s="2987">
        <v>1901</v>
      </c>
      <c r="H1066" s="2987" t="s">
        <v>4533</v>
      </c>
      <c r="I1066" s="2987" t="s">
        <v>3486</v>
      </c>
      <c r="J1066" s="2987" t="s">
        <v>3602</v>
      </c>
      <c r="K1066" s="2988">
        <v>111.01</v>
      </c>
    </row>
    <row r="1067" spans="2:11" ht="18" customHeight="1">
      <c r="B1067" s="2986">
        <v>1030</v>
      </c>
      <c r="C1067" s="2987" t="s">
        <v>3482</v>
      </c>
      <c r="D1067" s="2987" t="s">
        <v>3594</v>
      </c>
      <c r="E1067" s="2987" t="s">
        <v>4408</v>
      </c>
      <c r="F1067" s="2987">
        <v>2</v>
      </c>
      <c r="G1067" s="2987">
        <v>1902</v>
      </c>
      <c r="H1067" s="2987" t="s">
        <v>4534</v>
      </c>
      <c r="I1067" s="2987" t="s">
        <v>3486</v>
      </c>
      <c r="J1067" s="2987" t="s">
        <v>3599</v>
      </c>
      <c r="K1067" s="2988">
        <v>96.17</v>
      </c>
    </row>
    <row r="1068" spans="2:11" ht="18" customHeight="1">
      <c r="B1068" s="2986">
        <v>1031</v>
      </c>
      <c r="C1068" s="2987" t="s">
        <v>3482</v>
      </c>
      <c r="D1068" s="2987" t="s">
        <v>3594</v>
      </c>
      <c r="E1068" s="2987" t="s">
        <v>4408</v>
      </c>
      <c r="F1068" s="2987">
        <v>2</v>
      </c>
      <c r="G1068" s="2987">
        <v>1903</v>
      </c>
      <c r="H1068" s="2987" t="s">
        <v>4535</v>
      </c>
      <c r="I1068" s="2987" t="s">
        <v>3486</v>
      </c>
      <c r="J1068" s="2987" t="s">
        <v>3599</v>
      </c>
      <c r="K1068" s="2988">
        <v>96.17</v>
      </c>
    </row>
    <row r="1069" spans="2:11" ht="18" customHeight="1">
      <c r="B1069" s="2986">
        <v>1032</v>
      </c>
      <c r="C1069" s="2987" t="s">
        <v>3482</v>
      </c>
      <c r="D1069" s="2987" t="s">
        <v>3594</v>
      </c>
      <c r="E1069" s="2987" t="s">
        <v>4408</v>
      </c>
      <c r="F1069" s="2987">
        <v>2</v>
      </c>
      <c r="G1069" s="2987">
        <v>1904</v>
      </c>
      <c r="H1069" s="2987" t="s">
        <v>4536</v>
      </c>
      <c r="I1069" s="2987" t="s">
        <v>3486</v>
      </c>
      <c r="J1069" s="2987" t="s">
        <v>3597</v>
      </c>
      <c r="K1069" s="2988">
        <v>128.26</v>
      </c>
    </row>
    <row r="1070" spans="2:11" ht="18" customHeight="1">
      <c r="B1070" s="2986">
        <v>1033</v>
      </c>
      <c r="C1070" s="2987" t="s">
        <v>3482</v>
      </c>
      <c r="D1070" s="2987" t="s">
        <v>3594</v>
      </c>
      <c r="E1070" s="2987" t="s">
        <v>4408</v>
      </c>
      <c r="F1070" s="2987">
        <v>2</v>
      </c>
      <c r="G1070" s="2987">
        <v>2001</v>
      </c>
      <c r="H1070" s="2987" t="s">
        <v>4537</v>
      </c>
      <c r="I1070" s="2987" t="s">
        <v>3486</v>
      </c>
      <c r="J1070" s="2987" t="s">
        <v>3602</v>
      </c>
      <c r="K1070" s="2988">
        <v>111.01</v>
      </c>
    </row>
    <row r="1071" spans="2:11" ht="18" customHeight="1">
      <c r="B1071" s="2986">
        <v>1034</v>
      </c>
      <c r="C1071" s="2987" t="s">
        <v>3482</v>
      </c>
      <c r="D1071" s="2987" t="s">
        <v>3594</v>
      </c>
      <c r="E1071" s="2987" t="s">
        <v>4408</v>
      </c>
      <c r="F1071" s="2987">
        <v>2</v>
      </c>
      <c r="G1071" s="2987">
        <v>2002</v>
      </c>
      <c r="H1071" s="2987" t="s">
        <v>4538</v>
      </c>
      <c r="I1071" s="2987" t="s">
        <v>3486</v>
      </c>
      <c r="J1071" s="2987" t="s">
        <v>3599</v>
      </c>
      <c r="K1071" s="2988">
        <v>96.17</v>
      </c>
    </row>
    <row r="1072" spans="2:11" ht="18" customHeight="1">
      <c r="B1072" s="2986">
        <v>1035</v>
      </c>
      <c r="C1072" s="2987" t="s">
        <v>3482</v>
      </c>
      <c r="D1072" s="2987" t="s">
        <v>3594</v>
      </c>
      <c r="E1072" s="2987" t="s">
        <v>4408</v>
      </c>
      <c r="F1072" s="2987">
        <v>2</v>
      </c>
      <c r="G1072" s="2987">
        <v>2003</v>
      </c>
      <c r="H1072" s="2987" t="s">
        <v>4539</v>
      </c>
      <c r="I1072" s="2987" t="s">
        <v>3486</v>
      </c>
      <c r="J1072" s="2987" t="s">
        <v>3599</v>
      </c>
      <c r="K1072" s="2988">
        <v>96.17</v>
      </c>
    </row>
    <row r="1073" spans="2:11" ht="18" customHeight="1">
      <c r="B1073" s="2986">
        <v>1036</v>
      </c>
      <c r="C1073" s="2987" t="s">
        <v>3482</v>
      </c>
      <c r="D1073" s="2987" t="s">
        <v>3594</v>
      </c>
      <c r="E1073" s="2987" t="s">
        <v>4408</v>
      </c>
      <c r="F1073" s="2987">
        <v>2</v>
      </c>
      <c r="G1073" s="2987">
        <v>2004</v>
      </c>
      <c r="H1073" s="2987" t="s">
        <v>4540</v>
      </c>
      <c r="I1073" s="2987" t="s">
        <v>3486</v>
      </c>
      <c r="J1073" s="2987" t="s">
        <v>3597</v>
      </c>
      <c r="K1073" s="2988">
        <v>128.26</v>
      </c>
    </row>
    <row r="1074" spans="2:11" ht="18" customHeight="1">
      <c r="B1074" s="2986">
        <v>1037</v>
      </c>
      <c r="C1074" s="2987" t="s">
        <v>3482</v>
      </c>
      <c r="D1074" s="2987" t="s">
        <v>3594</v>
      </c>
      <c r="E1074" s="2987" t="s">
        <v>4408</v>
      </c>
      <c r="F1074" s="2987">
        <v>2</v>
      </c>
      <c r="G1074" s="2987">
        <v>201</v>
      </c>
      <c r="H1074" s="2987" t="s">
        <v>4541</v>
      </c>
      <c r="I1074" s="2987" t="s">
        <v>3486</v>
      </c>
      <c r="J1074" s="2987" t="s">
        <v>3602</v>
      </c>
      <c r="K1074" s="2988">
        <v>111.01</v>
      </c>
    </row>
    <row r="1075" spans="2:11" ht="18" customHeight="1">
      <c r="B1075" s="2986">
        <v>1038</v>
      </c>
      <c r="C1075" s="2987" t="s">
        <v>3482</v>
      </c>
      <c r="D1075" s="2987" t="s">
        <v>3594</v>
      </c>
      <c r="E1075" s="2987" t="s">
        <v>4408</v>
      </c>
      <c r="F1075" s="2987">
        <v>2</v>
      </c>
      <c r="G1075" s="2987">
        <v>202</v>
      </c>
      <c r="H1075" s="2987" t="s">
        <v>4542</v>
      </c>
      <c r="I1075" s="2987" t="s">
        <v>3486</v>
      </c>
      <c r="J1075" s="2987" t="s">
        <v>3599</v>
      </c>
      <c r="K1075" s="2988">
        <v>96.17</v>
      </c>
    </row>
    <row r="1076" spans="2:11" ht="18" customHeight="1">
      <c r="B1076" s="2986">
        <v>1039</v>
      </c>
      <c r="C1076" s="2987" t="s">
        <v>3482</v>
      </c>
      <c r="D1076" s="2987" t="s">
        <v>3594</v>
      </c>
      <c r="E1076" s="2987" t="s">
        <v>4408</v>
      </c>
      <c r="F1076" s="2987">
        <v>2</v>
      </c>
      <c r="G1076" s="2987">
        <v>203</v>
      </c>
      <c r="H1076" s="2987" t="s">
        <v>4543</v>
      </c>
      <c r="I1076" s="2987" t="s">
        <v>3486</v>
      </c>
      <c r="J1076" s="2987" t="s">
        <v>3599</v>
      </c>
      <c r="K1076" s="2988">
        <v>96.17</v>
      </c>
    </row>
    <row r="1077" spans="2:11" ht="18" customHeight="1">
      <c r="B1077" s="2986">
        <v>1040</v>
      </c>
      <c r="C1077" s="2987" t="s">
        <v>3482</v>
      </c>
      <c r="D1077" s="2987" t="s">
        <v>3594</v>
      </c>
      <c r="E1077" s="2987" t="s">
        <v>4408</v>
      </c>
      <c r="F1077" s="2987">
        <v>2</v>
      </c>
      <c r="G1077" s="2987">
        <v>204</v>
      </c>
      <c r="H1077" s="2987" t="s">
        <v>4544</v>
      </c>
      <c r="I1077" s="2987" t="s">
        <v>3486</v>
      </c>
      <c r="J1077" s="2987" t="s">
        <v>3597</v>
      </c>
      <c r="K1077" s="2988">
        <v>128.26</v>
      </c>
    </row>
    <row r="1078" spans="2:11" ht="18" customHeight="1">
      <c r="B1078" s="2986">
        <v>1041</v>
      </c>
      <c r="C1078" s="2987" t="s">
        <v>3482</v>
      </c>
      <c r="D1078" s="2987" t="s">
        <v>3594</v>
      </c>
      <c r="E1078" s="2987" t="s">
        <v>4408</v>
      </c>
      <c r="F1078" s="2987">
        <v>2</v>
      </c>
      <c r="G1078" s="2987">
        <v>2101</v>
      </c>
      <c r="H1078" s="2987" t="s">
        <v>4545</v>
      </c>
      <c r="I1078" s="2987" t="s">
        <v>3486</v>
      </c>
      <c r="J1078" s="2987" t="s">
        <v>3602</v>
      </c>
      <c r="K1078" s="2988">
        <v>111.01</v>
      </c>
    </row>
    <row r="1079" spans="2:11" ht="18" customHeight="1">
      <c r="B1079" s="2986">
        <v>1042</v>
      </c>
      <c r="C1079" s="2987" t="s">
        <v>3482</v>
      </c>
      <c r="D1079" s="2987" t="s">
        <v>3594</v>
      </c>
      <c r="E1079" s="2987" t="s">
        <v>4408</v>
      </c>
      <c r="F1079" s="2987">
        <v>2</v>
      </c>
      <c r="G1079" s="2987">
        <v>2102</v>
      </c>
      <c r="H1079" s="2987" t="s">
        <v>4546</v>
      </c>
      <c r="I1079" s="2987" t="s">
        <v>3486</v>
      </c>
      <c r="J1079" s="2987" t="s">
        <v>3599</v>
      </c>
      <c r="K1079" s="2988">
        <v>96.17</v>
      </c>
    </row>
    <row r="1080" spans="2:11" ht="18" customHeight="1">
      <c r="B1080" s="2986">
        <v>1043</v>
      </c>
      <c r="C1080" s="2987" t="s">
        <v>3482</v>
      </c>
      <c r="D1080" s="2987" t="s">
        <v>3594</v>
      </c>
      <c r="E1080" s="2987" t="s">
        <v>4408</v>
      </c>
      <c r="F1080" s="2987">
        <v>2</v>
      </c>
      <c r="G1080" s="2987">
        <v>2103</v>
      </c>
      <c r="H1080" s="2987" t="s">
        <v>4547</v>
      </c>
      <c r="I1080" s="2987" t="s">
        <v>3486</v>
      </c>
      <c r="J1080" s="2987" t="s">
        <v>3599</v>
      </c>
      <c r="K1080" s="2988">
        <v>96.17</v>
      </c>
    </row>
    <row r="1081" spans="2:11" ht="18" customHeight="1">
      <c r="B1081" s="2986">
        <v>1044</v>
      </c>
      <c r="C1081" s="2987" t="s">
        <v>3482</v>
      </c>
      <c r="D1081" s="2987" t="s">
        <v>3594</v>
      </c>
      <c r="E1081" s="2987" t="s">
        <v>4408</v>
      </c>
      <c r="F1081" s="2987">
        <v>2</v>
      </c>
      <c r="G1081" s="2987">
        <v>2104</v>
      </c>
      <c r="H1081" s="2987" t="s">
        <v>4548</v>
      </c>
      <c r="I1081" s="2987" t="s">
        <v>3486</v>
      </c>
      <c r="J1081" s="2987" t="s">
        <v>3597</v>
      </c>
      <c r="K1081" s="2988">
        <v>128.26</v>
      </c>
    </row>
    <row r="1082" spans="2:11" ht="18" customHeight="1">
      <c r="B1082" s="2986">
        <v>1045</v>
      </c>
      <c r="C1082" s="2987" t="s">
        <v>3482</v>
      </c>
      <c r="D1082" s="2987" t="s">
        <v>3594</v>
      </c>
      <c r="E1082" s="2987" t="s">
        <v>4408</v>
      </c>
      <c r="F1082" s="2987">
        <v>2</v>
      </c>
      <c r="G1082" s="2987">
        <v>301</v>
      </c>
      <c r="H1082" s="2987" t="s">
        <v>4549</v>
      </c>
      <c r="I1082" s="2987" t="s">
        <v>3486</v>
      </c>
      <c r="J1082" s="2987" t="s">
        <v>3602</v>
      </c>
      <c r="K1082" s="2988">
        <v>111.01</v>
      </c>
    </row>
    <row r="1083" spans="2:11" ht="18" customHeight="1">
      <c r="B1083" s="2986">
        <v>1046</v>
      </c>
      <c r="C1083" s="2987" t="s">
        <v>3482</v>
      </c>
      <c r="D1083" s="2987" t="s">
        <v>3594</v>
      </c>
      <c r="E1083" s="2987" t="s">
        <v>4408</v>
      </c>
      <c r="F1083" s="2987">
        <v>2</v>
      </c>
      <c r="G1083" s="2987">
        <v>302</v>
      </c>
      <c r="H1083" s="2987" t="s">
        <v>4550</v>
      </c>
      <c r="I1083" s="2987" t="s">
        <v>3486</v>
      </c>
      <c r="J1083" s="2987" t="s">
        <v>3599</v>
      </c>
      <c r="K1083" s="2988">
        <v>96.17</v>
      </c>
    </row>
    <row r="1084" spans="2:11" ht="18" customHeight="1">
      <c r="B1084" s="2986">
        <v>1047</v>
      </c>
      <c r="C1084" s="2987" t="s">
        <v>3482</v>
      </c>
      <c r="D1084" s="2987" t="s">
        <v>3594</v>
      </c>
      <c r="E1084" s="2987" t="s">
        <v>4408</v>
      </c>
      <c r="F1084" s="2987">
        <v>2</v>
      </c>
      <c r="G1084" s="2987">
        <v>303</v>
      </c>
      <c r="H1084" s="2987" t="s">
        <v>4551</v>
      </c>
      <c r="I1084" s="2987" t="s">
        <v>3486</v>
      </c>
      <c r="J1084" s="2987" t="s">
        <v>3599</v>
      </c>
      <c r="K1084" s="2988">
        <v>96.17</v>
      </c>
    </row>
    <row r="1085" spans="2:11" ht="18" customHeight="1">
      <c r="B1085" s="2986">
        <v>1048</v>
      </c>
      <c r="C1085" s="2987" t="s">
        <v>3482</v>
      </c>
      <c r="D1085" s="2987" t="s">
        <v>3594</v>
      </c>
      <c r="E1085" s="2987" t="s">
        <v>4408</v>
      </c>
      <c r="F1085" s="2987">
        <v>2</v>
      </c>
      <c r="G1085" s="2987">
        <v>304</v>
      </c>
      <c r="H1085" s="2987" t="s">
        <v>4552</v>
      </c>
      <c r="I1085" s="2987" t="s">
        <v>3486</v>
      </c>
      <c r="J1085" s="2987" t="s">
        <v>3597</v>
      </c>
      <c r="K1085" s="2988">
        <v>128.26</v>
      </c>
    </row>
    <row r="1086" spans="2:11" ht="18" customHeight="1">
      <c r="B1086" s="2986">
        <v>1049</v>
      </c>
      <c r="C1086" s="2987" t="s">
        <v>3482</v>
      </c>
      <c r="D1086" s="2987" t="s">
        <v>3594</v>
      </c>
      <c r="E1086" s="2987" t="s">
        <v>4408</v>
      </c>
      <c r="F1086" s="2987">
        <v>2</v>
      </c>
      <c r="G1086" s="2987">
        <v>401</v>
      </c>
      <c r="H1086" s="2987" t="s">
        <v>4553</v>
      </c>
      <c r="I1086" s="2987" t="s">
        <v>3486</v>
      </c>
      <c r="J1086" s="2987" t="s">
        <v>3602</v>
      </c>
      <c r="K1086" s="2988">
        <v>111.01</v>
      </c>
    </row>
    <row r="1087" spans="2:11" ht="18" customHeight="1">
      <c r="B1087" s="2986">
        <v>1050</v>
      </c>
      <c r="C1087" s="2987" t="s">
        <v>3482</v>
      </c>
      <c r="D1087" s="2987" t="s">
        <v>3594</v>
      </c>
      <c r="E1087" s="2987" t="s">
        <v>4408</v>
      </c>
      <c r="F1087" s="2987">
        <v>2</v>
      </c>
      <c r="G1087" s="2987">
        <v>402</v>
      </c>
      <c r="H1087" s="2987" t="s">
        <v>4554</v>
      </c>
      <c r="I1087" s="2987" t="s">
        <v>3486</v>
      </c>
      <c r="J1087" s="2987" t="s">
        <v>3599</v>
      </c>
      <c r="K1087" s="2988">
        <v>96.17</v>
      </c>
    </row>
    <row r="1088" spans="2:11" ht="18" customHeight="1">
      <c r="B1088" s="2986">
        <v>1051</v>
      </c>
      <c r="C1088" s="2987" t="s">
        <v>3482</v>
      </c>
      <c r="D1088" s="2987" t="s">
        <v>3594</v>
      </c>
      <c r="E1088" s="2987" t="s">
        <v>4408</v>
      </c>
      <c r="F1088" s="2987">
        <v>2</v>
      </c>
      <c r="G1088" s="2987">
        <v>403</v>
      </c>
      <c r="H1088" s="2987" t="s">
        <v>4555</v>
      </c>
      <c r="I1088" s="2987" t="s">
        <v>3486</v>
      </c>
      <c r="J1088" s="2987" t="s">
        <v>3599</v>
      </c>
      <c r="K1088" s="2988">
        <v>96.17</v>
      </c>
    </row>
    <row r="1089" spans="2:11" ht="18" customHeight="1">
      <c r="B1089" s="2986">
        <v>1052</v>
      </c>
      <c r="C1089" s="2987" t="s">
        <v>3482</v>
      </c>
      <c r="D1089" s="2987" t="s">
        <v>3594</v>
      </c>
      <c r="E1089" s="2987" t="s">
        <v>4408</v>
      </c>
      <c r="F1089" s="2987">
        <v>2</v>
      </c>
      <c r="G1089" s="2987">
        <v>404</v>
      </c>
      <c r="H1089" s="2987" t="s">
        <v>4556</v>
      </c>
      <c r="I1089" s="2987" t="s">
        <v>3486</v>
      </c>
      <c r="J1089" s="2987" t="s">
        <v>3597</v>
      </c>
      <c r="K1089" s="2988">
        <v>128.26</v>
      </c>
    </row>
    <row r="1090" spans="2:11" ht="18" customHeight="1">
      <c r="B1090" s="2986">
        <v>1053</v>
      </c>
      <c r="C1090" s="2987" t="s">
        <v>3482</v>
      </c>
      <c r="D1090" s="2987" t="s">
        <v>3594</v>
      </c>
      <c r="E1090" s="2987" t="s">
        <v>4408</v>
      </c>
      <c r="F1090" s="2987">
        <v>2</v>
      </c>
      <c r="G1090" s="2987">
        <v>501</v>
      </c>
      <c r="H1090" s="2987" t="s">
        <v>4557</v>
      </c>
      <c r="I1090" s="2987" t="s">
        <v>3486</v>
      </c>
      <c r="J1090" s="2987" t="s">
        <v>3602</v>
      </c>
      <c r="K1090" s="2988">
        <v>111.01</v>
      </c>
    </row>
    <row r="1091" spans="2:11" ht="18" customHeight="1">
      <c r="B1091" s="2986">
        <v>1054</v>
      </c>
      <c r="C1091" s="2987" t="s">
        <v>3482</v>
      </c>
      <c r="D1091" s="2987" t="s">
        <v>3594</v>
      </c>
      <c r="E1091" s="2987" t="s">
        <v>4408</v>
      </c>
      <c r="F1091" s="2987">
        <v>2</v>
      </c>
      <c r="G1091" s="2987">
        <v>502</v>
      </c>
      <c r="H1091" s="2987" t="s">
        <v>4558</v>
      </c>
      <c r="I1091" s="2987" t="s">
        <v>3486</v>
      </c>
      <c r="J1091" s="2987" t="s">
        <v>3599</v>
      </c>
      <c r="K1091" s="2988">
        <v>96.17</v>
      </c>
    </row>
    <row r="1092" spans="2:11" ht="18" customHeight="1">
      <c r="B1092" s="2986">
        <v>1055</v>
      </c>
      <c r="C1092" s="2987" t="s">
        <v>3482</v>
      </c>
      <c r="D1092" s="2987" t="s">
        <v>3594</v>
      </c>
      <c r="E1092" s="2987" t="s">
        <v>4408</v>
      </c>
      <c r="F1092" s="2987">
        <v>2</v>
      </c>
      <c r="G1092" s="2987">
        <v>503</v>
      </c>
      <c r="H1092" s="2987" t="s">
        <v>4559</v>
      </c>
      <c r="I1092" s="2987" t="s">
        <v>3486</v>
      </c>
      <c r="J1092" s="2987" t="s">
        <v>3599</v>
      </c>
      <c r="K1092" s="2988">
        <v>96.17</v>
      </c>
    </row>
    <row r="1093" spans="2:11" ht="18" customHeight="1">
      <c r="B1093" s="2986">
        <v>1056</v>
      </c>
      <c r="C1093" s="2987" t="s">
        <v>3482</v>
      </c>
      <c r="D1093" s="2987" t="s">
        <v>3594</v>
      </c>
      <c r="E1093" s="2987" t="s">
        <v>4408</v>
      </c>
      <c r="F1093" s="2987">
        <v>2</v>
      </c>
      <c r="G1093" s="2987">
        <v>504</v>
      </c>
      <c r="H1093" s="2987" t="s">
        <v>4560</v>
      </c>
      <c r="I1093" s="2987" t="s">
        <v>3486</v>
      </c>
      <c r="J1093" s="2987" t="s">
        <v>3597</v>
      </c>
      <c r="K1093" s="2988">
        <v>128.26</v>
      </c>
    </row>
    <row r="1094" spans="2:11" ht="18" customHeight="1">
      <c r="B1094" s="2986">
        <v>1057</v>
      </c>
      <c r="C1094" s="2987" t="s">
        <v>3482</v>
      </c>
      <c r="D1094" s="2987" t="s">
        <v>3594</v>
      </c>
      <c r="E1094" s="2987" t="s">
        <v>4408</v>
      </c>
      <c r="F1094" s="2987">
        <v>2</v>
      </c>
      <c r="G1094" s="2987">
        <v>601</v>
      </c>
      <c r="H1094" s="2987" t="s">
        <v>4561</v>
      </c>
      <c r="I1094" s="2987" t="s">
        <v>3486</v>
      </c>
      <c r="J1094" s="2987" t="s">
        <v>3602</v>
      </c>
      <c r="K1094" s="2988">
        <v>111.01</v>
      </c>
    </row>
    <row r="1095" spans="2:11" ht="18" customHeight="1">
      <c r="B1095" s="2986">
        <v>1058</v>
      </c>
      <c r="C1095" s="2987" t="s">
        <v>3482</v>
      </c>
      <c r="D1095" s="2987" t="s">
        <v>3594</v>
      </c>
      <c r="E1095" s="2987" t="s">
        <v>4408</v>
      </c>
      <c r="F1095" s="2987">
        <v>2</v>
      </c>
      <c r="G1095" s="2987">
        <v>602</v>
      </c>
      <c r="H1095" s="2987" t="s">
        <v>4562</v>
      </c>
      <c r="I1095" s="2987" t="s">
        <v>3486</v>
      </c>
      <c r="J1095" s="2987" t="s">
        <v>3599</v>
      </c>
      <c r="K1095" s="2988">
        <v>96.17</v>
      </c>
    </row>
    <row r="1096" spans="2:11" ht="18" customHeight="1">
      <c r="B1096" s="2986">
        <v>1059</v>
      </c>
      <c r="C1096" s="2987" t="s">
        <v>3482</v>
      </c>
      <c r="D1096" s="2987" t="s">
        <v>3594</v>
      </c>
      <c r="E1096" s="2987" t="s">
        <v>4408</v>
      </c>
      <c r="F1096" s="2987">
        <v>2</v>
      </c>
      <c r="G1096" s="2987">
        <v>603</v>
      </c>
      <c r="H1096" s="2987" t="s">
        <v>4563</v>
      </c>
      <c r="I1096" s="2987" t="s">
        <v>3486</v>
      </c>
      <c r="J1096" s="2987" t="s">
        <v>3599</v>
      </c>
      <c r="K1096" s="2988">
        <v>96.17</v>
      </c>
    </row>
    <row r="1097" spans="2:11" ht="18" customHeight="1">
      <c r="B1097" s="2986">
        <v>1060</v>
      </c>
      <c r="C1097" s="2987" t="s">
        <v>3482</v>
      </c>
      <c r="D1097" s="2987" t="s">
        <v>3594</v>
      </c>
      <c r="E1097" s="2987" t="s">
        <v>4408</v>
      </c>
      <c r="F1097" s="2987">
        <v>2</v>
      </c>
      <c r="G1097" s="2987">
        <v>604</v>
      </c>
      <c r="H1097" s="2987" t="s">
        <v>4564</v>
      </c>
      <c r="I1097" s="2987" t="s">
        <v>3486</v>
      </c>
      <c r="J1097" s="2987" t="s">
        <v>3597</v>
      </c>
      <c r="K1097" s="2988">
        <v>128.26</v>
      </c>
    </row>
    <row r="1098" spans="2:11" ht="18" customHeight="1">
      <c r="B1098" s="2986">
        <v>1061</v>
      </c>
      <c r="C1098" s="2987" t="s">
        <v>3482</v>
      </c>
      <c r="D1098" s="2987" t="s">
        <v>3594</v>
      </c>
      <c r="E1098" s="2987" t="s">
        <v>4408</v>
      </c>
      <c r="F1098" s="2987">
        <v>2</v>
      </c>
      <c r="G1098" s="2987">
        <v>701</v>
      </c>
      <c r="H1098" s="2987" t="s">
        <v>4565</v>
      </c>
      <c r="I1098" s="2987" t="s">
        <v>3486</v>
      </c>
      <c r="J1098" s="2987" t="s">
        <v>3602</v>
      </c>
      <c r="K1098" s="2988">
        <v>111.01</v>
      </c>
    </row>
    <row r="1099" spans="2:11" ht="18" customHeight="1">
      <c r="B1099" s="2986">
        <v>1062</v>
      </c>
      <c r="C1099" s="2987" t="s">
        <v>3482</v>
      </c>
      <c r="D1099" s="2987" t="s">
        <v>3594</v>
      </c>
      <c r="E1099" s="2987" t="s">
        <v>4408</v>
      </c>
      <c r="F1099" s="2987">
        <v>2</v>
      </c>
      <c r="G1099" s="2987">
        <v>702</v>
      </c>
      <c r="H1099" s="2987" t="s">
        <v>4566</v>
      </c>
      <c r="I1099" s="2987" t="s">
        <v>3486</v>
      </c>
      <c r="J1099" s="2987" t="s">
        <v>3599</v>
      </c>
      <c r="K1099" s="2988">
        <v>96.17</v>
      </c>
    </row>
    <row r="1100" spans="2:11" ht="18" customHeight="1">
      <c r="B1100" s="2986">
        <v>1063</v>
      </c>
      <c r="C1100" s="2987" t="s">
        <v>3482</v>
      </c>
      <c r="D1100" s="2987" t="s">
        <v>3594</v>
      </c>
      <c r="E1100" s="2987" t="s">
        <v>4408</v>
      </c>
      <c r="F1100" s="2987">
        <v>2</v>
      </c>
      <c r="G1100" s="2987">
        <v>703</v>
      </c>
      <c r="H1100" s="2987" t="s">
        <v>4567</v>
      </c>
      <c r="I1100" s="2987" t="s">
        <v>3486</v>
      </c>
      <c r="J1100" s="2987" t="s">
        <v>3599</v>
      </c>
      <c r="K1100" s="2988">
        <v>96.17</v>
      </c>
    </row>
    <row r="1101" spans="2:11" ht="18" customHeight="1">
      <c r="B1101" s="2986">
        <v>1064</v>
      </c>
      <c r="C1101" s="2987" t="s">
        <v>3482</v>
      </c>
      <c r="D1101" s="2987" t="s">
        <v>3594</v>
      </c>
      <c r="E1101" s="2987" t="s">
        <v>4408</v>
      </c>
      <c r="F1101" s="2987">
        <v>2</v>
      </c>
      <c r="G1101" s="2987">
        <v>704</v>
      </c>
      <c r="H1101" s="2987" t="s">
        <v>4568</v>
      </c>
      <c r="I1101" s="2987" t="s">
        <v>3486</v>
      </c>
      <c r="J1101" s="2987" t="s">
        <v>3597</v>
      </c>
      <c r="K1101" s="2988">
        <v>128.26</v>
      </c>
    </row>
    <row r="1102" spans="2:11" ht="18" customHeight="1">
      <c r="B1102" s="2986">
        <v>1065</v>
      </c>
      <c r="C1102" s="2987" t="s">
        <v>3482</v>
      </c>
      <c r="D1102" s="2987" t="s">
        <v>3594</v>
      </c>
      <c r="E1102" s="2987" t="s">
        <v>4408</v>
      </c>
      <c r="F1102" s="2987">
        <v>2</v>
      </c>
      <c r="G1102" s="2987">
        <v>801</v>
      </c>
      <c r="H1102" s="2987" t="s">
        <v>4569</v>
      </c>
      <c r="I1102" s="2987" t="s">
        <v>3486</v>
      </c>
      <c r="J1102" s="2987" t="s">
        <v>3602</v>
      </c>
      <c r="K1102" s="2988">
        <v>111.01</v>
      </c>
    </row>
    <row r="1103" spans="2:11" ht="18" customHeight="1">
      <c r="B1103" s="2986">
        <v>1066</v>
      </c>
      <c r="C1103" s="2987" t="s">
        <v>3482</v>
      </c>
      <c r="D1103" s="2987" t="s">
        <v>3594</v>
      </c>
      <c r="E1103" s="2987" t="s">
        <v>4408</v>
      </c>
      <c r="F1103" s="2987">
        <v>2</v>
      </c>
      <c r="G1103" s="2987">
        <v>802</v>
      </c>
      <c r="H1103" s="2987" t="s">
        <v>4570</v>
      </c>
      <c r="I1103" s="2987" t="s">
        <v>3486</v>
      </c>
      <c r="J1103" s="2987" t="s">
        <v>3599</v>
      </c>
      <c r="K1103" s="2988">
        <v>96.17</v>
      </c>
    </row>
    <row r="1104" spans="2:11" ht="18" customHeight="1">
      <c r="B1104" s="2986">
        <v>1067</v>
      </c>
      <c r="C1104" s="2987" t="s">
        <v>3482</v>
      </c>
      <c r="D1104" s="2987" t="s">
        <v>3594</v>
      </c>
      <c r="E1104" s="2987" t="s">
        <v>4408</v>
      </c>
      <c r="F1104" s="2987">
        <v>2</v>
      </c>
      <c r="G1104" s="2987">
        <v>803</v>
      </c>
      <c r="H1104" s="2987" t="s">
        <v>4571</v>
      </c>
      <c r="I1104" s="2987" t="s">
        <v>3486</v>
      </c>
      <c r="J1104" s="2987" t="s">
        <v>3599</v>
      </c>
      <c r="K1104" s="2988">
        <v>96.17</v>
      </c>
    </row>
    <row r="1105" spans="2:11" ht="18" customHeight="1">
      <c r="B1105" s="2986">
        <v>1068</v>
      </c>
      <c r="C1105" s="2987" t="s">
        <v>3482</v>
      </c>
      <c r="D1105" s="2987" t="s">
        <v>3594</v>
      </c>
      <c r="E1105" s="2987" t="s">
        <v>4408</v>
      </c>
      <c r="F1105" s="2987">
        <v>2</v>
      </c>
      <c r="G1105" s="2987">
        <v>804</v>
      </c>
      <c r="H1105" s="2987" t="s">
        <v>4572</v>
      </c>
      <c r="I1105" s="2987" t="s">
        <v>3486</v>
      </c>
      <c r="J1105" s="2987" t="s">
        <v>3597</v>
      </c>
      <c r="K1105" s="2988">
        <v>128.26</v>
      </c>
    </row>
    <row r="1106" spans="2:11" ht="18" customHeight="1">
      <c r="B1106" s="2986">
        <v>1069</v>
      </c>
      <c r="C1106" s="2987" t="s">
        <v>3482</v>
      </c>
      <c r="D1106" s="2987" t="s">
        <v>3594</v>
      </c>
      <c r="E1106" s="2987" t="s">
        <v>4408</v>
      </c>
      <c r="F1106" s="2987">
        <v>2</v>
      </c>
      <c r="G1106" s="2987">
        <v>901</v>
      </c>
      <c r="H1106" s="2987" t="s">
        <v>4573</v>
      </c>
      <c r="I1106" s="2987" t="s">
        <v>3486</v>
      </c>
      <c r="J1106" s="2987" t="s">
        <v>3602</v>
      </c>
      <c r="K1106" s="2988">
        <v>111.01</v>
      </c>
    </row>
    <row r="1107" spans="2:11" ht="18" customHeight="1">
      <c r="B1107" s="2986">
        <v>1070</v>
      </c>
      <c r="C1107" s="2987" t="s">
        <v>3482</v>
      </c>
      <c r="D1107" s="2987" t="s">
        <v>3594</v>
      </c>
      <c r="E1107" s="2987" t="s">
        <v>4408</v>
      </c>
      <c r="F1107" s="2987">
        <v>2</v>
      </c>
      <c r="G1107" s="2987">
        <v>902</v>
      </c>
      <c r="H1107" s="2987" t="s">
        <v>4574</v>
      </c>
      <c r="I1107" s="2987" t="s">
        <v>3486</v>
      </c>
      <c r="J1107" s="2987" t="s">
        <v>3599</v>
      </c>
      <c r="K1107" s="2988">
        <v>96.17</v>
      </c>
    </row>
    <row r="1108" spans="2:11" ht="18" customHeight="1">
      <c r="B1108" s="2986">
        <v>1071</v>
      </c>
      <c r="C1108" s="2987" t="s">
        <v>3482</v>
      </c>
      <c r="D1108" s="2987" t="s">
        <v>3594</v>
      </c>
      <c r="E1108" s="2987" t="s">
        <v>4408</v>
      </c>
      <c r="F1108" s="2987">
        <v>2</v>
      </c>
      <c r="G1108" s="2987">
        <v>903</v>
      </c>
      <c r="H1108" s="2987" t="s">
        <v>4575</v>
      </c>
      <c r="I1108" s="2987" t="s">
        <v>3486</v>
      </c>
      <c r="J1108" s="2987" t="s">
        <v>3599</v>
      </c>
      <c r="K1108" s="2988">
        <v>96.17</v>
      </c>
    </row>
    <row r="1109" spans="2:11" ht="18" customHeight="1">
      <c r="B1109" s="2986">
        <v>1072</v>
      </c>
      <c r="C1109" s="2987" t="s">
        <v>3482</v>
      </c>
      <c r="D1109" s="2987" t="s">
        <v>3594</v>
      </c>
      <c r="E1109" s="2987" t="s">
        <v>4408</v>
      </c>
      <c r="F1109" s="2987">
        <v>2</v>
      </c>
      <c r="G1109" s="2987">
        <v>904</v>
      </c>
      <c r="H1109" s="2987" t="s">
        <v>4576</v>
      </c>
      <c r="I1109" s="2987" t="s">
        <v>3486</v>
      </c>
      <c r="J1109" s="2987" t="s">
        <v>3597</v>
      </c>
      <c r="K1109" s="2988">
        <v>128.26</v>
      </c>
    </row>
    <row r="1110" spans="2:11" s="3021" customFormat="1" ht="18" customHeight="1">
      <c r="B1110" s="3018"/>
      <c r="C1110" s="3019"/>
      <c r="D1110" s="3019"/>
      <c r="E1110" s="3019"/>
      <c r="F1110" s="3019"/>
      <c r="G1110" s="3019"/>
      <c r="H1110" s="3019"/>
      <c r="I1110" s="3019"/>
      <c r="J1110" s="3019"/>
      <c r="K1110" s="3020">
        <f>SUM(K942:K1109)</f>
        <v>18127.619999999992</v>
      </c>
    </row>
    <row r="1111" spans="2:11" ht="18" customHeight="1">
      <c r="B1111" s="2986">
        <v>1073</v>
      </c>
      <c r="C1111" s="2987" t="s">
        <v>3482</v>
      </c>
      <c r="D1111" s="2987" t="s">
        <v>3594</v>
      </c>
      <c r="E1111" s="2987" t="s">
        <v>4577</v>
      </c>
      <c r="F1111" s="2987">
        <v>1</v>
      </c>
      <c r="G1111" s="2987">
        <v>1001</v>
      </c>
      <c r="H1111" s="2987" t="s">
        <v>4578</v>
      </c>
      <c r="I1111" s="2987" t="s">
        <v>3486</v>
      </c>
      <c r="J1111" s="2987" t="s">
        <v>3597</v>
      </c>
      <c r="K1111" s="2988">
        <v>128.26</v>
      </c>
    </row>
    <row r="1112" spans="2:11" ht="18" customHeight="1">
      <c r="B1112" s="2986">
        <v>1074</v>
      </c>
      <c r="C1112" s="2987" t="s">
        <v>3482</v>
      </c>
      <c r="D1112" s="2987" t="s">
        <v>3594</v>
      </c>
      <c r="E1112" s="2987" t="s">
        <v>4577</v>
      </c>
      <c r="F1112" s="2987">
        <v>1</v>
      </c>
      <c r="G1112" s="2987">
        <v>1002</v>
      </c>
      <c r="H1112" s="2987" t="s">
        <v>4579</v>
      </c>
      <c r="I1112" s="2987" t="s">
        <v>3486</v>
      </c>
      <c r="J1112" s="2987" t="s">
        <v>3599</v>
      </c>
      <c r="K1112" s="2988">
        <v>96.17</v>
      </c>
    </row>
    <row r="1113" spans="2:11" ht="18" customHeight="1">
      <c r="B1113" s="2986">
        <v>1075</v>
      </c>
      <c r="C1113" s="2987" t="s">
        <v>3482</v>
      </c>
      <c r="D1113" s="2987" t="s">
        <v>3594</v>
      </c>
      <c r="E1113" s="2987" t="s">
        <v>4577</v>
      </c>
      <c r="F1113" s="2987">
        <v>1</v>
      </c>
      <c r="G1113" s="2987">
        <v>1003</v>
      </c>
      <c r="H1113" s="2987" t="s">
        <v>4580</v>
      </c>
      <c r="I1113" s="2987" t="s">
        <v>3486</v>
      </c>
      <c r="J1113" s="2987" t="s">
        <v>3599</v>
      </c>
      <c r="K1113" s="2988">
        <v>96.17</v>
      </c>
    </row>
    <row r="1114" spans="2:11" ht="18" customHeight="1">
      <c r="B1114" s="2986">
        <v>1076</v>
      </c>
      <c r="C1114" s="2987" t="s">
        <v>3482</v>
      </c>
      <c r="D1114" s="2987" t="s">
        <v>3594</v>
      </c>
      <c r="E1114" s="2987" t="s">
        <v>4577</v>
      </c>
      <c r="F1114" s="2987">
        <v>1</v>
      </c>
      <c r="G1114" s="2987">
        <v>1004</v>
      </c>
      <c r="H1114" s="2987" t="s">
        <v>4581</v>
      </c>
      <c r="I1114" s="2987" t="s">
        <v>3486</v>
      </c>
      <c r="J1114" s="2987" t="s">
        <v>3602</v>
      </c>
      <c r="K1114" s="2988">
        <v>111.01</v>
      </c>
    </row>
    <row r="1115" spans="2:11" ht="18" customHeight="1">
      <c r="B1115" s="2986">
        <v>1077</v>
      </c>
      <c r="C1115" s="2987" t="s">
        <v>3482</v>
      </c>
      <c r="D1115" s="2987" t="s">
        <v>3594</v>
      </c>
      <c r="E1115" s="2987" t="s">
        <v>4577</v>
      </c>
      <c r="F1115" s="2987">
        <v>1</v>
      </c>
      <c r="G1115" s="2987">
        <v>101</v>
      </c>
      <c r="H1115" s="2987" t="s">
        <v>4582</v>
      </c>
      <c r="I1115" s="2987" t="s">
        <v>3486</v>
      </c>
      <c r="J1115" s="2987" t="s">
        <v>3597</v>
      </c>
      <c r="K1115" s="2988">
        <v>128.26</v>
      </c>
    </row>
    <row r="1116" spans="2:11" ht="18" customHeight="1">
      <c r="B1116" s="2986">
        <v>1078</v>
      </c>
      <c r="C1116" s="2987" t="s">
        <v>3482</v>
      </c>
      <c r="D1116" s="2987" t="s">
        <v>3594</v>
      </c>
      <c r="E1116" s="2987" t="s">
        <v>4577</v>
      </c>
      <c r="F1116" s="2987">
        <v>1</v>
      </c>
      <c r="G1116" s="2987">
        <v>102</v>
      </c>
      <c r="H1116" s="2987" t="s">
        <v>4583</v>
      </c>
      <c r="I1116" s="2987" t="s">
        <v>3486</v>
      </c>
      <c r="J1116" s="2987" t="s">
        <v>3599</v>
      </c>
      <c r="K1116" s="2988">
        <v>96.17</v>
      </c>
    </row>
    <row r="1117" spans="2:11" ht="18" customHeight="1">
      <c r="B1117" s="2986">
        <v>1079</v>
      </c>
      <c r="C1117" s="2987" t="s">
        <v>3482</v>
      </c>
      <c r="D1117" s="2987" t="s">
        <v>3594</v>
      </c>
      <c r="E1117" s="2987" t="s">
        <v>4577</v>
      </c>
      <c r="F1117" s="2987">
        <v>1</v>
      </c>
      <c r="G1117" s="2987">
        <v>103</v>
      </c>
      <c r="H1117" s="2987" t="s">
        <v>4584</v>
      </c>
      <c r="I1117" s="2987" t="s">
        <v>3486</v>
      </c>
      <c r="J1117" s="2987" t="s">
        <v>3599</v>
      </c>
      <c r="K1117" s="2988">
        <v>96.17</v>
      </c>
    </row>
    <row r="1118" spans="2:11" ht="18" customHeight="1">
      <c r="B1118" s="2986">
        <v>1080</v>
      </c>
      <c r="C1118" s="2987" t="s">
        <v>3482</v>
      </c>
      <c r="D1118" s="2987" t="s">
        <v>3594</v>
      </c>
      <c r="E1118" s="2987" t="s">
        <v>4577</v>
      </c>
      <c r="F1118" s="2987">
        <v>1</v>
      </c>
      <c r="G1118" s="2987">
        <v>104</v>
      </c>
      <c r="H1118" s="2987" t="s">
        <v>4585</v>
      </c>
      <c r="I1118" s="2987" t="s">
        <v>3486</v>
      </c>
      <c r="J1118" s="2987" t="s">
        <v>3602</v>
      </c>
      <c r="K1118" s="2988">
        <v>111.01</v>
      </c>
    </row>
    <row r="1119" spans="2:11" ht="18" customHeight="1">
      <c r="B1119" s="2986">
        <v>1081</v>
      </c>
      <c r="C1119" s="2987" t="s">
        <v>3482</v>
      </c>
      <c r="D1119" s="2987" t="s">
        <v>3594</v>
      </c>
      <c r="E1119" s="2987" t="s">
        <v>4577</v>
      </c>
      <c r="F1119" s="2987">
        <v>1</v>
      </c>
      <c r="G1119" s="2987">
        <v>1101</v>
      </c>
      <c r="H1119" s="2987" t="s">
        <v>4586</v>
      </c>
      <c r="I1119" s="2987" t="s">
        <v>3486</v>
      </c>
      <c r="J1119" s="2987" t="s">
        <v>3597</v>
      </c>
      <c r="K1119" s="2988">
        <v>128.26</v>
      </c>
    </row>
    <row r="1120" spans="2:11" ht="18" customHeight="1">
      <c r="B1120" s="2986">
        <v>1082</v>
      </c>
      <c r="C1120" s="2987" t="s">
        <v>3482</v>
      </c>
      <c r="D1120" s="2987" t="s">
        <v>3594</v>
      </c>
      <c r="E1120" s="2987" t="s">
        <v>4577</v>
      </c>
      <c r="F1120" s="2987">
        <v>1</v>
      </c>
      <c r="G1120" s="2987">
        <v>1102</v>
      </c>
      <c r="H1120" s="2987" t="s">
        <v>4587</v>
      </c>
      <c r="I1120" s="2987" t="s">
        <v>3486</v>
      </c>
      <c r="J1120" s="2987" t="s">
        <v>3599</v>
      </c>
      <c r="K1120" s="2988">
        <v>96.17</v>
      </c>
    </row>
    <row r="1121" spans="2:11" ht="18" customHeight="1">
      <c r="B1121" s="2986">
        <v>1083</v>
      </c>
      <c r="C1121" s="2987" t="s">
        <v>3482</v>
      </c>
      <c r="D1121" s="2987" t="s">
        <v>3594</v>
      </c>
      <c r="E1121" s="2987" t="s">
        <v>4577</v>
      </c>
      <c r="F1121" s="2987">
        <v>1</v>
      </c>
      <c r="G1121" s="2987">
        <v>1103</v>
      </c>
      <c r="H1121" s="2987" t="s">
        <v>4588</v>
      </c>
      <c r="I1121" s="2987" t="s">
        <v>3486</v>
      </c>
      <c r="J1121" s="2987" t="s">
        <v>3599</v>
      </c>
      <c r="K1121" s="2988">
        <v>96.17</v>
      </c>
    </row>
    <row r="1122" spans="2:11" ht="18" customHeight="1">
      <c r="B1122" s="2986">
        <v>1084</v>
      </c>
      <c r="C1122" s="2987" t="s">
        <v>3482</v>
      </c>
      <c r="D1122" s="2987" t="s">
        <v>3594</v>
      </c>
      <c r="E1122" s="2987" t="s">
        <v>4577</v>
      </c>
      <c r="F1122" s="2987">
        <v>1</v>
      </c>
      <c r="G1122" s="2987">
        <v>1104</v>
      </c>
      <c r="H1122" s="2987" t="s">
        <v>4589</v>
      </c>
      <c r="I1122" s="2987" t="s">
        <v>3486</v>
      </c>
      <c r="J1122" s="2987" t="s">
        <v>3602</v>
      </c>
      <c r="K1122" s="2988">
        <v>111.01</v>
      </c>
    </row>
    <row r="1123" spans="2:11" ht="18" customHeight="1">
      <c r="B1123" s="2986">
        <v>1085</v>
      </c>
      <c r="C1123" s="2987" t="s">
        <v>3482</v>
      </c>
      <c r="D1123" s="2987" t="s">
        <v>3594</v>
      </c>
      <c r="E1123" s="2987" t="s">
        <v>4577</v>
      </c>
      <c r="F1123" s="2987">
        <v>1</v>
      </c>
      <c r="G1123" s="2987">
        <v>1201</v>
      </c>
      <c r="H1123" s="2987" t="s">
        <v>4590</v>
      </c>
      <c r="I1123" s="2987" t="s">
        <v>3486</v>
      </c>
      <c r="J1123" s="2987" t="s">
        <v>3597</v>
      </c>
      <c r="K1123" s="2988">
        <v>128.26</v>
      </c>
    </row>
    <row r="1124" spans="2:11" ht="18" customHeight="1">
      <c r="B1124" s="2986">
        <v>1086</v>
      </c>
      <c r="C1124" s="2987" t="s">
        <v>3482</v>
      </c>
      <c r="D1124" s="2987" t="s">
        <v>3594</v>
      </c>
      <c r="E1124" s="2987" t="s">
        <v>4577</v>
      </c>
      <c r="F1124" s="2987">
        <v>1</v>
      </c>
      <c r="G1124" s="2987">
        <v>1202</v>
      </c>
      <c r="H1124" s="2987" t="s">
        <v>4591</v>
      </c>
      <c r="I1124" s="2987" t="s">
        <v>3486</v>
      </c>
      <c r="J1124" s="2987" t="s">
        <v>3599</v>
      </c>
      <c r="K1124" s="2988">
        <v>96.17</v>
      </c>
    </row>
    <row r="1125" spans="2:11" ht="18" customHeight="1">
      <c r="B1125" s="2986">
        <v>1087</v>
      </c>
      <c r="C1125" s="2987" t="s">
        <v>3482</v>
      </c>
      <c r="D1125" s="2987" t="s">
        <v>3594</v>
      </c>
      <c r="E1125" s="2987" t="s">
        <v>4577</v>
      </c>
      <c r="F1125" s="2987">
        <v>1</v>
      </c>
      <c r="G1125" s="2987">
        <v>1203</v>
      </c>
      <c r="H1125" s="2987" t="s">
        <v>4592</v>
      </c>
      <c r="I1125" s="2987" t="s">
        <v>3486</v>
      </c>
      <c r="J1125" s="2987" t="s">
        <v>3599</v>
      </c>
      <c r="K1125" s="2988">
        <v>96.17</v>
      </c>
    </row>
    <row r="1126" spans="2:11" ht="18" customHeight="1">
      <c r="B1126" s="2986">
        <v>1088</v>
      </c>
      <c r="C1126" s="2987" t="s">
        <v>3482</v>
      </c>
      <c r="D1126" s="2987" t="s">
        <v>3594</v>
      </c>
      <c r="E1126" s="2987" t="s">
        <v>4577</v>
      </c>
      <c r="F1126" s="2987">
        <v>1</v>
      </c>
      <c r="G1126" s="2987">
        <v>1204</v>
      </c>
      <c r="H1126" s="2987" t="s">
        <v>4593</v>
      </c>
      <c r="I1126" s="2987" t="s">
        <v>3486</v>
      </c>
      <c r="J1126" s="2987" t="s">
        <v>3602</v>
      </c>
      <c r="K1126" s="2988">
        <v>111.01</v>
      </c>
    </row>
    <row r="1127" spans="2:11" ht="18" customHeight="1">
      <c r="B1127" s="2986">
        <v>1089</v>
      </c>
      <c r="C1127" s="2987" t="s">
        <v>3482</v>
      </c>
      <c r="D1127" s="2987" t="s">
        <v>3594</v>
      </c>
      <c r="E1127" s="2987" t="s">
        <v>4577</v>
      </c>
      <c r="F1127" s="2987">
        <v>1</v>
      </c>
      <c r="G1127" s="2987">
        <v>1301</v>
      </c>
      <c r="H1127" s="2987" t="s">
        <v>4594</v>
      </c>
      <c r="I1127" s="2987" t="s">
        <v>3486</v>
      </c>
      <c r="J1127" s="2987" t="s">
        <v>3597</v>
      </c>
      <c r="K1127" s="2988">
        <v>128.26</v>
      </c>
    </row>
    <row r="1128" spans="2:11" ht="18" customHeight="1">
      <c r="B1128" s="2986">
        <v>1090</v>
      </c>
      <c r="C1128" s="2987" t="s">
        <v>3482</v>
      </c>
      <c r="D1128" s="2987" t="s">
        <v>3594</v>
      </c>
      <c r="E1128" s="2987" t="s">
        <v>4577</v>
      </c>
      <c r="F1128" s="2987">
        <v>1</v>
      </c>
      <c r="G1128" s="2987">
        <v>1302</v>
      </c>
      <c r="H1128" s="2987" t="s">
        <v>4595</v>
      </c>
      <c r="I1128" s="2987" t="s">
        <v>3486</v>
      </c>
      <c r="J1128" s="2987" t="s">
        <v>3599</v>
      </c>
      <c r="K1128" s="2988">
        <v>96.17</v>
      </c>
    </row>
    <row r="1129" spans="2:11" ht="18" customHeight="1">
      <c r="B1129" s="2986">
        <v>1091</v>
      </c>
      <c r="C1129" s="2987" t="s">
        <v>3482</v>
      </c>
      <c r="D1129" s="2987" t="s">
        <v>3594</v>
      </c>
      <c r="E1129" s="2987" t="s">
        <v>4577</v>
      </c>
      <c r="F1129" s="2987">
        <v>1</v>
      </c>
      <c r="G1129" s="2987">
        <v>1303</v>
      </c>
      <c r="H1129" s="2987" t="s">
        <v>4596</v>
      </c>
      <c r="I1129" s="2987" t="s">
        <v>3486</v>
      </c>
      <c r="J1129" s="2987" t="s">
        <v>3599</v>
      </c>
      <c r="K1129" s="2988">
        <v>96.17</v>
      </c>
    </row>
    <row r="1130" spans="2:11" ht="18" customHeight="1">
      <c r="B1130" s="2986">
        <v>1092</v>
      </c>
      <c r="C1130" s="2987" t="s">
        <v>3482</v>
      </c>
      <c r="D1130" s="2987" t="s">
        <v>3594</v>
      </c>
      <c r="E1130" s="2987" t="s">
        <v>4577</v>
      </c>
      <c r="F1130" s="2987">
        <v>1</v>
      </c>
      <c r="G1130" s="2987">
        <v>1304</v>
      </c>
      <c r="H1130" s="2987" t="s">
        <v>4597</v>
      </c>
      <c r="I1130" s="2987" t="s">
        <v>3486</v>
      </c>
      <c r="J1130" s="2987" t="s">
        <v>3602</v>
      </c>
      <c r="K1130" s="2988">
        <v>111.01</v>
      </c>
    </row>
    <row r="1131" spans="2:11" ht="18" customHeight="1">
      <c r="B1131" s="2986">
        <v>1093</v>
      </c>
      <c r="C1131" s="2987" t="s">
        <v>3482</v>
      </c>
      <c r="D1131" s="2987" t="s">
        <v>3594</v>
      </c>
      <c r="E1131" s="2987" t="s">
        <v>4577</v>
      </c>
      <c r="F1131" s="2987">
        <v>1</v>
      </c>
      <c r="G1131" s="2987">
        <v>1401</v>
      </c>
      <c r="H1131" s="2987" t="s">
        <v>4598</v>
      </c>
      <c r="I1131" s="2987" t="s">
        <v>3486</v>
      </c>
      <c r="J1131" s="2987" t="s">
        <v>3597</v>
      </c>
      <c r="K1131" s="2988">
        <v>128.26</v>
      </c>
    </row>
    <row r="1132" spans="2:11" ht="18" customHeight="1">
      <c r="B1132" s="2986">
        <v>1094</v>
      </c>
      <c r="C1132" s="2987" t="s">
        <v>3482</v>
      </c>
      <c r="D1132" s="2987" t="s">
        <v>3594</v>
      </c>
      <c r="E1132" s="2987" t="s">
        <v>4577</v>
      </c>
      <c r="F1132" s="2987">
        <v>1</v>
      </c>
      <c r="G1132" s="2987">
        <v>1402</v>
      </c>
      <c r="H1132" s="2987" t="s">
        <v>4599</v>
      </c>
      <c r="I1132" s="2987" t="s">
        <v>3486</v>
      </c>
      <c r="J1132" s="2987" t="s">
        <v>3599</v>
      </c>
      <c r="K1132" s="2988">
        <v>96.17</v>
      </c>
    </row>
    <row r="1133" spans="2:11" ht="18" customHeight="1">
      <c r="B1133" s="2986">
        <v>1095</v>
      </c>
      <c r="C1133" s="2987" t="s">
        <v>3482</v>
      </c>
      <c r="D1133" s="2987" t="s">
        <v>3594</v>
      </c>
      <c r="E1133" s="2987" t="s">
        <v>4577</v>
      </c>
      <c r="F1133" s="2987">
        <v>1</v>
      </c>
      <c r="G1133" s="2987">
        <v>1403</v>
      </c>
      <c r="H1133" s="2987" t="s">
        <v>4600</v>
      </c>
      <c r="I1133" s="2987" t="s">
        <v>3486</v>
      </c>
      <c r="J1133" s="2987" t="s">
        <v>3599</v>
      </c>
      <c r="K1133" s="2988">
        <v>96.17</v>
      </c>
    </row>
    <row r="1134" spans="2:11" ht="18" customHeight="1">
      <c r="B1134" s="2986">
        <v>1096</v>
      </c>
      <c r="C1134" s="2987" t="s">
        <v>3482</v>
      </c>
      <c r="D1134" s="2987" t="s">
        <v>3594</v>
      </c>
      <c r="E1134" s="2987" t="s">
        <v>4577</v>
      </c>
      <c r="F1134" s="2987">
        <v>1</v>
      </c>
      <c r="G1134" s="2987">
        <v>1404</v>
      </c>
      <c r="H1134" s="2987" t="s">
        <v>4601</v>
      </c>
      <c r="I1134" s="2987" t="s">
        <v>3486</v>
      </c>
      <c r="J1134" s="2987" t="s">
        <v>3602</v>
      </c>
      <c r="K1134" s="2988">
        <v>111.01</v>
      </c>
    </row>
    <row r="1135" spans="2:11" ht="18" customHeight="1">
      <c r="B1135" s="2986">
        <v>1097</v>
      </c>
      <c r="C1135" s="2987" t="s">
        <v>3482</v>
      </c>
      <c r="D1135" s="2987" t="s">
        <v>3594</v>
      </c>
      <c r="E1135" s="2987" t="s">
        <v>4577</v>
      </c>
      <c r="F1135" s="2987">
        <v>1</v>
      </c>
      <c r="G1135" s="2987">
        <v>1501</v>
      </c>
      <c r="H1135" s="2987" t="s">
        <v>4602</v>
      </c>
      <c r="I1135" s="2987" t="s">
        <v>3486</v>
      </c>
      <c r="J1135" s="2987" t="s">
        <v>3597</v>
      </c>
      <c r="K1135" s="2988">
        <v>128.26</v>
      </c>
    </row>
    <row r="1136" spans="2:11" ht="18" customHeight="1">
      <c r="B1136" s="2986">
        <v>1098</v>
      </c>
      <c r="C1136" s="2987" t="s">
        <v>3482</v>
      </c>
      <c r="D1136" s="2987" t="s">
        <v>3594</v>
      </c>
      <c r="E1136" s="2987" t="s">
        <v>4577</v>
      </c>
      <c r="F1136" s="2987">
        <v>1</v>
      </c>
      <c r="G1136" s="2987">
        <v>1502</v>
      </c>
      <c r="H1136" s="2987" t="s">
        <v>4603</v>
      </c>
      <c r="I1136" s="2987" t="s">
        <v>3486</v>
      </c>
      <c r="J1136" s="2987" t="s">
        <v>3599</v>
      </c>
      <c r="K1136" s="2988">
        <v>96.17</v>
      </c>
    </row>
    <row r="1137" spans="2:11" ht="18" customHeight="1">
      <c r="B1137" s="2986">
        <v>1099</v>
      </c>
      <c r="C1137" s="2987" t="s">
        <v>3482</v>
      </c>
      <c r="D1137" s="2987" t="s">
        <v>3594</v>
      </c>
      <c r="E1137" s="2987" t="s">
        <v>4577</v>
      </c>
      <c r="F1137" s="2987">
        <v>1</v>
      </c>
      <c r="G1137" s="2987">
        <v>1503</v>
      </c>
      <c r="H1137" s="2987" t="s">
        <v>4604</v>
      </c>
      <c r="I1137" s="2987" t="s">
        <v>3486</v>
      </c>
      <c r="J1137" s="2987" t="s">
        <v>3599</v>
      </c>
      <c r="K1137" s="2988">
        <v>96.17</v>
      </c>
    </row>
    <row r="1138" spans="2:11" ht="18" customHeight="1">
      <c r="B1138" s="2986">
        <v>1100</v>
      </c>
      <c r="C1138" s="2987" t="s">
        <v>3482</v>
      </c>
      <c r="D1138" s="2987" t="s">
        <v>3594</v>
      </c>
      <c r="E1138" s="2987" t="s">
        <v>4577</v>
      </c>
      <c r="F1138" s="2987">
        <v>1</v>
      </c>
      <c r="G1138" s="2987">
        <v>1504</v>
      </c>
      <c r="H1138" s="2987" t="s">
        <v>4605</v>
      </c>
      <c r="I1138" s="2987" t="s">
        <v>3486</v>
      </c>
      <c r="J1138" s="2987" t="s">
        <v>3602</v>
      </c>
      <c r="K1138" s="2988">
        <v>111.01</v>
      </c>
    </row>
    <row r="1139" spans="2:11" ht="18" customHeight="1">
      <c r="B1139" s="2986">
        <v>1101</v>
      </c>
      <c r="C1139" s="2987" t="s">
        <v>3482</v>
      </c>
      <c r="D1139" s="2987" t="s">
        <v>3594</v>
      </c>
      <c r="E1139" s="2987" t="s">
        <v>4577</v>
      </c>
      <c r="F1139" s="2987">
        <v>1</v>
      </c>
      <c r="G1139" s="2987">
        <v>1601</v>
      </c>
      <c r="H1139" s="2987" t="s">
        <v>4606</v>
      </c>
      <c r="I1139" s="2987" t="s">
        <v>3486</v>
      </c>
      <c r="J1139" s="2987" t="s">
        <v>3597</v>
      </c>
      <c r="K1139" s="2988">
        <v>128.26</v>
      </c>
    </row>
    <row r="1140" spans="2:11" ht="18" customHeight="1">
      <c r="B1140" s="2986">
        <v>1102</v>
      </c>
      <c r="C1140" s="2987" t="s">
        <v>3482</v>
      </c>
      <c r="D1140" s="2987" t="s">
        <v>3594</v>
      </c>
      <c r="E1140" s="2987" t="s">
        <v>4577</v>
      </c>
      <c r="F1140" s="2987">
        <v>1</v>
      </c>
      <c r="G1140" s="2987">
        <v>1602</v>
      </c>
      <c r="H1140" s="2987" t="s">
        <v>4607</v>
      </c>
      <c r="I1140" s="2987" t="s">
        <v>3486</v>
      </c>
      <c r="J1140" s="2987" t="s">
        <v>3599</v>
      </c>
      <c r="K1140" s="2988">
        <v>96.17</v>
      </c>
    </row>
    <row r="1141" spans="2:11" ht="18" customHeight="1">
      <c r="B1141" s="2986">
        <v>1103</v>
      </c>
      <c r="C1141" s="2987" t="s">
        <v>3482</v>
      </c>
      <c r="D1141" s="2987" t="s">
        <v>3594</v>
      </c>
      <c r="E1141" s="2987" t="s">
        <v>4577</v>
      </c>
      <c r="F1141" s="2987">
        <v>1</v>
      </c>
      <c r="G1141" s="2987">
        <v>1603</v>
      </c>
      <c r="H1141" s="2987" t="s">
        <v>4608</v>
      </c>
      <c r="I1141" s="2987" t="s">
        <v>3486</v>
      </c>
      <c r="J1141" s="2987" t="s">
        <v>3599</v>
      </c>
      <c r="K1141" s="2988">
        <v>96.17</v>
      </c>
    </row>
    <row r="1142" spans="2:11" ht="18" customHeight="1">
      <c r="B1142" s="2986">
        <v>1104</v>
      </c>
      <c r="C1142" s="2987" t="s">
        <v>3482</v>
      </c>
      <c r="D1142" s="2987" t="s">
        <v>3594</v>
      </c>
      <c r="E1142" s="2987" t="s">
        <v>4577</v>
      </c>
      <c r="F1142" s="2987">
        <v>1</v>
      </c>
      <c r="G1142" s="2987">
        <v>1604</v>
      </c>
      <c r="H1142" s="2987" t="s">
        <v>4609</v>
      </c>
      <c r="I1142" s="2987" t="s">
        <v>3486</v>
      </c>
      <c r="J1142" s="2987" t="s">
        <v>3602</v>
      </c>
      <c r="K1142" s="2988">
        <v>111.01</v>
      </c>
    </row>
    <row r="1143" spans="2:11" ht="18" customHeight="1">
      <c r="B1143" s="2986">
        <v>1105</v>
      </c>
      <c r="C1143" s="2987" t="s">
        <v>3482</v>
      </c>
      <c r="D1143" s="2987" t="s">
        <v>3594</v>
      </c>
      <c r="E1143" s="2987" t="s">
        <v>4577</v>
      </c>
      <c r="F1143" s="2987">
        <v>1</v>
      </c>
      <c r="G1143" s="2987">
        <v>1701</v>
      </c>
      <c r="H1143" s="2987" t="s">
        <v>4610</v>
      </c>
      <c r="I1143" s="2987" t="s">
        <v>3486</v>
      </c>
      <c r="J1143" s="2987" t="s">
        <v>3597</v>
      </c>
      <c r="K1143" s="2988">
        <v>128.26</v>
      </c>
    </row>
    <row r="1144" spans="2:11" ht="18" customHeight="1">
      <c r="B1144" s="2986">
        <v>1106</v>
      </c>
      <c r="C1144" s="2987" t="s">
        <v>3482</v>
      </c>
      <c r="D1144" s="2987" t="s">
        <v>3594</v>
      </c>
      <c r="E1144" s="2987" t="s">
        <v>4577</v>
      </c>
      <c r="F1144" s="2987">
        <v>1</v>
      </c>
      <c r="G1144" s="2987">
        <v>1702</v>
      </c>
      <c r="H1144" s="2987" t="s">
        <v>4611</v>
      </c>
      <c r="I1144" s="2987" t="s">
        <v>3486</v>
      </c>
      <c r="J1144" s="2987" t="s">
        <v>3599</v>
      </c>
      <c r="K1144" s="2988">
        <v>96.17</v>
      </c>
    </row>
    <row r="1145" spans="2:11" ht="18" customHeight="1">
      <c r="B1145" s="2986">
        <v>1107</v>
      </c>
      <c r="C1145" s="2987" t="s">
        <v>3482</v>
      </c>
      <c r="D1145" s="2987" t="s">
        <v>3594</v>
      </c>
      <c r="E1145" s="2987" t="s">
        <v>4577</v>
      </c>
      <c r="F1145" s="2987">
        <v>1</v>
      </c>
      <c r="G1145" s="2987">
        <v>1703</v>
      </c>
      <c r="H1145" s="2987" t="s">
        <v>4612</v>
      </c>
      <c r="I1145" s="2987" t="s">
        <v>3486</v>
      </c>
      <c r="J1145" s="2987" t="s">
        <v>3599</v>
      </c>
      <c r="K1145" s="2988">
        <v>96.17</v>
      </c>
    </row>
    <row r="1146" spans="2:11" ht="18" customHeight="1">
      <c r="B1146" s="2986">
        <v>1108</v>
      </c>
      <c r="C1146" s="2987" t="s">
        <v>3482</v>
      </c>
      <c r="D1146" s="2987" t="s">
        <v>3594</v>
      </c>
      <c r="E1146" s="2987" t="s">
        <v>4577</v>
      </c>
      <c r="F1146" s="2987">
        <v>1</v>
      </c>
      <c r="G1146" s="2987">
        <v>1704</v>
      </c>
      <c r="H1146" s="2987" t="s">
        <v>4613</v>
      </c>
      <c r="I1146" s="2987" t="s">
        <v>3486</v>
      </c>
      <c r="J1146" s="2987" t="s">
        <v>3602</v>
      </c>
      <c r="K1146" s="2988">
        <v>111.01</v>
      </c>
    </row>
    <row r="1147" spans="2:11" ht="18" customHeight="1">
      <c r="B1147" s="2986">
        <v>1109</v>
      </c>
      <c r="C1147" s="2987" t="s">
        <v>3482</v>
      </c>
      <c r="D1147" s="2987" t="s">
        <v>3594</v>
      </c>
      <c r="E1147" s="2987" t="s">
        <v>4577</v>
      </c>
      <c r="F1147" s="2987">
        <v>1</v>
      </c>
      <c r="G1147" s="2987">
        <v>1801</v>
      </c>
      <c r="H1147" s="2987" t="s">
        <v>4614</v>
      </c>
      <c r="I1147" s="2987" t="s">
        <v>3486</v>
      </c>
      <c r="J1147" s="2987" t="s">
        <v>3597</v>
      </c>
      <c r="K1147" s="2988">
        <v>128.26</v>
      </c>
    </row>
    <row r="1148" spans="2:11" ht="18" customHeight="1">
      <c r="B1148" s="2986">
        <v>1110</v>
      </c>
      <c r="C1148" s="2987" t="s">
        <v>3482</v>
      </c>
      <c r="D1148" s="2987" t="s">
        <v>3594</v>
      </c>
      <c r="E1148" s="2987" t="s">
        <v>4577</v>
      </c>
      <c r="F1148" s="2987">
        <v>1</v>
      </c>
      <c r="G1148" s="2987">
        <v>1802</v>
      </c>
      <c r="H1148" s="2987" t="s">
        <v>4615</v>
      </c>
      <c r="I1148" s="2987" t="s">
        <v>3486</v>
      </c>
      <c r="J1148" s="2987" t="s">
        <v>3599</v>
      </c>
      <c r="K1148" s="2988">
        <v>96.17</v>
      </c>
    </row>
    <row r="1149" spans="2:11" ht="18" customHeight="1">
      <c r="B1149" s="2986">
        <v>1111</v>
      </c>
      <c r="C1149" s="2987" t="s">
        <v>3482</v>
      </c>
      <c r="D1149" s="2987" t="s">
        <v>3594</v>
      </c>
      <c r="E1149" s="2987" t="s">
        <v>4577</v>
      </c>
      <c r="F1149" s="2987">
        <v>1</v>
      </c>
      <c r="G1149" s="2987">
        <v>1803</v>
      </c>
      <c r="H1149" s="2987" t="s">
        <v>4616</v>
      </c>
      <c r="I1149" s="2987" t="s">
        <v>3486</v>
      </c>
      <c r="J1149" s="2987" t="s">
        <v>3599</v>
      </c>
      <c r="K1149" s="2988">
        <v>96.17</v>
      </c>
    </row>
    <row r="1150" spans="2:11" ht="18" customHeight="1">
      <c r="B1150" s="2986">
        <v>1112</v>
      </c>
      <c r="C1150" s="2987" t="s">
        <v>3482</v>
      </c>
      <c r="D1150" s="2987" t="s">
        <v>3594</v>
      </c>
      <c r="E1150" s="2987" t="s">
        <v>4577</v>
      </c>
      <c r="F1150" s="2987">
        <v>1</v>
      </c>
      <c r="G1150" s="2987">
        <v>1804</v>
      </c>
      <c r="H1150" s="2987" t="s">
        <v>4617</v>
      </c>
      <c r="I1150" s="2987" t="s">
        <v>3486</v>
      </c>
      <c r="J1150" s="2987" t="s">
        <v>3602</v>
      </c>
      <c r="K1150" s="2988">
        <v>111.01</v>
      </c>
    </row>
    <row r="1151" spans="2:11" ht="18" customHeight="1">
      <c r="B1151" s="2986">
        <v>1113</v>
      </c>
      <c r="C1151" s="2987" t="s">
        <v>3482</v>
      </c>
      <c r="D1151" s="2987" t="s">
        <v>3594</v>
      </c>
      <c r="E1151" s="2987" t="s">
        <v>4577</v>
      </c>
      <c r="F1151" s="2987">
        <v>1</v>
      </c>
      <c r="G1151" s="2987">
        <v>1901</v>
      </c>
      <c r="H1151" s="2987" t="s">
        <v>4618</v>
      </c>
      <c r="I1151" s="2987" t="s">
        <v>3486</v>
      </c>
      <c r="J1151" s="2987" t="s">
        <v>3597</v>
      </c>
      <c r="K1151" s="2988">
        <v>128.26</v>
      </c>
    </row>
    <row r="1152" spans="2:11" ht="18" customHeight="1">
      <c r="B1152" s="2986">
        <v>1114</v>
      </c>
      <c r="C1152" s="2987" t="s">
        <v>3482</v>
      </c>
      <c r="D1152" s="2987" t="s">
        <v>3594</v>
      </c>
      <c r="E1152" s="2987" t="s">
        <v>4577</v>
      </c>
      <c r="F1152" s="2987">
        <v>1</v>
      </c>
      <c r="G1152" s="2987">
        <v>1902</v>
      </c>
      <c r="H1152" s="2987" t="s">
        <v>4619</v>
      </c>
      <c r="I1152" s="2987" t="s">
        <v>3486</v>
      </c>
      <c r="J1152" s="2987" t="s">
        <v>3599</v>
      </c>
      <c r="K1152" s="2988">
        <v>96.17</v>
      </c>
    </row>
    <row r="1153" spans="2:11" ht="18" customHeight="1">
      <c r="B1153" s="2986">
        <v>1115</v>
      </c>
      <c r="C1153" s="2987" t="s">
        <v>3482</v>
      </c>
      <c r="D1153" s="2987" t="s">
        <v>3594</v>
      </c>
      <c r="E1153" s="2987" t="s">
        <v>4577</v>
      </c>
      <c r="F1153" s="2987">
        <v>1</v>
      </c>
      <c r="G1153" s="2987">
        <v>1903</v>
      </c>
      <c r="H1153" s="2987" t="s">
        <v>4620</v>
      </c>
      <c r="I1153" s="2987" t="s">
        <v>3486</v>
      </c>
      <c r="J1153" s="2987" t="s">
        <v>3599</v>
      </c>
      <c r="K1153" s="2988">
        <v>96.17</v>
      </c>
    </row>
    <row r="1154" spans="2:11" ht="18" customHeight="1">
      <c r="B1154" s="2986">
        <v>1116</v>
      </c>
      <c r="C1154" s="2987" t="s">
        <v>3482</v>
      </c>
      <c r="D1154" s="2987" t="s">
        <v>3594</v>
      </c>
      <c r="E1154" s="2987" t="s">
        <v>4577</v>
      </c>
      <c r="F1154" s="2987">
        <v>1</v>
      </c>
      <c r="G1154" s="2987">
        <v>1904</v>
      </c>
      <c r="H1154" s="2987" t="s">
        <v>4621</v>
      </c>
      <c r="I1154" s="2987" t="s">
        <v>3486</v>
      </c>
      <c r="J1154" s="2987" t="s">
        <v>3602</v>
      </c>
      <c r="K1154" s="2988">
        <v>111.01</v>
      </c>
    </row>
    <row r="1155" spans="2:11" ht="18" customHeight="1">
      <c r="B1155" s="2986">
        <v>1117</v>
      </c>
      <c r="C1155" s="2987" t="s">
        <v>3482</v>
      </c>
      <c r="D1155" s="2987" t="s">
        <v>3594</v>
      </c>
      <c r="E1155" s="2987" t="s">
        <v>4577</v>
      </c>
      <c r="F1155" s="2987">
        <v>1</v>
      </c>
      <c r="G1155" s="2987">
        <v>2001</v>
      </c>
      <c r="H1155" s="2987" t="s">
        <v>4622</v>
      </c>
      <c r="I1155" s="2987" t="s">
        <v>3486</v>
      </c>
      <c r="J1155" s="2987" t="s">
        <v>3597</v>
      </c>
      <c r="K1155" s="2988">
        <v>128.26</v>
      </c>
    </row>
    <row r="1156" spans="2:11" ht="18" customHeight="1">
      <c r="B1156" s="2986">
        <v>1118</v>
      </c>
      <c r="C1156" s="2987" t="s">
        <v>3482</v>
      </c>
      <c r="D1156" s="2987" t="s">
        <v>3594</v>
      </c>
      <c r="E1156" s="2987" t="s">
        <v>4577</v>
      </c>
      <c r="F1156" s="2987">
        <v>1</v>
      </c>
      <c r="G1156" s="2987">
        <v>2002</v>
      </c>
      <c r="H1156" s="2987" t="s">
        <v>4623</v>
      </c>
      <c r="I1156" s="2987" t="s">
        <v>3486</v>
      </c>
      <c r="J1156" s="2987" t="s">
        <v>3599</v>
      </c>
      <c r="K1156" s="2988">
        <v>96.17</v>
      </c>
    </row>
    <row r="1157" spans="2:11" ht="18" customHeight="1">
      <c r="B1157" s="2986">
        <v>1119</v>
      </c>
      <c r="C1157" s="2987" t="s">
        <v>3482</v>
      </c>
      <c r="D1157" s="2987" t="s">
        <v>3594</v>
      </c>
      <c r="E1157" s="2987" t="s">
        <v>4577</v>
      </c>
      <c r="F1157" s="2987">
        <v>1</v>
      </c>
      <c r="G1157" s="2987">
        <v>2003</v>
      </c>
      <c r="H1157" s="2987" t="s">
        <v>4624</v>
      </c>
      <c r="I1157" s="2987" t="s">
        <v>3486</v>
      </c>
      <c r="J1157" s="2987" t="s">
        <v>3599</v>
      </c>
      <c r="K1157" s="2988">
        <v>96.17</v>
      </c>
    </row>
    <row r="1158" spans="2:11" ht="18" customHeight="1">
      <c r="B1158" s="2986">
        <v>1120</v>
      </c>
      <c r="C1158" s="2987" t="s">
        <v>3482</v>
      </c>
      <c r="D1158" s="2987" t="s">
        <v>3594</v>
      </c>
      <c r="E1158" s="2987" t="s">
        <v>4577</v>
      </c>
      <c r="F1158" s="2987">
        <v>1</v>
      </c>
      <c r="G1158" s="2987">
        <v>2004</v>
      </c>
      <c r="H1158" s="2987" t="s">
        <v>4625</v>
      </c>
      <c r="I1158" s="2987" t="s">
        <v>3486</v>
      </c>
      <c r="J1158" s="2987" t="s">
        <v>3602</v>
      </c>
      <c r="K1158" s="2988">
        <v>111.01</v>
      </c>
    </row>
    <row r="1159" spans="2:11" ht="18" customHeight="1">
      <c r="B1159" s="2986">
        <v>1121</v>
      </c>
      <c r="C1159" s="2987" t="s">
        <v>3482</v>
      </c>
      <c r="D1159" s="2987" t="s">
        <v>3594</v>
      </c>
      <c r="E1159" s="2987" t="s">
        <v>4577</v>
      </c>
      <c r="F1159" s="2987">
        <v>1</v>
      </c>
      <c r="G1159" s="2987">
        <v>201</v>
      </c>
      <c r="H1159" s="2987" t="s">
        <v>4626</v>
      </c>
      <c r="I1159" s="2987" t="s">
        <v>3486</v>
      </c>
      <c r="J1159" s="2987" t="s">
        <v>3597</v>
      </c>
      <c r="K1159" s="2988">
        <v>128.26</v>
      </c>
    </row>
    <row r="1160" spans="2:11" ht="18" customHeight="1">
      <c r="B1160" s="2986">
        <v>1122</v>
      </c>
      <c r="C1160" s="2987" t="s">
        <v>3482</v>
      </c>
      <c r="D1160" s="2987" t="s">
        <v>3594</v>
      </c>
      <c r="E1160" s="2987" t="s">
        <v>4577</v>
      </c>
      <c r="F1160" s="2987">
        <v>1</v>
      </c>
      <c r="G1160" s="2987">
        <v>202</v>
      </c>
      <c r="H1160" s="2987" t="s">
        <v>4627</v>
      </c>
      <c r="I1160" s="2987" t="s">
        <v>3486</v>
      </c>
      <c r="J1160" s="2987" t="s">
        <v>3599</v>
      </c>
      <c r="K1160" s="2988">
        <v>96.17</v>
      </c>
    </row>
    <row r="1161" spans="2:11" ht="18" customHeight="1">
      <c r="B1161" s="2986">
        <v>1123</v>
      </c>
      <c r="C1161" s="2987" t="s">
        <v>3482</v>
      </c>
      <c r="D1161" s="2987" t="s">
        <v>3594</v>
      </c>
      <c r="E1161" s="2987" t="s">
        <v>4577</v>
      </c>
      <c r="F1161" s="2987">
        <v>1</v>
      </c>
      <c r="G1161" s="2987">
        <v>203</v>
      </c>
      <c r="H1161" s="2987" t="s">
        <v>4628</v>
      </c>
      <c r="I1161" s="2987" t="s">
        <v>3486</v>
      </c>
      <c r="J1161" s="2987" t="s">
        <v>3599</v>
      </c>
      <c r="K1161" s="2988">
        <v>96.17</v>
      </c>
    </row>
    <row r="1162" spans="2:11" ht="18" customHeight="1">
      <c r="B1162" s="2986">
        <v>1124</v>
      </c>
      <c r="C1162" s="2987" t="s">
        <v>3482</v>
      </c>
      <c r="D1162" s="2987" t="s">
        <v>3594</v>
      </c>
      <c r="E1162" s="2987" t="s">
        <v>4577</v>
      </c>
      <c r="F1162" s="2987">
        <v>1</v>
      </c>
      <c r="G1162" s="2987">
        <v>204</v>
      </c>
      <c r="H1162" s="2987" t="s">
        <v>4629</v>
      </c>
      <c r="I1162" s="2987" t="s">
        <v>3486</v>
      </c>
      <c r="J1162" s="2987" t="s">
        <v>3602</v>
      </c>
      <c r="K1162" s="2988">
        <v>111.01</v>
      </c>
    </row>
    <row r="1163" spans="2:11" ht="18" customHeight="1">
      <c r="B1163" s="2986">
        <v>1125</v>
      </c>
      <c r="C1163" s="2987" t="s">
        <v>3482</v>
      </c>
      <c r="D1163" s="2987" t="s">
        <v>3594</v>
      </c>
      <c r="E1163" s="2987" t="s">
        <v>4577</v>
      </c>
      <c r="F1163" s="2987">
        <v>1</v>
      </c>
      <c r="G1163" s="2987">
        <v>2101</v>
      </c>
      <c r="H1163" s="2987" t="s">
        <v>4630</v>
      </c>
      <c r="I1163" s="2987" t="s">
        <v>3486</v>
      </c>
      <c r="J1163" s="2987" t="s">
        <v>3597</v>
      </c>
      <c r="K1163" s="2988">
        <v>128.26</v>
      </c>
    </row>
    <row r="1164" spans="2:11" ht="18" customHeight="1">
      <c r="B1164" s="2986">
        <v>1126</v>
      </c>
      <c r="C1164" s="2987" t="s">
        <v>3482</v>
      </c>
      <c r="D1164" s="2987" t="s">
        <v>3594</v>
      </c>
      <c r="E1164" s="2987" t="s">
        <v>4577</v>
      </c>
      <c r="F1164" s="2987">
        <v>1</v>
      </c>
      <c r="G1164" s="2987">
        <v>2102</v>
      </c>
      <c r="H1164" s="2987" t="s">
        <v>4631</v>
      </c>
      <c r="I1164" s="2987" t="s">
        <v>3486</v>
      </c>
      <c r="J1164" s="2987" t="s">
        <v>3599</v>
      </c>
      <c r="K1164" s="2988">
        <v>96.17</v>
      </c>
    </row>
    <row r="1165" spans="2:11" ht="18" customHeight="1">
      <c r="B1165" s="2986">
        <v>1127</v>
      </c>
      <c r="C1165" s="2987" t="s">
        <v>3482</v>
      </c>
      <c r="D1165" s="2987" t="s">
        <v>3594</v>
      </c>
      <c r="E1165" s="2987" t="s">
        <v>4577</v>
      </c>
      <c r="F1165" s="2987">
        <v>1</v>
      </c>
      <c r="G1165" s="2987">
        <v>2103</v>
      </c>
      <c r="H1165" s="2987" t="s">
        <v>4632</v>
      </c>
      <c r="I1165" s="2987" t="s">
        <v>3486</v>
      </c>
      <c r="J1165" s="2987" t="s">
        <v>3599</v>
      </c>
      <c r="K1165" s="2988">
        <v>96.17</v>
      </c>
    </row>
    <row r="1166" spans="2:11" ht="18" customHeight="1">
      <c r="B1166" s="2986">
        <v>1128</v>
      </c>
      <c r="C1166" s="2987" t="s">
        <v>3482</v>
      </c>
      <c r="D1166" s="2987" t="s">
        <v>3594</v>
      </c>
      <c r="E1166" s="2987" t="s">
        <v>4577</v>
      </c>
      <c r="F1166" s="2987">
        <v>1</v>
      </c>
      <c r="G1166" s="2987">
        <v>2104</v>
      </c>
      <c r="H1166" s="2987" t="s">
        <v>4633</v>
      </c>
      <c r="I1166" s="2987" t="s">
        <v>3486</v>
      </c>
      <c r="J1166" s="2987" t="s">
        <v>3602</v>
      </c>
      <c r="K1166" s="2988">
        <v>111.01</v>
      </c>
    </row>
    <row r="1167" spans="2:11" ht="18" customHeight="1">
      <c r="B1167" s="2986">
        <v>1129</v>
      </c>
      <c r="C1167" s="2987" t="s">
        <v>3482</v>
      </c>
      <c r="D1167" s="2987" t="s">
        <v>3594</v>
      </c>
      <c r="E1167" s="2987" t="s">
        <v>4577</v>
      </c>
      <c r="F1167" s="2987">
        <v>1</v>
      </c>
      <c r="G1167" s="2987">
        <v>301</v>
      </c>
      <c r="H1167" s="2987" t="s">
        <v>4634</v>
      </c>
      <c r="I1167" s="2987" t="s">
        <v>3486</v>
      </c>
      <c r="J1167" s="2987" t="s">
        <v>3597</v>
      </c>
      <c r="K1167" s="2988">
        <v>128.26</v>
      </c>
    </row>
    <row r="1168" spans="2:11" ht="18" customHeight="1">
      <c r="B1168" s="2986">
        <v>1130</v>
      </c>
      <c r="C1168" s="2987" t="s">
        <v>3482</v>
      </c>
      <c r="D1168" s="2987" t="s">
        <v>3594</v>
      </c>
      <c r="E1168" s="2987" t="s">
        <v>4577</v>
      </c>
      <c r="F1168" s="2987">
        <v>1</v>
      </c>
      <c r="G1168" s="2987">
        <v>302</v>
      </c>
      <c r="H1168" s="2987" t="s">
        <v>4635</v>
      </c>
      <c r="I1168" s="2987" t="s">
        <v>3486</v>
      </c>
      <c r="J1168" s="2987" t="s">
        <v>3599</v>
      </c>
      <c r="K1168" s="2988">
        <v>96.17</v>
      </c>
    </row>
    <row r="1169" spans="2:11" ht="18" customHeight="1">
      <c r="B1169" s="2986">
        <v>1131</v>
      </c>
      <c r="C1169" s="2987" t="s">
        <v>3482</v>
      </c>
      <c r="D1169" s="2987" t="s">
        <v>3594</v>
      </c>
      <c r="E1169" s="2987" t="s">
        <v>4577</v>
      </c>
      <c r="F1169" s="2987">
        <v>1</v>
      </c>
      <c r="G1169" s="2987">
        <v>303</v>
      </c>
      <c r="H1169" s="2987" t="s">
        <v>4636</v>
      </c>
      <c r="I1169" s="2987" t="s">
        <v>3486</v>
      </c>
      <c r="J1169" s="2987" t="s">
        <v>3599</v>
      </c>
      <c r="K1169" s="2988">
        <v>96.17</v>
      </c>
    </row>
    <row r="1170" spans="2:11" ht="18" customHeight="1">
      <c r="B1170" s="2986">
        <v>1132</v>
      </c>
      <c r="C1170" s="2987" t="s">
        <v>3482</v>
      </c>
      <c r="D1170" s="2987" t="s">
        <v>3594</v>
      </c>
      <c r="E1170" s="2987" t="s">
        <v>4577</v>
      </c>
      <c r="F1170" s="2987">
        <v>1</v>
      </c>
      <c r="G1170" s="2987">
        <v>304</v>
      </c>
      <c r="H1170" s="2987" t="s">
        <v>4637</v>
      </c>
      <c r="I1170" s="2987" t="s">
        <v>3486</v>
      </c>
      <c r="J1170" s="2987" t="s">
        <v>3602</v>
      </c>
      <c r="K1170" s="2988">
        <v>111.01</v>
      </c>
    </row>
    <row r="1171" spans="2:11" ht="18" customHeight="1">
      <c r="B1171" s="2986">
        <v>1133</v>
      </c>
      <c r="C1171" s="2987" t="s">
        <v>3482</v>
      </c>
      <c r="D1171" s="2987" t="s">
        <v>3594</v>
      </c>
      <c r="E1171" s="2987" t="s">
        <v>4577</v>
      </c>
      <c r="F1171" s="2987">
        <v>1</v>
      </c>
      <c r="G1171" s="2987">
        <v>401</v>
      </c>
      <c r="H1171" s="2987" t="s">
        <v>4638</v>
      </c>
      <c r="I1171" s="2987" t="s">
        <v>3486</v>
      </c>
      <c r="J1171" s="2987" t="s">
        <v>3597</v>
      </c>
      <c r="K1171" s="2988">
        <v>128.26</v>
      </c>
    </row>
    <row r="1172" spans="2:11" ht="18" customHeight="1">
      <c r="B1172" s="2986">
        <v>1134</v>
      </c>
      <c r="C1172" s="2987" t="s">
        <v>3482</v>
      </c>
      <c r="D1172" s="2987" t="s">
        <v>3594</v>
      </c>
      <c r="E1172" s="2987" t="s">
        <v>4577</v>
      </c>
      <c r="F1172" s="2987">
        <v>1</v>
      </c>
      <c r="G1172" s="2987">
        <v>402</v>
      </c>
      <c r="H1172" s="2987" t="s">
        <v>4639</v>
      </c>
      <c r="I1172" s="2987" t="s">
        <v>3486</v>
      </c>
      <c r="J1172" s="2987" t="s">
        <v>3599</v>
      </c>
      <c r="K1172" s="2988">
        <v>96.17</v>
      </c>
    </row>
    <row r="1173" spans="2:11" ht="18" customHeight="1">
      <c r="B1173" s="2986">
        <v>1135</v>
      </c>
      <c r="C1173" s="2987" t="s">
        <v>3482</v>
      </c>
      <c r="D1173" s="2987" t="s">
        <v>3594</v>
      </c>
      <c r="E1173" s="2987" t="s">
        <v>4577</v>
      </c>
      <c r="F1173" s="2987">
        <v>1</v>
      </c>
      <c r="G1173" s="2987">
        <v>403</v>
      </c>
      <c r="H1173" s="2987" t="s">
        <v>4640</v>
      </c>
      <c r="I1173" s="2987" t="s">
        <v>3486</v>
      </c>
      <c r="J1173" s="2987" t="s">
        <v>3599</v>
      </c>
      <c r="K1173" s="2988">
        <v>96.17</v>
      </c>
    </row>
    <row r="1174" spans="2:11" ht="18" customHeight="1">
      <c r="B1174" s="2986">
        <v>1136</v>
      </c>
      <c r="C1174" s="2987" t="s">
        <v>3482</v>
      </c>
      <c r="D1174" s="2987" t="s">
        <v>3594</v>
      </c>
      <c r="E1174" s="2987" t="s">
        <v>4577</v>
      </c>
      <c r="F1174" s="2987">
        <v>1</v>
      </c>
      <c r="G1174" s="2987">
        <v>404</v>
      </c>
      <c r="H1174" s="2987" t="s">
        <v>4641</v>
      </c>
      <c r="I1174" s="2987" t="s">
        <v>3486</v>
      </c>
      <c r="J1174" s="2987" t="s">
        <v>3602</v>
      </c>
      <c r="K1174" s="2988">
        <v>111.01</v>
      </c>
    </row>
    <row r="1175" spans="2:11" ht="18" customHeight="1">
      <c r="B1175" s="2986">
        <v>1137</v>
      </c>
      <c r="C1175" s="2987" t="s">
        <v>3482</v>
      </c>
      <c r="D1175" s="2987" t="s">
        <v>3594</v>
      </c>
      <c r="E1175" s="2987" t="s">
        <v>4577</v>
      </c>
      <c r="F1175" s="2987">
        <v>1</v>
      </c>
      <c r="G1175" s="2987">
        <v>501</v>
      </c>
      <c r="H1175" s="2987" t="s">
        <v>4642</v>
      </c>
      <c r="I1175" s="2987" t="s">
        <v>3486</v>
      </c>
      <c r="J1175" s="2987" t="s">
        <v>3597</v>
      </c>
      <c r="K1175" s="2988">
        <v>128.26</v>
      </c>
    </row>
    <row r="1176" spans="2:11" ht="18" customHeight="1">
      <c r="B1176" s="2986">
        <v>1138</v>
      </c>
      <c r="C1176" s="2987" t="s">
        <v>3482</v>
      </c>
      <c r="D1176" s="2987" t="s">
        <v>3594</v>
      </c>
      <c r="E1176" s="2987" t="s">
        <v>4577</v>
      </c>
      <c r="F1176" s="2987">
        <v>1</v>
      </c>
      <c r="G1176" s="2987">
        <v>502</v>
      </c>
      <c r="H1176" s="2987" t="s">
        <v>4643</v>
      </c>
      <c r="I1176" s="2987" t="s">
        <v>3486</v>
      </c>
      <c r="J1176" s="2987" t="s">
        <v>3599</v>
      </c>
      <c r="K1176" s="2988">
        <v>96.17</v>
      </c>
    </row>
    <row r="1177" spans="2:11" ht="18" customHeight="1">
      <c r="B1177" s="2986">
        <v>1139</v>
      </c>
      <c r="C1177" s="2987" t="s">
        <v>3482</v>
      </c>
      <c r="D1177" s="2987" t="s">
        <v>3594</v>
      </c>
      <c r="E1177" s="2987" t="s">
        <v>4577</v>
      </c>
      <c r="F1177" s="2987">
        <v>1</v>
      </c>
      <c r="G1177" s="2987">
        <v>503</v>
      </c>
      <c r="H1177" s="2987" t="s">
        <v>4644</v>
      </c>
      <c r="I1177" s="2987" t="s">
        <v>3486</v>
      </c>
      <c r="J1177" s="2987" t="s">
        <v>3599</v>
      </c>
      <c r="K1177" s="2988">
        <v>96.17</v>
      </c>
    </row>
    <row r="1178" spans="2:11" ht="18" customHeight="1">
      <c r="B1178" s="2986">
        <v>1140</v>
      </c>
      <c r="C1178" s="2987" t="s">
        <v>3482</v>
      </c>
      <c r="D1178" s="2987" t="s">
        <v>3594</v>
      </c>
      <c r="E1178" s="2987" t="s">
        <v>4577</v>
      </c>
      <c r="F1178" s="2987">
        <v>1</v>
      </c>
      <c r="G1178" s="2987">
        <v>504</v>
      </c>
      <c r="H1178" s="2987" t="s">
        <v>4645</v>
      </c>
      <c r="I1178" s="2987" t="s">
        <v>3486</v>
      </c>
      <c r="J1178" s="2987" t="s">
        <v>3602</v>
      </c>
      <c r="K1178" s="2988">
        <v>111.01</v>
      </c>
    </row>
    <row r="1179" spans="2:11" ht="18" customHeight="1">
      <c r="B1179" s="2986">
        <v>1141</v>
      </c>
      <c r="C1179" s="2987" t="s">
        <v>3482</v>
      </c>
      <c r="D1179" s="2987" t="s">
        <v>3594</v>
      </c>
      <c r="E1179" s="2987" t="s">
        <v>4577</v>
      </c>
      <c r="F1179" s="2987">
        <v>1</v>
      </c>
      <c r="G1179" s="2987">
        <v>601</v>
      </c>
      <c r="H1179" s="2987" t="s">
        <v>4646</v>
      </c>
      <c r="I1179" s="2987" t="s">
        <v>3486</v>
      </c>
      <c r="J1179" s="2987" t="s">
        <v>3597</v>
      </c>
      <c r="K1179" s="2988">
        <v>128.26</v>
      </c>
    </row>
    <row r="1180" spans="2:11" ht="18" customHeight="1">
      <c r="B1180" s="2986">
        <v>1142</v>
      </c>
      <c r="C1180" s="2987" t="s">
        <v>3482</v>
      </c>
      <c r="D1180" s="2987" t="s">
        <v>3594</v>
      </c>
      <c r="E1180" s="2987" t="s">
        <v>4577</v>
      </c>
      <c r="F1180" s="2987">
        <v>1</v>
      </c>
      <c r="G1180" s="2987">
        <v>602</v>
      </c>
      <c r="H1180" s="2987" t="s">
        <v>4647</v>
      </c>
      <c r="I1180" s="2987" t="s">
        <v>3486</v>
      </c>
      <c r="J1180" s="2987" t="s">
        <v>3599</v>
      </c>
      <c r="K1180" s="2988">
        <v>96.17</v>
      </c>
    </row>
    <row r="1181" spans="2:11" ht="18" customHeight="1">
      <c r="B1181" s="2986">
        <v>1143</v>
      </c>
      <c r="C1181" s="2987" t="s">
        <v>3482</v>
      </c>
      <c r="D1181" s="2987" t="s">
        <v>3594</v>
      </c>
      <c r="E1181" s="2987" t="s">
        <v>4577</v>
      </c>
      <c r="F1181" s="2987">
        <v>1</v>
      </c>
      <c r="G1181" s="2987">
        <v>603</v>
      </c>
      <c r="H1181" s="2987" t="s">
        <v>4648</v>
      </c>
      <c r="I1181" s="2987" t="s">
        <v>3486</v>
      </c>
      <c r="J1181" s="2987" t="s">
        <v>3599</v>
      </c>
      <c r="K1181" s="2988">
        <v>96.17</v>
      </c>
    </row>
    <row r="1182" spans="2:11" ht="18" customHeight="1">
      <c r="B1182" s="2986">
        <v>1144</v>
      </c>
      <c r="C1182" s="2987" t="s">
        <v>3482</v>
      </c>
      <c r="D1182" s="2987" t="s">
        <v>3594</v>
      </c>
      <c r="E1182" s="2987" t="s">
        <v>4577</v>
      </c>
      <c r="F1182" s="2987">
        <v>1</v>
      </c>
      <c r="G1182" s="2987">
        <v>604</v>
      </c>
      <c r="H1182" s="2987" t="s">
        <v>4649</v>
      </c>
      <c r="I1182" s="2987" t="s">
        <v>3486</v>
      </c>
      <c r="J1182" s="2987" t="s">
        <v>3602</v>
      </c>
      <c r="K1182" s="2988">
        <v>111.01</v>
      </c>
    </row>
    <row r="1183" spans="2:11" ht="18" customHeight="1">
      <c r="B1183" s="2986">
        <v>1145</v>
      </c>
      <c r="C1183" s="2987" t="s">
        <v>3482</v>
      </c>
      <c r="D1183" s="2987" t="s">
        <v>3594</v>
      </c>
      <c r="E1183" s="2987" t="s">
        <v>4577</v>
      </c>
      <c r="F1183" s="2987">
        <v>1</v>
      </c>
      <c r="G1183" s="2987">
        <v>701</v>
      </c>
      <c r="H1183" s="2987" t="s">
        <v>4650</v>
      </c>
      <c r="I1183" s="2987" t="s">
        <v>3486</v>
      </c>
      <c r="J1183" s="2987" t="s">
        <v>3597</v>
      </c>
      <c r="K1183" s="2988">
        <v>128.26</v>
      </c>
    </row>
    <row r="1184" spans="2:11" ht="18" customHeight="1">
      <c r="B1184" s="2986">
        <v>1146</v>
      </c>
      <c r="C1184" s="2987" t="s">
        <v>3482</v>
      </c>
      <c r="D1184" s="2987" t="s">
        <v>3594</v>
      </c>
      <c r="E1184" s="2987" t="s">
        <v>4577</v>
      </c>
      <c r="F1184" s="2987">
        <v>1</v>
      </c>
      <c r="G1184" s="2987">
        <v>702</v>
      </c>
      <c r="H1184" s="2987" t="s">
        <v>4651</v>
      </c>
      <c r="I1184" s="2987" t="s">
        <v>3486</v>
      </c>
      <c r="J1184" s="2987" t="s">
        <v>3599</v>
      </c>
      <c r="K1184" s="2988">
        <v>96.17</v>
      </c>
    </row>
    <row r="1185" spans="2:11" ht="18" customHeight="1">
      <c r="B1185" s="2986">
        <v>1147</v>
      </c>
      <c r="C1185" s="2987" t="s">
        <v>3482</v>
      </c>
      <c r="D1185" s="2987" t="s">
        <v>3594</v>
      </c>
      <c r="E1185" s="2987" t="s">
        <v>4577</v>
      </c>
      <c r="F1185" s="2987">
        <v>1</v>
      </c>
      <c r="G1185" s="2987">
        <v>703</v>
      </c>
      <c r="H1185" s="2987" t="s">
        <v>4652</v>
      </c>
      <c r="I1185" s="2987" t="s">
        <v>3486</v>
      </c>
      <c r="J1185" s="2987" t="s">
        <v>3599</v>
      </c>
      <c r="K1185" s="2988">
        <v>96.17</v>
      </c>
    </row>
    <row r="1186" spans="2:11" ht="18" customHeight="1">
      <c r="B1186" s="2986">
        <v>1148</v>
      </c>
      <c r="C1186" s="2987" t="s">
        <v>3482</v>
      </c>
      <c r="D1186" s="2987" t="s">
        <v>3594</v>
      </c>
      <c r="E1186" s="2987" t="s">
        <v>4577</v>
      </c>
      <c r="F1186" s="2987">
        <v>1</v>
      </c>
      <c r="G1186" s="2987">
        <v>704</v>
      </c>
      <c r="H1186" s="2987" t="s">
        <v>4653</v>
      </c>
      <c r="I1186" s="2987" t="s">
        <v>3486</v>
      </c>
      <c r="J1186" s="2987" t="s">
        <v>3602</v>
      </c>
      <c r="K1186" s="2988">
        <v>111.01</v>
      </c>
    </row>
    <row r="1187" spans="2:11" ht="18" customHeight="1">
      <c r="B1187" s="2986">
        <v>1149</v>
      </c>
      <c r="C1187" s="2987" t="s">
        <v>3482</v>
      </c>
      <c r="D1187" s="2987" t="s">
        <v>3594</v>
      </c>
      <c r="E1187" s="2987" t="s">
        <v>4577</v>
      </c>
      <c r="F1187" s="2987">
        <v>1</v>
      </c>
      <c r="G1187" s="2987">
        <v>801</v>
      </c>
      <c r="H1187" s="2987" t="s">
        <v>4654</v>
      </c>
      <c r="I1187" s="2987" t="s">
        <v>3486</v>
      </c>
      <c r="J1187" s="2987" t="s">
        <v>3597</v>
      </c>
      <c r="K1187" s="2988">
        <v>128.26</v>
      </c>
    </row>
    <row r="1188" spans="2:11" ht="18" customHeight="1">
      <c r="B1188" s="2986">
        <v>1150</v>
      </c>
      <c r="C1188" s="2987" t="s">
        <v>3482</v>
      </c>
      <c r="D1188" s="2987" t="s">
        <v>3594</v>
      </c>
      <c r="E1188" s="2987" t="s">
        <v>4577</v>
      </c>
      <c r="F1188" s="2987">
        <v>1</v>
      </c>
      <c r="G1188" s="2987">
        <v>802</v>
      </c>
      <c r="H1188" s="2987" t="s">
        <v>4655</v>
      </c>
      <c r="I1188" s="2987" t="s">
        <v>3486</v>
      </c>
      <c r="J1188" s="2987" t="s">
        <v>3599</v>
      </c>
      <c r="K1188" s="2988">
        <v>96.17</v>
      </c>
    </row>
    <row r="1189" spans="2:11" ht="18" customHeight="1">
      <c r="B1189" s="2986">
        <v>1151</v>
      </c>
      <c r="C1189" s="2987" t="s">
        <v>3482</v>
      </c>
      <c r="D1189" s="2987" t="s">
        <v>3594</v>
      </c>
      <c r="E1189" s="2987" t="s">
        <v>4577</v>
      </c>
      <c r="F1189" s="2987">
        <v>1</v>
      </c>
      <c r="G1189" s="2987">
        <v>803</v>
      </c>
      <c r="H1189" s="2987" t="s">
        <v>4656</v>
      </c>
      <c r="I1189" s="2987" t="s">
        <v>3486</v>
      </c>
      <c r="J1189" s="2987" t="s">
        <v>3599</v>
      </c>
      <c r="K1189" s="2988">
        <v>96.17</v>
      </c>
    </row>
    <row r="1190" spans="2:11" ht="18" customHeight="1">
      <c r="B1190" s="2986">
        <v>1152</v>
      </c>
      <c r="C1190" s="2987" t="s">
        <v>3482</v>
      </c>
      <c r="D1190" s="2987" t="s">
        <v>3594</v>
      </c>
      <c r="E1190" s="2987" t="s">
        <v>4577</v>
      </c>
      <c r="F1190" s="2987">
        <v>1</v>
      </c>
      <c r="G1190" s="2987">
        <v>804</v>
      </c>
      <c r="H1190" s="2987" t="s">
        <v>4657</v>
      </c>
      <c r="I1190" s="2987" t="s">
        <v>3486</v>
      </c>
      <c r="J1190" s="2987" t="s">
        <v>3602</v>
      </c>
      <c r="K1190" s="2988">
        <v>111.01</v>
      </c>
    </row>
    <row r="1191" spans="2:11" ht="18" customHeight="1">
      <c r="B1191" s="2986">
        <v>1153</v>
      </c>
      <c r="C1191" s="2987" t="s">
        <v>3482</v>
      </c>
      <c r="D1191" s="2987" t="s">
        <v>3594</v>
      </c>
      <c r="E1191" s="2987" t="s">
        <v>4577</v>
      </c>
      <c r="F1191" s="2987">
        <v>1</v>
      </c>
      <c r="G1191" s="2987">
        <v>901</v>
      </c>
      <c r="H1191" s="2987" t="s">
        <v>4658</v>
      </c>
      <c r="I1191" s="2987" t="s">
        <v>3486</v>
      </c>
      <c r="J1191" s="2987" t="s">
        <v>3597</v>
      </c>
      <c r="K1191" s="2988">
        <v>128.26</v>
      </c>
    </row>
    <row r="1192" spans="2:11" ht="18" customHeight="1">
      <c r="B1192" s="2986">
        <v>1154</v>
      </c>
      <c r="C1192" s="2987" t="s">
        <v>3482</v>
      </c>
      <c r="D1192" s="2987" t="s">
        <v>3594</v>
      </c>
      <c r="E1192" s="2987" t="s">
        <v>4577</v>
      </c>
      <c r="F1192" s="2987">
        <v>1</v>
      </c>
      <c r="G1192" s="2987">
        <v>902</v>
      </c>
      <c r="H1192" s="2987" t="s">
        <v>4659</v>
      </c>
      <c r="I1192" s="2987" t="s">
        <v>3486</v>
      </c>
      <c r="J1192" s="2987" t="s">
        <v>3599</v>
      </c>
      <c r="K1192" s="2988">
        <v>96.17</v>
      </c>
    </row>
    <row r="1193" spans="2:11" ht="18" customHeight="1">
      <c r="B1193" s="2986">
        <v>1155</v>
      </c>
      <c r="C1193" s="2987" t="s">
        <v>3482</v>
      </c>
      <c r="D1193" s="2987" t="s">
        <v>3594</v>
      </c>
      <c r="E1193" s="2987" t="s">
        <v>4577</v>
      </c>
      <c r="F1193" s="2987">
        <v>1</v>
      </c>
      <c r="G1193" s="2987">
        <v>903</v>
      </c>
      <c r="H1193" s="2987" t="s">
        <v>4660</v>
      </c>
      <c r="I1193" s="2987" t="s">
        <v>3486</v>
      </c>
      <c r="J1193" s="2987" t="s">
        <v>3599</v>
      </c>
      <c r="K1193" s="2988">
        <v>96.17</v>
      </c>
    </row>
    <row r="1194" spans="2:11" ht="18" customHeight="1">
      <c r="B1194" s="2986">
        <v>1156</v>
      </c>
      <c r="C1194" s="2987" t="s">
        <v>3482</v>
      </c>
      <c r="D1194" s="2987" t="s">
        <v>3594</v>
      </c>
      <c r="E1194" s="2987" t="s">
        <v>4577</v>
      </c>
      <c r="F1194" s="2987">
        <v>1</v>
      </c>
      <c r="G1194" s="2987">
        <v>904</v>
      </c>
      <c r="H1194" s="2987" t="s">
        <v>4661</v>
      </c>
      <c r="I1194" s="2987" t="s">
        <v>3486</v>
      </c>
      <c r="J1194" s="2987" t="s">
        <v>3602</v>
      </c>
      <c r="K1194" s="2988">
        <v>111.01</v>
      </c>
    </row>
    <row r="1195" spans="2:11" ht="18" customHeight="1">
      <c r="B1195" s="2986">
        <v>1157</v>
      </c>
      <c r="C1195" s="2987" t="s">
        <v>3482</v>
      </c>
      <c r="D1195" s="2987" t="s">
        <v>3594</v>
      </c>
      <c r="E1195" s="2987" t="s">
        <v>4577</v>
      </c>
      <c r="F1195" s="2987">
        <v>2</v>
      </c>
      <c r="G1195" s="2987">
        <v>1001</v>
      </c>
      <c r="H1195" s="2987" t="s">
        <v>4662</v>
      </c>
      <c r="I1195" s="2987" t="s">
        <v>3486</v>
      </c>
      <c r="J1195" s="2987" t="s">
        <v>3602</v>
      </c>
      <c r="K1195" s="2988">
        <v>111.01</v>
      </c>
    </row>
    <row r="1196" spans="2:11" ht="18" customHeight="1">
      <c r="B1196" s="2986">
        <v>1158</v>
      </c>
      <c r="C1196" s="2987" t="s">
        <v>3482</v>
      </c>
      <c r="D1196" s="2987" t="s">
        <v>3594</v>
      </c>
      <c r="E1196" s="2987" t="s">
        <v>4577</v>
      </c>
      <c r="F1196" s="2987">
        <v>2</v>
      </c>
      <c r="G1196" s="2987">
        <v>1002</v>
      </c>
      <c r="H1196" s="2987" t="s">
        <v>4663</v>
      </c>
      <c r="I1196" s="2987" t="s">
        <v>3486</v>
      </c>
      <c r="J1196" s="2987" t="s">
        <v>3599</v>
      </c>
      <c r="K1196" s="2988">
        <v>96.17</v>
      </c>
    </row>
    <row r="1197" spans="2:11" ht="18" customHeight="1">
      <c r="B1197" s="2986">
        <v>1159</v>
      </c>
      <c r="C1197" s="2987" t="s">
        <v>3482</v>
      </c>
      <c r="D1197" s="2987" t="s">
        <v>3594</v>
      </c>
      <c r="E1197" s="2987" t="s">
        <v>4577</v>
      </c>
      <c r="F1197" s="2987">
        <v>2</v>
      </c>
      <c r="G1197" s="2987">
        <v>1003</v>
      </c>
      <c r="H1197" s="2987" t="s">
        <v>4664</v>
      </c>
      <c r="I1197" s="2987" t="s">
        <v>3486</v>
      </c>
      <c r="J1197" s="2987" t="s">
        <v>3599</v>
      </c>
      <c r="K1197" s="2988">
        <v>96.17</v>
      </c>
    </row>
    <row r="1198" spans="2:11" ht="18" customHeight="1">
      <c r="B1198" s="2986">
        <v>1160</v>
      </c>
      <c r="C1198" s="2987" t="s">
        <v>3482</v>
      </c>
      <c r="D1198" s="2987" t="s">
        <v>3594</v>
      </c>
      <c r="E1198" s="2987" t="s">
        <v>4577</v>
      </c>
      <c r="F1198" s="2987">
        <v>2</v>
      </c>
      <c r="G1198" s="2987">
        <v>1004</v>
      </c>
      <c r="H1198" s="2987" t="s">
        <v>4665</v>
      </c>
      <c r="I1198" s="2987" t="s">
        <v>3486</v>
      </c>
      <c r="J1198" s="2987" t="s">
        <v>3597</v>
      </c>
      <c r="K1198" s="2988">
        <v>128.26</v>
      </c>
    </row>
    <row r="1199" spans="2:11" ht="18" customHeight="1">
      <c r="B1199" s="2986">
        <v>1161</v>
      </c>
      <c r="C1199" s="2987" t="s">
        <v>3482</v>
      </c>
      <c r="D1199" s="2987" t="s">
        <v>3594</v>
      </c>
      <c r="E1199" s="2987" t="s">
        <v>4577</v>
      </c>
      <c r="F1199" s="2987">
        <v>2</v>
      </c>
      <c r="G1199" s="2987">
        <v>101</v>
      </c>
      <c r="H1199" s="2987" t="s">
        <v>4666</v>
      </c>
      <c r="I1199" s="2987" t="s">
        <v>3486</v>
      </c>
      <c r="J1199" s="2987" t="s">
        <v>3602</v>
      </c>
      <c r="K1199" s="2988">
        <v>111.01</v>
      </c>
    </row>
    <row r="1200" spans="2:11" ht="18" customHeight="1">
      <c r="B1200" s="2986">
        <v>1162</v>
      </c>
      <c r="C1200" s="2987" t="s">
        <v>3482</v>
      </c>
      <c r="D1200" s="2987" t="s">
        <v>3594</v>
      </c>
      <c r="E1200" s="2987" t="s">
        <v>4577</v>
      </c>
      <c r="F1200" s="2987">
        <v>2</v>
      </c>
      <c r="G1200" s="2987">
        <v>102</v>
      </c>
      <c r="H1200" s="2987" t="s">
        <v>4667</v>
      </c>
      <c r="I1200" s="2987" t="s">
        <v>3486</v>
      </c>
      <c r="J1200" s="2987" t="s">
        <v>3599</v>
      </c>
      <c r="K1200" s="2988">
        <v>96.17</v>
      </c>
    </row>
    <row r="1201" spans="2:11" ht="18" customHeight="1">
      <c r="B1201" s="2986">
        <v>1163</v>
      </c>
      <c r="C1201" s="2987" t="s">
        <v>3482</v>
      </c>
      <c r="D1201" s="2987" t="s">
        <v>3594</v>
      </c>
      <c r="E1201" s="2987" t="s">
        <v>4577</v>
      </c>
      <c r="F1201" s="2987">
        <v>2</v>
      </c>
      <c r="G1201" s="2987">
        <v>103</v>
      </c>
      <c r="H1201" s="2987" t="s">
        <v>4668</v>
      </c>
      <c r="I1201" s="2987" t="s">
        <v>3486</v>
      </c>
      <c r="J1201" s="2987" t="s">
        <v>3599</v>
      </c>
      <c r="K1201" s="2988">
        <v>96.17</v>
      </c>
    </row>
    <row r="1202" spans="2:11" ht="18" customHeight="1">
      <c r="B1202" s="2986">
        <v>1164</v>
      </c>
      <c r="C1202" s="2987" t="s">
        <v>3482</v>
      </c>
      <c r="D1202" s="2987" t="s">
        <v>3594</v>
      </c>
      <c r="E1202" s="2987" t="s">
        <v>4577</v>
      </c>
      <c r="F1202" s="2987">
        <v>2</v>
      </c>
      <c r="G1202" s="2987">
        <v>104</v>
      </c>
      <c r="H1202" s="2987" t="s">
        <v>4669</v>
      </c>
      <c r="I1202" s="2987" t="s">
        <v>3486</v>
      </c>
      <c r="J1202" s="2987" t="s">
        <v>3597</v>
      </c>
      <c r="K1202" s="2988">
        <v>128.26</v>
      </c>
    </row>
    <row r="1203" spans="2:11" ht="18" customHeight="1">
      <c r="B1203" s="2986">
        <v>1165</v>
      </c>
      <c r="C1203" s="2987" t="s">
        <v>3482</v>
      </c>
      <c r="D1203" s="2987" t="s">
        <v>3594</v>
      </c>
      <c r="E1203" s="2987" t="s">
        <v>4577</v>
      </c>
      <c r="F1203" s="2987">
        <v>2</v>
      </c>
      <c r="G1203" s="2987">
        <v>1101</v>
      </c>
      <c r="H1203" s="2987" t="s">
        <v>4670</v>
      </c>
      <c r="I1203" s="2987" t="s">
        <v>3486</v>
      </c>
      <c r="J1203" s="2987" t="s">
        <v>3602</v>
      </c>
      <c r="K1203" s="2988">
        <v>111.01</v>
      </c>
    </row>
    <row r="1204" spans="2:11" ht="18" customHeight="1">
      <c r="B1204" s="2986">
        <v>1166</v>
      </c>
      <c r="C1204" s="2987" t="s">
        <v>3482</v>
      </c>
      <c r="D1204" s="2987" t="s">
        <v>3594</v>
      </c>
      <c r="E1204" s="2987" t="s">
        <v>4577</v>
      </c>
      <c r="F1204" s="2987">
        <v>2</v>
      </c>
      <c r="G1204" s="2987">
        <v>1102</v>
      </c>
      <c r="H1204" s="2987" t="s">
        <v>4671</v>
      </c>
      <c r="I1204" s="2987" t="s">
        <v>3486</v>
      </c>
      <c r="J1204" s="2987" t="s">
        <v>3599</v>
      </c>
      <c r="K1204" s="2988">
        <v>96.17</v>
      </c>
    </row>
    <row r="1205" spans="2:11" ht="18" customHeight="1">
      <c r="B1205" s="2986">
        <v>1167</v>
      </c>
      <c r="C1205" s="2987" t="s">
        <v>3482</v>
      </c>
      <c r="D1205" s="2987" t="s">
        <v>3594</v>
      </c>
      <c r="E1205" s="2987" t="s">
        <v>4577</v>
      </c>
      <c r="F1205" s="2987">
        <v>2</v>
      </c>
      <c r="G1205" s="2987">
        <v>1103</v>
      </c>
      <c r="H1205" s="2987" t="s">
        <v>4672</v>
      </c>
      <c r="I1205" s="2987" t="s">
        <v>3486</v>
      </c>
      <c r="J1205" s="2987" t="s">
        <v>3599</v>
      </c>
      <c r="K1205" s="2988">
        <v>96.17</v>
      </c>
    </row>
    <row r="1206" spans="2:11" ht="18" customHeight="1">
      <c r="B1206" s="2986">
        <v>1168</v>
      </c>
      <c r="C1206" s="2987" t="s">
        <v>3482</v>
      </c>
      <c r="D1206" s="2987" t="s">
        <v>3594</v>
      </c>
      <c r="E1206" s="2987" t="s">
        <v>4577</v>
      </c>
      <c r="F1206" s="2987">
        <v>2</v>
      </c>
      <c r="G1206" s="2987">
        <v>1104</v>
      </c>
      <c r="H1206" s="2987" t="s">
        <v>4673</v>
      </c>
      <c r="I1206" s="2987" t="s">
        <v>3486</v>
      </c>
      <c r="J1206" s="2987" t="s">
        <v>3597</v>
      </c>
      <c r="K1206" s="2988">
        <v>128.26</v>
      </c>
    </row>
    <row r="1207" spans="2:11" ht="18" customHeight="1">
      <c r="B1207" s="2986">
        <v>1169</v>
      </c>
      <c r="C1207" s="2987" t="s">
        <v>3482</v>
      </c>
      <c r="D1207" s="2987" t="s">
        <v>3594</v>
      </c>
      <c r="E1207" s="2987" t="s">
        <v>4577</v>
      </c>
      <c r="F1207" s="2987">
        <v>2</v>
      </c>
      <c r="G1207" s="2987">
        <v>1201</v>
      </c>
      <c r="H1207" s="2987" t="s">
        <v>4674</v>
      </c>
      <c r="I1207" s="2987" t="s">
        <v>3486</v>
      </c>
      <c r="J1207" s="2987" t="s">
        <v>3602</v>
      </c>
      <c r="K1207" s="2988">
        <v>111.01</v>
      </c>
    </row>
    <row r="1208" spans="2:11" ht="18" customHeight="1">
      <c r="B1208" s="2986">
        <v>1170</v>
      </c>
      <c r="C1208" s="2987" t="s">
        <v>3482</v>
      </c>
      <c r="D1208" s="2987" t="s">
        <v>3594</v>
      </c>
      <c r="E1208" s="2987" t="s">
        <v>4577</v>
      </c>
      <c r="F1208" s="2987">
        <v>2</v>
      </c>
      <c r="G1208" s="2987">
        <v>1202</v>
      </c>
      <c r="H1208" s="2987" t="s">
        <v>4675</v>
      </c>
      <c r="I1208" s="2987" t="s">
        <v>3486</v>
      </c>
      <c r="J1208" s="2987" t="s">
        <v>3599</v>
      </c>
      <c r="K1208" s="2988">
        <v>96.17</v>
      </c>
    </row>
    <row r="1209" spans="2:11" ht="18" customHeight="1">
      <c r="B1209" s="2986">
        <v>1171</v>
      </c>
      <c r="C1209" s="2987" t="s">
        <v>3482</v>
      </c>
      <c r="D1209" s="2987" t="s">
        <v>3594</v>
      </c>
      <c r="E1209" s="2987" t="s">
        <v>4577</v>
      </c>
      <c r="F1209" s="2987">
        <v>2</v>
      </c>
      <c r="G1209" s="2987">
        <v>1203</v>
      </c>
      <c r="H1209" s="2987" t="s">
        <v>4676</v>
      </c>
      <c r="I1209" s="2987" t="s">
        <v>3486</v>
      </c>
      <c r="J1209" s="2987" t="s">
        <v>3599</v>
      </c>
      <c r="K1209" s="2988">
        <v>96.17</v>
      </c>
    </row>
    <row r="1210" spans="2:11" ht="18" customHeight="1">
      <c r="B1210" s="2986">
        <v>1172</v>
      </c>
      <c r="C1210" s="2987" t="s">
        <v>3482</v>
      </c>
      <c r="D1210" s="2987" t="s">
        <v>3594</v>
      </c>
      <c r="E1210" s="2987" t="s">
        <v>4577</v>
      </c>
      <c r="F1210" s="2987">
        <v>2</v>
      </c>
      <c r="G1210" s="2987">
        <v>1204</v>
      </c>
      <c r="H1210" s="2987" t="s">
        <v>4677</v>
      </c>
      <c r="I1210" s="2987" t="s">
        <v>3486</v>
      </c>
      <c r="J1210" s="2987" t="s">
        <v>3597</v>
      </c>
      <c r="K1210" s="2988">
        <v>128.26</v>
      </c>
    </row>
    <row r="1211" spans="2:11" ht="18" customHeight="1">
      <c r="B1211" s="2986">
        <v>1173</v>
      </c>
      <c r="C1211" s="2987" t="s">
        <v>3482</v>
      </c>
      <c r="D1211" s="2987" t="s">
        <v>3594</v>
      </c>
      <c r="E1211" s="2987" t="s">
        <v>4577</v>
      </c>
      <c r="F1211" s="2987">
        <v>2</v>
      </c>
      <c r="G1211" s="2987">
        <v>1301</v>
      </c>
      <c r="H1211" s="2987" t="s">
        <v>4678</v>
      </c>
      <c r="I1211" s="2987" t="s">
        <v>3486</v>
      </c>
      <c r="J1211" s="2987" t="s">
        <v>3602</v>
      </c>
      <c r="K1211" s="2988">
        <v>111.01</v>
      </c>
    </row>
    <row r="1212" spans="2:11" ht="18" customHeight="1">
      <c r="B1212" s="2986">
        <v>1174</v>
      </c>
      <c r="C1212" s="2987" t="s">
        <v>3482</v>
      </c>
      <c r="D1212" s="2987" t="s">
        <v>3594</v>
      </c>
      <c r="E1212" s="2987" t="s">
        <v>4577</v>
      </c>
      <c r="F1212" s="2987">
        <v>2</v>
      </c>
      <c r="G1212" s="2987">
        <v>1302</v>
      </c>
      <c r="H1212" s="2987" t="s">
        <v>4679</v>
      </c>
      <c r="I1212" s="2987" t="s">
        <v>3486</v>
      </c>
      <c r="J1212" s="2987" t="s">
        <v>3599</v>
      </c>
      <c r="K1212" s="2988">
        <v>96.17</v>
      </c>
    </row>
    <row r="1213" spans="2:11" ht="18" customHeight="1">
      <c r="B1213" s="2986">
        <v>1175</v>
      </c>
      <c r="C1213" s="2987" t="s">
        <v>3482</v>
      </c>
      <c r="D1213" s="2987" t="s">
        <v>3594</v>
      </c>
      <c r="E1213" s="2987" t="s">
        <v>4577</v>
      </c>
      <c r="F1213" s="2987">
        <v>2</v>
      </c>
      <c r="G1213" s="2987">
        <v>1303</v>
      </c>
      <c r="H1213" s="2987" t="s">
        <v>4680</v>
      </c>
      <c r="I1213" s="2987" t="s">
        <v>3486</v>
      </c>
      <c r="J1213" s="2987" t="s">
        <v>3599</v>
      </c>
      <c r="K1213" s="2988">
        <v>96.17</v>
      </c>
    </row>
    <row r="1214" spans="2:11" ht="18" customHeight="1">
      <c r="B1214" s="2986">
        <v>1176</v>
      </c>
      <c r="C1214" s="2987" t="s">
        <v>3482</v>
      </c>
      <c r="D1214" s="2987" t="s">
        <v>3594</v>
      </c>
      <c r="E1214" s="2987" t="s">
        <v>4577</v>
      </c>
      <c r="F1214" s="2987">
        <v>2</v>
      </c>
      <c r="G1214" s="2987">
        <v>1304</v>
      </c>
      <c r="H1214" s="2987" t="s">
        <v>4681</v>
      </c>
      <c r="I1214" s="2987" t="s">
        <v>3486</v>
      </c>
      <c r="J1214" s="2987" t="s">
        <v>3597</v>
      </c>
      <c r="K1214" s="2988">
        <v>128.26</v>
      </c>
    </row>
    <row r="1215" spans="2:11" ht="18" customHeight="1">
      <c r="B1215" s="2986">
        <v>1177</v>
      </c>
      <c r="C1215" s="2987" t="s">
        <v>3482</v>
      </c>
      <c r="D1215" s="2987" t="s">
        <v>3594</v>
      </c>
      <c r="E1215" s="2987" t="s">
        <v>4577</v>
      </c>
      <c r="F1215" s="2987">
        <v>2</v>
      </c>
      <c r="G1215" s="2987">
        <v>1401</v>
      </c>
      <c r="H1215" s="2987" t="s">
        <v>4682</v>
      </c>
      <c r="I1215" s="2987" t="s">
        <v>3486</v>
      </c>
      <c r="J1215" s="2987" t="s">
        <v>3602</v>
      </c>
      <c r="K1215" s="2988">
        <v>111.01</v>
      </c>
    </row>
    <row r="1216" spans="2:11" ht="18" customHeight="1">
      <c r="B1216" s="2986">
        <v>1178</v>
      </c>
      <c r="C1216" s="2987" t="s">
        <v>3482</v>
      </c>
      <c r="D1216" s="2987" t="s">
        <v>3594</v>
      </c>
      <c r="E1216" s="2987" t="s">
        <v>4577</v>
      </c>
      <c r="F1216" s="2987">
        <v>2</v>
      </c>
      <c r="G1216" s="2987">
        <v>1402</v>
      </c>
      <c r="H1216" s="2987" t="s">
        <v>4683</v>
      </c>
      <c r="I1216" s="2987" t="s">
        <v>3486</v>
      </c>
      <c r="J1216" s="2987" t="s">
        <v>3599</v>
      </c>
      <c r="K1216" s="2988">
        <v>96.17</v>
      </c>
    </row>
    <row r="1217" spans="2:11" ht="18" customHeight="1">
      <c r="B1217" s="2986">
        <v>1179</v>
      </c>
      <c r="C1217" s="2987" t="s">
        <v>3482</v>
      </c>
      <c r="D1217" s="2987" t="s">
        <v>3594</v>
      </c>
      <c r="E1217" s="2987" t="s">
        <v>4577</v>
      </c>
      <c r="F1217" s="2987">
        <v>2</v>
      </c>
      <c r="G1217" s="2987">
        <v>1403</v>
      </c>
      <c r="H1217" s="2987" t="s">
        <v>4684</v>
      </c>
      <c r="I1217" s="2987" t="s">
        <v>3486</v>
      </c>
      <c r="J1217" s="2987" t="s">
        <v>3599</v>
      </c>
      <c r="K1217" s="2988">
        <v>96.17</v>
      </c>
    </row>
    <row r="1218" spans="2:11" ht="18" customHeight="1">
      <c r="B1218" s="2986">
        <v>1180</v>
      </c>
      <c r="C1218" s="2987" t="s">
        <v>3482</v>
      </c>
      <c r="D1218" s="2987" t="s">
        <v>3594</v>
      </c>
      <c r="E1218" s="2987" t="s">
        <v>4577</v>
      </c>
      <c r="F1218" s="2987">
        <v>2</v>
      </c>
      <c r="G1218" s="2987">
        <v>1404</v>
      </c>
      <c r="H1218" s="2987" t="s">
        <v>4685</v>
      </c>
      <c r="I1218" s="2987" t="s">
        <v>3486</v>
      </c>
      <c r="J1218" s="2987" t="s">
        <v>3597</v>
      </c>
      <c r="K1218" s="2988">
        <v>128.26</v>
      </c>
    </row>
    <row r="1219" spans="2:11" ht="18" customHeight="1">
      <c r="B1219" s="2986">
        <v>1181</v>
      </c>
      <c r="C1219" s="2987" t="s">
        <v>3482</v>
      </c>
      <c r="D1219" s="2987" t="s">
        <v>3594</v>
      </c>
      <c r="E1219" s="2987" t="s">
        <v>4577</v>
      </c>
      <c r="F1219" s="2987">
        <v>2</v>
      </c>
      <c r="G1219" s="2987">
        <v>1501</v>
      </c>
      <c r="H1219" s="2987" t="s">
        <v>4686</v>
      </c>
      <c r="I1219" s="2987" t="s">
        <v>3486</v>
      </c>
      <c r="J1219" s="2987" t="s">
        <v>3602</v>
      </c>
      <c r="K1219" s="2988">
        <v>111.01</v>
      </c>
    </row>
    <row r="1220" spans="2:11" ht="18" customHeight="1">
      <c r="B1220" s="2986">
        <v>1182</v>
      </c>
      <c r="C1220" s="2987" t="s">
        <v>3482</v>
      </c>
      <c r="D1220" s="2987" t="s">
        <v>3594</v>
      </c>
      <c r="E1220" s="2987" t="s">
        <v>4577</v>
      </c>
      <c r="F1220" s="2987">
        <v>2</v>
      </c>
      <c r="G1220" s="2987">
        <v>1502</v>
      </c>
      <c r="H1220" s="2987" t="s">
        <v>4687</v>
      </c>
      <c r="I1220" s="2987" t="s">
        <v>3486</v>
      </c>
      <c r="J1220" s="2987" t="s">
        <v>3599</v>
      </c>
      <c r="K1220" s="2988">
        <v>96.17</v>
      </c>
    </row>
    <row r="1221" spans="2:11" ht="18" customHeight="1">
      <c r="B1221" s="2986">
        <v>1183</v>
      </c>
      <c r="C1221" s="2987" t="s">
        <v>3482</v>
      </c>
      <c r="D1221" s="2987" t="s">
        <v>3594</v>
      </c>
      <c r="E1221" s="2987" t="s">
        <v>4577</v>
      </c>
      <c r="F1221" s="2987">
        <v>2</v>
      </c>
      <c r="G1221" s="2987">
        <v>1503</v>
      </c>
      <c r="H1221" s="2987" t="s">
        <v>4688</v>
      </c>
      <c r="I1221" s="2987" t="s">
        <v>3486</v>
      </c>
      <c r="J1221" s="2987" t="s">
        <v>3599</v>
      </c>
      <c r="K1221" s="2988">
        <v>96.17</v>
      </c>
    </row>
    <row r="1222" spans="2:11" ht="18" customHeight="1">
      <c r="B1222" s="2986">
        <v>1184</v>
      </c>
      <c r="C1222" s="2987" t="s">
        <v>3482</v>
      </c>
      <c r="D1222" s="2987" t="s">
        <v>3594</v>
      </c>
      <c r="E1222" s="2987" t="s">
        <v>4577</v>
      </c>
      <c r="F1222" s="2987">
        <v>2</v>
      </c>
      <c r="G1222" s="2987">
        <v>1504</v>
      </c>
      <c r="H1222" s="2987" t="s">
        <v>4689</v>
      </c>
      <c r="I1222" s="2987" t="s">
        <v>3486</v>
      </c>
      <c r="J1222" s="2987" t="s">
        <v>3597</v>
      </c>
      <c r="K1222" s="2988">
        <v>128.26</v>
      </c>
    </row>
    <row r="1223" spans="2:11" ht="18" customHeight="1">
      <c r="B1223" s="2986">
        <v>1185</v>
      </c>
      <c r="C1223" s="2987" t="s">
        <v>3482</v>
      </c>
      <c r="D1223" s="2987" t="s">
        <v>3594</v>
      </c>
      <c r="E1223" s="2987" t="s">
        <v>4577</v>
      </c>
      <c r="F1223" s="2987">
        <v>2</v>
      </c>
      <c r="G1223" s="2987">
        <v>1601</v>
      </c>
      <c r="H1223" s="2987" t="s">
        <v>4690</v>
      </c>
      <c r="I1223" s="2987" t="s">
        <v>3486</v>
      </c>
      <c r="J1223" s="2987" t="s">
        <v>3602</v>
      </c>
      <c r="K1223" s="2988">
        <v>111.01</v>
      </c>
    </row>
    <row r="1224" spans="2:11" ht="18" customHeight="1">
      <c r="B1224" s="2986">
        <v>1186</v>
      </c>
      <c r="C1224" s="2987" t="s">
        <v>3482</v>
      </c>
      <c r="D1224" s="2987" t="s">
        <v>3594</v>
      </c>
      <c r="E1224" s="2987" t="s">
        <v>4577</v>
      </c>
      <c r="F1224" s="2987">
        <v>2</v>
      </c>
      <c r="G1224" s="2987">
        <v>1602</v>
      </c>
      <c r="H1224" s="2987" t="s">
        <v>4691</v>
      </c>
      <c r="I1224" s="2987" t="s">
        <v>3486</v>
      </c>
      <c r="J1224" s="2987" t="s">
        <v>3599</v>
      </c>
      <c r="K1224" s="2988">
        <v>96.17</v>
      </c>
    </row>
    <row r="1225" spans="2:11" ht="18" customHeight="1">
      <c r="B1225" s="2986">
        <v>1187</v>
      </c>
      <c r="C1225" s="2987" t="s">
        <v>3482</v>
      </c>
      <c r="D1225" s="2987" t="s">
        <v>3594</v>
      </c>
      <c r="E1225" s="2987" t="s">
        <v>4577</v>
      </c>
      <c r="F1225" s="2987">
        <v>2</v>
      </c>
      <c r="G1225" s="2987">
        <v>1603</v>
      </c>
      <c r="H1225" s="2987" t="s">
        <v>4692</v>
      </c>
      <c r="I1225" s="2987" t="s">
        <v>3486</v>
      </c>
      <c r="J1225" s="2987" t="s">
        <v>3599</v>
      </c>
      <c r="K1225" s="2988">
        <v>96.17</v>
      </c>
    </row>
    <row r="1226" spans="2:11" ht="18" customHeight="1">
      <c r="B1226" s="2986">
        <v>1188</v>
      </c>
      <c r="C1226" s="2987" t="s">
        <v>3482</v>
      </c>
      <c r="D1226" s="2987" t="s">
        <v>3594</v>
      </c>
      <c r="E1226" s="2987" t="s">
        <v>4577</v>
      </c>
      <c r="F1226" s="2987">
        <v>2</v>
      </c>
      <c r="G1226" s="2987">
        <v>1604</v>
      </c>
      <c r="H1226" s="2987" t="s">
        <v>4693</v>
      </c>
      <c r="I1226" s="2987" t="s">
        <v>3486</v>
      </c>
      <c r="J1226" s="2987" t="s">
        <v>3597</v>
      </c>
      <c r="K1226" s="2988">
        <v>128.26</v>
      </c>
    </row>
    <row r="1227" spans="2:11" ht="18" customHeight="1">
      <c r="B1227" s="2986">
        <v>1189</v>
      </c>
      <c r="C1227" s="2987" t="s">
        <v>3482</v>
      </c>
      <c r="D1227" s="2987" t="s">
        <v>3594</v>
      </c>
      <c r="E1227" s="2987" t="s">
        <v>4577</v>
      </c>
      <c r="F1227" s="2987">
        <v>2</v>
      </c>
      <c r="G1227" s="2987">
        <v>1701</v>
      </c>
      <c r="H1227" s="2987" t="s">
        <v>4694</v>
      </c>
      <c r="I1227" s="2987" t="s">
        <v>3486</v>
      </c>
      <c r="J1227" s="2987" t="s">
        <v>3602</v>
      </c>
      <c r="K1227" s="2988">
        <v>111.01</v>
      </c>
    </row>
    <row r="1228" spans="2:11" ht="18" customHeight="1">
      <c r="B1228" s="2986">
        <v>1190</v>
      </c>
      <c r="C1228" s="2987" t="s">
        <v>3482</v>
      </c>
      <c r="D1228" s="2987" t="s">
        <v>3594</v>
      </c>
      <c r="E1228" s="2987" t="s">
        <v>4577</v>
      </c>
      <c r="F1228" s="2987">
        <v>2</v>
      </c>
      <c r="G1228" s="2987">
        <v>1702</v>
      </c>
      <c r="H1228" s="2987" t="s">
        <v>4695</v>
      </c>
      <c r="I1228" s="2987" t="s">
        <v>3486</v>
      </c>
      <c r="J1228" s="2987" t="s">
        <v>3599</v>
      </c>
      <c r="K1228" s="2988">
        <v>96.17</v>
      </c>
    </row>
    <row r="1229" spans="2:11" ht="18" customHeight="1">
      <c r="B1229" s="2986">
        <v>1191</v>
      </c>
      <c r="C1229" s="2987" t="s">
        <v>3482</v>
      </c>
      <c r="D1229" s="2987" t="s">
        <v>3594</v>
      </c>
      <c r="E1229" s="2987" t="s">
        <v>4577</v>
      </c>
      <c r="F1229" s="2987">
        <v>2</v>
      </c>
      <c r="G1229" s="2987">
        <v>1703</v>
      </c>
      <c r="H1229" s="2987" t="s">
        <v>4696</v>
      </c>
      <c r="I1229" s="2987" t="s">
        <v>3486</v>
      </c>
      <c r="J1229" s="2987" t="s">
        <v>3599</v>
      </c>
      <c r="K1229" s="2988">
        <v>96.17</v>
      </c>
    </row>
    <row r="1230" spans="2:11" ht="18" customHeight="1">
      <c r="B1230" s="2986">
        <v>1192</v>
      </c>
      <c r="C1230" s="2987" t="s">
        <v>3482</v>
      </c>
      <c r="D1230" s="2987" t="s">
        <v>3594</v>
      </c>
      <c r="E1230" s="2987" t="s">
        <v>4577</v>
      </c>
      <c r="F1230" s="2987">
        <v>2</v>
      </c>
      <c r="G1230" s="2987">
        <v>1704</v>
      </c>
      <c r="H1230" s="2987" t="s">
        <v>4697</v>
      </c>
      <c r="I1230" s="2987" t="s">
        <v>3486</v>
      </c>
      <c r="J1230" s="2987" t="s">
        <v>3597</v>
      </c>
      <c r="K1230" s="2988">
        <v>128.26</v>
      </c>
    </row>
    <row r="1231" spans="2:11" ht="18" customHeight="1">
      <c r="B1231" s="2986">
        <v>1193</v>
      </c>
      <c r="C1231" s="2987" t="s">
        <v>3482</v>
      </c>
      <c r="D1231" s="2987" t="s">
        <v>3594</v>
      </c>
      <c r="E1231" s="2987" t="s">
        <v>4577</v>
      </c>
      <c r="F1231" s="2987">
        <v>2</v>
      </c>
      <c r="G1231" s="2987">
        <v>1801</v>
      </c>
      <c r="H1231" s="2987" t="s">
        <v>4698</v>
      </c>
      <c r="I1231" s="2987" t="s">
        <v>3486</v>
      </c>
      <c r="J1231" s="2987" t="s">
        <v>3602</v>
      </c>
      <c r="K1231" s="2988">
        <v>111.01</v>
      </c>
    </row>
    <row r="1232" spans="2:11" ht="18" customHeight="1">
      <c r="B1232" s="2986">
        <v>1194</v>
      </c>
      <c r="C1232" s="2987" t="s">
        <v>3482</v>
      </c>
      <c r="D1232" s="2987" t="s">
        <v>3594</v>
      </c>
      <c r="E1232" s="2987" t="s">
        <v>4577</v>
      </c>
      <c r="F1232" s="2987">
        <v>2</v>
      </c>
      <c r="G1232" s="2987">
        <v>1802</v>
      </c>
      <c r="H1232" s="2987" t="s">
        <v>4699</v>
      </c>
      <c r="I1232" s="2987" t="s">
        <v>3486</v>
      </c>
      <c r="J1232" s="2987" t="s">
        <v>3599</v>
      </c>
      <c r="K1232" s="2988">
        <v>96.17</v>
      </c>
    </row>
    <row r="1233" spans="2:11" ht="18" customHeight="1">
      <c r="B1233" s="2986">
        <v>1195</v>
      </c>
      <c r="C1233" s="2987" t="s">
        <v>3482</v>
      </c>
      <c r="D1233" s="2987" t="s">
        <v>3594</v>
      </c>
      <c r="E1233" s="2987" t="s">
        <v>4577</v>
      </c>
      <c r="F1233" s="2987">
        <v>2</v>
      </c>
      <c r="G1233" s="2987">
        <v>1803</v>
      </c>
      <c r="H1233" s="2987" t="s">
        <v>4700</v>
      </c>
      <c r="I1233" s="2987" t="s">
        <v>3486</v>
      </c>
      <c r="J1233" s="2987" t="s">
        <v>3599</v>
      </c>
      <c r="K1233" s="2988">
        <v>96.17</v>
      </c>
    </row>
    <row r="1234" spans="2:11" ht="18" customHeight="1">
      <c r="B1234" s="2986">
        <v>1196</v>
      </c>
      <c r="C1234" s="2987" t="s">
        <v>3482</v>
      </c>
      <c r="D1234" s="2987" t="s">
        <v>3594</v>
      </c>
      <c r="E1234" s="2987" t="s">
        <v>4577</v>
      </c>
      <c r="F1234" s="2987">
        <v>2</v>
      </c>
      <c r="G1234" s="2987">
        <v>1804</v>
      </c>
      <c r="H1234" s="2987" t="s">
        <v>4701</v>
      </c>
      <c r="I1234" s="2987" t="s">
        <v>3486</v>
      </c>
      <c r="J1234" s="2987" t="s">
        <v>3597</v>
      </c>
      <c r="K1234" s="2988">
        <v>128.26</v>
      </c>
    </row>
    <row r="1235" spans="2:11" ht="18" customHeight="1">
      <c r="B1235" s="2986">
        <v>1197</v>
      </c>
      <c r="C1235" s="2987" t="s">
        <v>3482</v>
      </c>
      <c r="D1235" s="2987" t="s">
        <v>3594</v>
      </c>
      <c r="E1235" s="2987" t="s">
        <v>4577</v>
      </c>
      <c r="F1235" s="2987">
        <v>2</v>
      </c>
      <c r="G1235" s="2987">
        <v>1901</v>
      </c>
      <c r="H1235" s="2987" t="s">
        <v>4702</v>
      </c>
      <c r="I1235" s="2987" t="s">
        <v>3486</v>
      </c>
      <c r="J1235" s="2987" t="s">
        <v>3602</v>
      </c>
      <c r="K1235" s="2988">
        <v>111.01</v>
      </c>
    </row>
    <row r="1236" spans="2:11" ht="18" customHeight="1">
      <c r="B1236" s="2986">
        <v>1198</v>
      </c>
      <c r="C1236" s="2987" t="s">
        <v>3482</v>
      </c>
      <c r="D1236" s="2987" t="s">
        <v>3594</v>
      </c>
      <c r="E1236" s="2987" t="s">
        <v>4577</v>
      </c>
      <c r="F1236" s="2987">
        <v>2</v>
      </c>
      <c r="G1236" s="2987">
        <v>1902</v>
      </c>
      <c r="H1236" s="2987" t="s">
        <v>4703</v>
      </c>
      <c r="I1236" s="2987" t="s">
        <v>3486</v>
      </c>
      <c r="J1236" s="2987" t="s">
        <v>3599</v>
      </c>
      <c r="K1236" s="2988">
        <v>96.17</v>
      </c>
    </row>
    <row r="1237" spans="2:11" ht="18" customHeight="1">
      <c r="B1237" s="2986">
        <v>1199</v>
      </c>
      <c r="C1237" s="2987" t="s">
        <v>3482</v>
      </c>
      <c r="D1237" s="2987" t="s">
        <v>3594</v>
      </c>
      <c r="E1237" s="2987" t="s">
        <v>4577</v>
      </c>
      <c r="F1237" s="2987">
        <v>2</v>
      </c>
      <c r="G1237" s="2987">
        <v>1903</v>
      </c>
      <c r="H1237" s="2987" t="s">
        <v>4704</v>
      </c>
      <c r="I1237" s="2987" t="s">
        <v>3486</v>
      </c>
      <c r="J1237" s="2987" t="s">
        <v>3599</v>
      </c>
      <c r="K1237" s="2988">
        <v>96.17</v>
      </c>
    </row>
    <row r="1238" spans="2:11" ht="18" customHeight="1">
      <c r="B1238" s="2986">
        <v>1200</v>
      </c>
      <c r="C1238" s="2987" t="s">
        <v>3482</v>
      </c>
      <c r="D1238" s="2987" t="s">
        <v>3594</v>
      </c>
      <c r="E1238" s="2987" t="s">
        <v>4577</v>
      </c>
      <c r="F1238" s="2987">
        <v>2</v>
      </c>
      <c r="G1238" s="2987">
        <v>1904</v>
      </c>
      <c r="H1238" s="2987" t="s">
        <v>4705</v>
      </c>
      <c r="I1238" s="2987" t="s">
        <v>3486</v>
      </c>
      <c r="J1238" s="2987" t="s">
        <v>3597</v>
      </c>
      <c r="K1238" s="2988">
        <v>128.26</v>
      </c>
    </row>
    <row r="1239" spans="2:11" ht="18" customHeight="1">
      <c r="B1239" s="2986">
        <v>1201</v>
      </c>
      <c r="C1239" s="2987" t="s">
        <v>3482</v>
      </c>
      <c r="D1239" s="2987" t="s">
        <v>3594</v>
      </c>
      <c r="E1239" s="2987" t="s">
        <v>4577</v>
      </c>
      <c r="F1239" s="2987">
        <v>2</v>
      </c>
      <c r="G1239" s="2987">
        <v>2001</v>
      </c>
      <c r="H1239" s="2987" t="s">
        <v>4706</v>
      </c>
      <c r="I1239" s="2987" t="s">
        <v>3486</v>
      </c>
      <c r="J1239" s="2987" t="s">
        <v>3602</v>
      </c>
      <c r="K1239" s="2988">
        <v>111.01</v>
      </c>
    </row>
    <row r="1240" spans="2:11" ht="18" customHeight="1">
      <c r="B1240" s="2986">
        <v>1202</v>
      </c>
      <c r="C1240" s="2987" t="s">
        <v>3482</v>
      </c>
      <c r="D1240" s="2987" t="s">
        <v>3594</v>
      </c>
      <c r="E1240" s="2987" t="s">
        <v>4577</v>
      </c>
      <c r="F1240" s="2987">
        <v>2</v>
      </c>
      <c r="G1240" s="2987">
        <v>2002</v>
      </c>
      <c r="H1240" s="2987" t="s">
        <v>4707</v>
      </c>
      <c r="I1240" s="2987" t="s">
        <v>3486</v>
      </c>
      <c r="J1240" s="2987" t="s">
        <v>3599</v>
      </c>
      <c r="K1240" s="2988">
        <v>96.17</v>
      </c>
    </row>
    <row r="1241" spans="2:11" ht="18" customHeight="1">
      <c r="B1241" s="2986">
        <v>1203</v>
      </c>
      <c r="C1241" s="2987" t="s">
        <v>3482</v>
      </c>
      <c r="D1241" s="2987" t="s">
        <v>3594</v>
      </c>
      <c r="E1241" s="2987" t="s">
        <v>4577</v>
      </c>
      <c r="F1241" s="2987">
        <v>2</v>
      </c>
      <c r="G1241" s="2987">
        <v>2003</v>
      </c>
      <c r="H1241" s="2987" t="s">
        <v>4708</v>
      </c>
      <c r="I1241" s="2987" t="s">
        <v>3486</v>
      </c>
      <c r="J1241" s="2987" t="s">
        <v>3599</v>
      </c>
      <c r="K1241" s="2988">
        <v>96.17</v>
      </c>
    </row>
    <row r="1242" spans="2:11" ht="18" customHeight="1">
      <c r="B1242" s="2986">
        <v>1204</v>
      </c>
      <c r="C1242" s="2987" t="s">
        <v>3482</v>
      </c>
      <c r="D1242" s="2987" t="s">
        <v>3594</v>
      </c>
      <c r="E1242" s="2987" t="s">
        <v>4577</v>
      </c>
      <c r="F1242" s="2987">
        <v>2</v>
      </c>
      <c r="G1242" s="2987">
        <v>2004</v>
      </c>
      <c r="H1242" s="2987" t="s">
        <v>4709</v>
      </c>
      <c r="I1242" s="2987" t="s">
        <v>3486</v>
      </c>
      <c r="J1242" s="2987" t="s">
        <v>3597</v>
      </c>
      <c r="K1242" s="2988">
        <v>128.26</v>
      </c>
    </row>
    <row r="1243" spans="2:11" ht="18" customHeight="1">
      <c r="B1243" s="2986">
        <v>1205</v>
      </c>
      <c r="C1243" s="2987" t="s">
        <v>3482</v>
      </c>
      <c r="D1243" s="2987" t="s">
        <v>3594</v>
      </c>
      <c r="E1243" s="2987" t="s">
        <v>4577</v>
      </c>
      <c r="F1243" s="2987">
        <v>2</v>
      </c>
      <c r="G1243" s="2987">
        <v>201</v>
      </c>
      <c r="H1243" s="2987" t="s">
        <v>4710</v>
      </c>
      <c r="I1243" s="2987" t="s">
        <v>3486</v>
      </c>
      <c r="J1243" s="2987" t="s">
        <v>3602</v>
      </c>
      <c r="K1243" s="2988">
        <v>111.01</v>
      </c>
    </row>
    <row r="1244" spans="2:11" ht="18" customHeight="1">
      <c r="B1244" s="2986">
        <v>1206</v>
      </c>
      <c r="C1244" s="2987" t="s">
        <v>3482</v>
      </c>
      <c r="D1244" s="2987" t="s">
        <v>3594</v>
      </c>
      <c r="E1244" s="2987" t="s">
        <v>4577</v>
      </c>
      <c r="F1244" s="2987">
        <v>2</v>
      </c>
      <c r="G1244" s="2987">
        <v>202</v>
      </c>
      <c r="H1244" s="2987" t="s">
        <v>4711</v>
      </c>
      <c r="I1244" s="2987" t="s">
        <v>3486</v>
      </c>
      <c r="J1244" s="2987" t="s">
        <v>3599</v>
      </c>
      <c r="K1244" s="2988">
        <v>96.17</v>
      </c>
    </row>
    <row r="1245" spans="2:11" ht="18" customHeight="1">
      <c r="B1245" s="2986">
        <v>1207</v>
      </c>
      <c r="C1245" s="2987" t="s">
        <v>3482</v>
      </c>
      <c r="D1245" s="2987" t="s">
        <v>3594</v>
      </c>
      <c r="E1245" s="2987" t="s">
        <v>4577</v>
      </c>
      <c r="F1245" s="2987">
        <v>2</v>
      </c>
      <c r="G1245" s="2987">
        <v>203</v>
      </c>
      <c r="H1245" s="2987" t="s">
        <v>4712</v>
      </c>
      <c r="I1245" s="2987" t="s">
        <v>3486</v>
      </c>
      <c r="J1245" s="2987" t="s">
        <v>3599</v>
      </c>
      <c r="K1245" s="2988">
        <v>96.17</v>
      </c>
    </row>
    <row r="1246" spans="2:11" ht="18" customHeight="1">
      <c r="B1246" s="2986">
        <v>1208</v>
      </c>
      <c r="C1246" s="2987" t="s">
        <v>3482</v>
      </c>
      <c r="D1246" s="2987" t="s">
        <v>3594</v>
      </c>
      <c r="E1246" s="2987" t="s">
        <v>4577</v>
      </c>
      <c r="F1246" s="2987">
        <v>2</v>
      </c>
      <c r="G1246" s="2987">
        <v>204</v>
      </c>
      <c r="H1246" s="2987" t="s">
        <v>4713</v>
      </c>
      <c r="I1246" s="2987" t="s">
        <v>3486</v>
      </c>
      <c r="J1246" s="2987" t="s">
        <v>3597</v>
      </c>
      <c r="K1246" s="2988">
        <v>128.26</v>
      </c>
    </row>
    <row r="1247" spans="2:11" ht="18" customHeight="1">
      <c r="B1247" s="2986">
        <v>1209</v>
      </c>
      <c r="C1247" s="2987" t="s">
        <v>3482</v>
      </c>
      <c r="D1247" s="2987" t="s">
        <v>3594</v>
      </c>
      <c r="E1247" s="2987" t="s">
        <v>4577</v>
      </c>
      <c r="F1247" s="2987">
        <v>2</v>
      </c>
      <c r="G1247" s="2987">
        <v>2101</v>
      </c>
      <c r="H1247" s="2987" t="s">
        <v>4714</v>
      </c>
      <c r="I1247" s="2987" t="s">
        <v>3486</v>
      </c>
      <c r="J1247" s="2987" t="s">
        <v>3602</v>
      </c>
      <c r="K1247" s="2988">
        <v>111.01</v>
      </c>
    </row>
    <row r="1248" spans="2:11" ht="18" customHeight="1">
      <c r="B1248" s="2986">
        <v>1210</v>
      </c>
      <c r="C1248" s="2987" t="s">
        <v>3482</v>
      </c>
      <c r="D1248" s="2987" t="s">
        <v>3594</v>
      </c>
      <c r="E1248" s="2987" t="s">
        <v>4577</v>
      </c>
      <c r="F1248" s="2987">
        <v>2</v>
      </c>
      <c r="G1248" s="2987">
        <v>2102</v>
      </c>
      <c r="H1248" s="2987" t="s">
        <v>4715</v>
      </c>
      <c r="I1248" s="2987" t="s">
        <v>3486</v>
      </c>
      <c r="J1248" s="2987" t="s">
        <v>3599</v>
      </c>
      <c r="K1248" s="2988">
        <v>96.17</v>
      </c>
    </row>
    <row r="1249" spans="2:11" ht="18" customHeight="1">
      <c r="B1249" s="2986">
        <v>1211</v>
      </c>
      <c r="C1249" s="2987" t="s">
        <v>3482</v>
      </c>
      <c r="D1249" s="2987" t="s">
        <v>3594</v>
      </c>
      <c r="E1249" s="2987" t="s">
        <v>4577</v>
      </c>
      <c r="F1249" s="2987">
        <v>2</v>
      </c>
      <c r="G1249" s="2987">
        <v>2103</v>
      </c>
      <c r="H1249" s="2987" t="s">
        <v>4716</v>
      </c>
      <c r="I1249" s="2987" t="s">
        <v>3486</v>
      </c>
      <c r="J1249" s="2987" t="s">
        <v>3599</v>
      </c>
      <c r="K1249" s="2988">
        <v>96.17</v>
      </c>
    </row>
    <row r="1250" spans="2:11" ht="18" customHeight="1">
      <c r="B1250" s="2986">
        <v>1212</v>
      </c>
      <c r="C1250" s="2987" t="s">
        <v>3482</v>
      </c>
      <c r="D1250" s="2987" t="s">
        <v>3594</v>
      </c>
      <c r="E1250" s="2987" t="s">
        <v>4577</v>
      </c>
      <c r="F1250" s="2987">
        <v>2</v>
      </c>
      <c r="G1250" s="2987">
        <v>2104</v>
      </c>
      <c r="H1250" s="2987" t="s">
        <v>4717</v>
      </c>
      <c r="I1250" s="2987" t="s">
        <v>3486</v>
      </c>
      <c r="J1250" s="2987" t="s">
        <v>3597</v>
      </c>
      <c r="K1250" s="2988">
        <v>128.26</v>
      </c>
    </row>
    <row r="1251" spans="2:11" ht="18" customHeight="1">
      <c r="B1251" s="2986">
        <v>1213</v>
      </c>
      <c r="C1251" s="2987" t="s">
        <v>3482</v>
      </c>
      <c r="D1251" s="2987" t="s">
        <v>3594</v>
      </c>
      <c r="E1251" s="2987" t="s">
        <v>4577</v>
      </c>
      <c r="F1251" s="2987">
        <v>2</v>
      </c>
      <c r="G1251" s="2987">
        <v>301</v>
      </c>
      <c r="H1251" s="2987" t="s">
        <v>4718</v>
      </c>
      <c r="I1251" s="2987" t="s">
        <v>3486</v>
      </c>
      <c r="J1251" s="2987" t="s">
        <v>3602</v>
      </c>
      <c r="K1251" s="2988">
        <v>111.01</v>
      </c>
    </row>
    <row r="1252" spans="2:11" ht="18" customHeight="1">
      <c r="B1252" s="2986">
        <v>1214</v>
      </c>
      <c r="C1252" s="2987" t="s">
        <v>3482</v>
      </c>
      <c r="D1252" s="2987" t="s">
        <v>3594</v>
      </c>
      <c r="E1252" s="2987" t="s">
        <v>4577</v>
      </c>
      <c r="F1252" s="2987">
        <v>2</v>
      </c>
      <c r="G1252" s="2987">
        <v>302</v>
      </c>
      <c r="H1252" s="2987" t="s">
        <v>4719</v>
      </c>
      <c r="I1252" s="2987" t="s">
        <v>3486</v>
      </c>
      <c r="J1252" s="2987" t="s">
        <v>3599</v>
      </c>
      <c r="K1252" s="2988">
        <v>96.17</v>
      </c>
    </row>
    <row r="1253" spans="2:11" ht="18" customHeight="1">
      <c r="B1253" s="2986">
        <v>1215</v>
      </c>
      <c r="C1253" s="2987" t="s">
        <v>3482</v>
      </c>
      <c r="D1253" s="2987" t="s">
        <v>3594</v>
      </c>
      <c r="E1253" s="2987" t="s">
        <v>4577</v>
      </c>
      <c r="F1253" s="2987">
        <v>2</v>
      </c>
      <c r="G1253" s="2987">
        <v>303</v>
      </c>
      <c r="H1253" s="2987" t="s">
        <v>4720</v>
      </c>
      <c r="I1253" s="2987" t="s">
        <v>3486</v>
      </c>
      <c r="J1253" s="2987" t="s">
        <v>3599</v>
      </c>
      <c r="K1253" s="2988">
        <v>96.17</v>
      </c>
    </row>
    <row r="1254" spans="2:11" ht="18" customHeight="1">
      <c r="B1254" s="2986">
        <v>1216</v>
      </c>
      <c r="C1254" s="2987" t="s">
        <v>3482</v>
      </c>
      <c r="D1254" s="2987" t="s">
        <v>3594</v>
      </c>
      <c r="E1254" s="2987" t="s">
        <v>4577</v>
      </c>
      <c r="F1254" s="2987">
        <v>2</v>
      </c>
      <c r="G1254" s="2987">
        <v>304</v>
      </c>
      <c r="H1254" s="2987" t="s">
        <v>4721</v>
      </c>
      <c r="I1254" s="2987" t="s">
        <v>3486</v>
      </c>
      <c r="J1254" s="2987" t="s">
        <v>3597</v>
      </c>
      <c r="K1254" s="2988">
        <v>128.26</v>
      </c>
    </row>
    <row r="1255" spans="2:11" ht="18" customHeight="1">
      <c r="B1255" s="2986">
        <v>1217</v>
      </c>
      <c r="C1255" s="2987" t="s">
        <v>3482</v>
      </c>
      <c r="D1255" s="2987" t="s">
        <v>3594</v>
      </c>
      <c r="E1255" s="2987" t="s">
        <v>4577</v>
      </c>
      <c r="F1255" s="2987">
        <v>2</v>
      </c>
      <c r="G1255" s="2987">
        <v>401</v>
      </c>
      <c r="H1255" s="2987" t="s">
        <v>4722</v>
      </c>
      <c r="I1255" s="2987" t="s">
        <v>3486</v>
      </c>
      <c r="J1255" s="2987" t="s">
        <v>3602</v>
      </c>
      <c r="K1255" s="2988">
        <v>111.01</v>
      </c>
    </row>
    <row r="1256" spans="2:11" ht="18" customHeight="1">
      <c r="B1256" s="2986">
        <v>1218</v>
      </c>
      <c r="C1256" s="2987" t="s">
        <v>3482</v>
      </c>
      <c r="D1256" s="2987" t="s">
        <v>3594</v>
      </c>
      <c r="E1256" s="2987" t="s">
        <v>4577</v>
      </c>
      <c r="F1256" s="2987">
        <v>2</v>
      </c>
      <c r="G1256" s="2987">
        <v>402</v>
      </c>
      <c r="H1256" s="2987" t="s">
        <v>4723</v>
      </c>
      <c r="I1256" s="2987" t="s">
        <v>3486</v>
      </c>
      <c r="J1256" s="2987" t="s">
        <v>3599</v>
      </c>
      <c r="K1256" s="2988">
        <v>96.17</v>
      </c>
    </row>
    <row r="1257" spans="2:11" ht="18" customHeight="1">
      <c r="B1257" s="2986">
        <v>1219</v>
      </c>
      <c r="C1257" s="2987" t="s">
        <v>3482</v>
      </c>
      <c r="D1257" s="2987" t="s">
        <v>3594</v>
      </c>
      <c r="E1257" s="2987" t="s">
        <v>4577</v>
      </c>
      <c r="F1257" s="2987">
        <v>2</v>
      </c>
      <c r="G1257" s="2987">
        <v>403</v>
      </c>
      <c r="H1257" s="2987" t="s">
        <v>4724</v>
      </c>
      <c r="I1257" s="2987" t="s">
        <v>3486</v>
      </c>
      <c r="J1257" s="2987" t="s">
        <v>3599</v>
      </c>
      <c r="K1257" s="2988">
        <v>96.17</v>
      </c>
    </row>
    <row r="1258" spans="2:11" ht="18" customHeight="1">
      <c r="B1258" s="2986">
        <v>1220</v>
      </c>
      <c r="C1258" s="2987" t="s">
        <v>3482</v>
      </c>
      <c r="D1258" s="2987" t="s">
        <v>3594</v>
      </c>
      <c r="E1258" s="2987" t="s">
        <v>4577</v>
      </c>
      <c r="F1258" s="2987">
        <v>2</v>
      </c>
      <c r="G1258" s="2987">
        <v>404</v>
      </c>
      <c r="H1258" s="2987" t="s">
        <v>4725</v>
      </c>
      <c r="I1258" s="2987" t="s">
        <v>3486</v>
      </c>
      <c r="J1258" s="2987" t="s">
        <v>3597</v>
      </c>
      <c r="K1258" s="2988">
        <v>128.26</v>
      </c>
    </row>
    <row r="1259" spans="2:11" ht="18" customHeight="1">
      <c r="B1259" s="2986">
        <v>1221</v>
      </c>
      <c r="C1259" s="2987" t="s">
        <v>3482</v>
      </c>
      <c r="D1259" s="2987" t="s">
        <v>3594</v>
      </c>
      <c r="E1259" s="2987" t="s">
        <v>4577</v>
      </c>
      <c r="F1259" s="2987">
        <v>2</v>
      </c>
      <c r="G1259" s="2987">
        <v>501</v>
      </c>
      <c r="H1259" s="2987" t="s">
        <v>4726</v>
      </c>
      <c r="I1259" s="2987" t="s">
        <v>3486</v>
      </c>
      <c r="J1259" s="2987" t="s">
        <v>3602</v>
      </c>
      <c r="K1259" s="2988">
        <v>111.01</v>
      </c>
    </row>
    <row r="1260" spans="2:11" ht="18" customHeight="1">
      <c r="B1260" s="2986">
        <v>1222</v>
      </c>
      <c r="C1260" s="2987" t="s">
        <v>3482</v>
      </c>
      <c r="D1260" s="2987" t="s">
        <v>3594</v>
      </c>
      <c r="E1260" s="2987" t="s">
        <v>4577</v>
      </c>
      <c r="F1260" s="2987">
        <v>2</v>
      </c>
      <c r="G1260" s="2987">
        <v>502</v>
      </c>
      <c r="H1260" s="2987" t="s">
        <v>4727</v>
      </c>
      <c r="I1260" s="2987" t="s">
        <v>3486</v>
      </c>
      <c r="J1260" s="2987" t="s">
        <v>3599</v>
      </c>
      <c r="K1260" s="2988">
        <v>96.17</v>
      </c>
    </row>
    <row r="1261" spans="2:11" ht="18" customHeight="1">
      <c r="B1261" s="2986">
        <v>1223</v>
      </c>
      <c r="C1261" s="2987" t="s">
        <v>3482</v>
      </c>
      <c r="D1261" s="2987" t="s">
        <v>3594</v>
      </c>
      <c r="E1261" s="2987" t="s">
        <v>4577</v>
      </c>
      <c r="F1261" s="2987">
        <v>2</v>
      </c>
      <c r="G1261" s="2987">
        <v>503</v>
      </c>
      <c r="H1261" s="2987" t="s">
        <v>4728</v>
      </c>
      <c r="I1261" s="2987" t="s">
        <v>3486</v>
      </c>
      <c r="J1261" s="2987" t="s">
        <v>3599</v>
      </c>
      <c r="K1261" s="2988">
        <v>96.17</v>
      </c>
    </row>
    <row r="1262" spans="2:11" ht="18" customHeight="1">
      <c r="B1262" s="2986">
        <v>1224</v>
      </c>
      <c r="C1262" s="2987" t="s">
        <v>3482</v>
      </c>
      <c r="D1262" s="2987" t="s">
        <v>3594</v>
      </c>
      <c r="E1262" s="2987" t="s">
        <v>4577</v>
      </c>
      <c r="F1262" s="2987">
        <v>2</v>
      </c>
      <c r="G1262" s="2987">
        <v>504</v>
      </c>
      <c r="H1262" s="2987" t="s">
        <v>4729</v>
      </c>
      <c r="I1262" s="2987" t="s">
        <v>3486</v>
      </c>
      <c r="J1262" s="2987" t="s">
        <v>3597</v>
      </c>
      <c r="K1262" s="2988">
        <v>128.26</v>
      </c>
    </row>
    <row r="1263" spans="2:11" ht="18" customHeight="1">
      <c r="B1263" s="2986">
        <v>1225</v>
      </c>
      <c r="C1263" s="2987" t="s">
        <v>3482</v>
      </c>
      <c r="D1263" s="2987" t="s">
        <v>3594</v>
      </c>
      <c r="E1263" s="2987" t="s">
        <v>4577</v>
      </c>
      <c r="F1263" s="2987">
        <v>2</v>
      </c>
      <c r="G1263" s="2987">
        <v>601</v>
      </c>
      <c r="H1263" s="2987" t="s">
        <v>4730</v>
      </c>
      <c r="I1263" s="2987" t="s">
        <v>3486</v>
      </c>
      <c r="J1263" s="2987" t="s">
        <v>3602</v>
      </c>
      <c r="K1263" s="2988">
        <v>111.01</v>
      </c>
    </row>
    <row r="1264" spans="2:11" ht="18" customHeight="1">
      <c r="B1264" s="2986">
        <v>1226</v>
      </c>
      <c r="C1264" s="2987" t="s">
        <v>3482</v>
      </c>
      <c r="D1264" s="2987" t="s">
        <v>3594</v>
      </c>
      <c r="E1264" s="2987" t="s">
        <v>4577</v>
      </c>
      <c r="F1264" s="2987">
        <v>2</v>
      </c>
      <c r="G1264" s="2987">
        <v>602</v>
      </c>
      <c r="H1264" s="2987" t="s">
        <v>4731</v>
      </c>
      <c r="I1264" s="2987" t="s">
        <v>3486</v>
      </c>
      <c r="J1264" s="2987" t="s">
        <v>3599</v>
      </c>
      <c r="K1264" s="2988">
        <v>96.17</v>
      </c>
    </row>
    <row r="1265" spans="2:11" ht="18" customHeight="1">
      <c r="B1265" s="2986">
        <v>1227</v>
      </c>
      <c r="C1265" s="2987" t="s">
        <v>3482</v>
      </c>
      <c r="D1265" s="2987" t="s">
        <v>3594</v>
      </c>
      <c r="E1265" s="2987" t="s">
        <v>4577</v>
      </c>
      <c r="F1265" s="2987">
        <v>2</v>
      </c>
      <c r="G1265" s="2987">
        <v>603</v>
      </c>
      <c r="H1265" s="2987" t="s">
        <v>4732</v>
      </c>
      <c r="I1265" s="2987" t="s">
        <v>3486</v>
      </c>
      <c r="J1265" s="2987" t="s">
        <v>3599</v>
      </c>
      <c r="K1265" s="2988">
        <v>96.17</v>
      </c>
    </row>
    <row r="1266" spans="2:11" ht="18" customHeight="1">
      <c r="B1266" s="2986">
        <v>1228</v>
      </c>
      <c r="C1266" s="2987" t="s">
        <v>3482</v>
      </c>
      <c r="D1266" s="2987" t="s">
        <v>3594</v>
      </c>
      <c r="E1266" s="2987" t="s">
        <v>4577</v>
      </c>
      <c r="F1266" s="2987">
        <v>2</v>
      </c>
      <c r="G1266" s="2987">
        <v>604</v>
      </c>
      <c r="H1266" s="2987" t="s">
        <v>4733</v>
      </c>
      <c r="I1266" s="2987" t="s">
        <v>3486</v>
      </c>
      <c r="J1266" s="2987" t="s">
        <v>3597</v>
      </c>
      <c r="K1266" s="2988">
        <v>128.26</v>
      </c>
    </row>
    <row r="1267" spans="2:11" ht="18" customHeight="1">
      <c r="B1267" s="2986">
        <v>1229</v>
      </c>
      <c r="C1267" s="2987" t="s">
        <v>3482</v>
      </c>
      <c r="D1267" s="2987" t="s">
        <v>3594</v>
      </c>
      <c r="E1267" s="2987" t="s">
        <v>4577</v>
      </c>
      <c r="F1267" s="2987">
        <v>2</v>
      </c>
      <c r="G1267" s="2987">
        <v>701</v>
      </c>
      <c r="H1267" s="2987" t="s">
        <v>4734</v>
      </c>
      <c r="I1267" s="2987" t="s">
        <v>3486</v>
      </c>
      <c r="J1267" s="2987" t="s">
        <v>3602</v>
      </c>
      <c r="K1267" s="2988">
        <v>111.01</v>
      </c>
    </row>
    <row r="1268" spans="2:11" ht="18" customHeight="1">
      <c r="B1268" s="2986">
        <v>1230</v>
      </c>
      <c r="C1268" s="2987" t="s">
        <v>3482</v>
      </c>
      <c r="D1268" s="2987" t="s">
        <v>3594</v>
      </c>
      <c r="E1268" s="2987" t="s">
        <v>4577</v>
      </c>
      <c r="F1268" s="2987">
        <v>2</v>
      </c>
      <c r="G1268" s="2987">
        <v>702</v>
      </c>
      <c r="H1268" s="2987" t="s">
        <v>4735</v>
      </c>
      <c r="I1268" s="2987" t="s">
        <v>3486</v>
      </c>
      <c r="J1268" s="2987" t="s">
        <v>3599</v>
      </c>
      <c r="K1268" s="2988">
        <v>96.17</v>
      </c>
    </row>
    <row r="1269" spans="2:11" ht="18" customHeight="1">
      <c r="B1269" s="2986">
        <v>1231</v>
      </c>
      <c r="C1269" s="2987" t="s">
        <v>3482</v>
      </c>
      <c r="D1269" s="2987" t="s">
        <v>3594</v>
      </c>
      <c r="E1269" s="2987" t="s">
        <v>4577</v>
      </c>
      <c r="F1269" s="2987">
        <v>2</v>
      </c>
      <c r="G1269" s="2987">
        <v>703</v>
      </c>
      <c r="H1269" s="2987" t="s">
        <v>4736</v>
      </c>
      <c r="I1269" s="2987" t="s">
        <v>3486</v>
      </c>
      <c r="J1269" s="2987" t="s">
        <v>3599</v>
      </c>
      <c r="K1269" s="2988">
        <v>96.17</v>
      </c>
    </row>
    <row r="1270" spans="2:11" ht="18" customHeight="1">
      <c r="B1270" s="2986">
        <v>1232</v>
      </c>
      <c r="C1270" s="2987" t="s">
        <v>3482</v>
      </c>
      <c r="D1270" s="2987" t="s">
        <v>3594</v>
      </c>
      <c r="E1270" s="2987" t="s">
        <v>4577</v>
      </c>
      <c r="F1270" s="2987">
        <v>2</v>
      </c>
      <c r="G1270" s="2987">
        <v>704</v>
      </c>
      <c r="H1270" s="2987" t="s">
        <v>4737</v>
      </c>
      <c r="I1270" s="2987" t="s">
        <v>3486</v>
      </c>
      <c r="J1270" s="2987" t="s">
        <v>3597</v>
      </c>
      <c r="K1270" s="2988">
        <v>128.26</v>
      </c>
    </row>
    <row r="1271" spans="2:11" ht="18" customHeight="1">
      <c r="B1271" s="2986">
        <v>1233</v>
      </c>
      <c r="C1271" s="2987" t="s">
        <v>3482</v>
      </c>
      <c r="D1271" s="2987" t="s">
        <v>3594</v>
      </c>
      <c r="E1271" s="2987" t="s">
        <v>4577</v>
      </c>
      <c r="F1271" s="2987">
        <v>2</v>
      </c>
      <c r="G1271" s="2987">
        <v>801</v>
      </c>
      <c r="H1271" s="2987" t="s">
        <v>4738</v>
      </c>
      <c r="I1271" s="2987" t="s">
        <v>3486</v>
      </c>
      <c r="J1271" s="2987" t="s">
        <v>3602</v>
      </c>
      <c r="K1271" s="2988">
        <v>111.01</v>
      </c>
    </row>
    <row r="1272" spans="2:11" ht="18" customHeight="1">
      <c r="B1272" s="2986">
        <v>1234</v>
      </c>
      <c r="C1272" s="2987" t="s">
        <v>3482</v>
      </c>
      <c r="D1272" s="2987" t="s">
        <v>3594</v>
      </c>
      <c r="E1272" s="2987" t="s">
        <v>4577</v>
      </c>
      <c r="F1272" s="2987">
        <v>2</v>
      </c>
      <c r="G1272" s="2987">
        <v>802</v>
      </c>
      <c r="H1272" s="2987" t="s">
        <v>4739</v>
      </c>
      <c r="I1272" s="2987" t="s">
        <v>3486</v>
      </c>
      <c r="J1272" s="2987" t="s">
        <v>3599</v>
      </c>
      <c r="K1272" s="2988">
        <v>96.17</v>
      </c>
    </row>
    <row r="1273" spans="2:11" ht="18" customHeight="1">
      <c r="B1273" s="2986">
        <v>1235</v>
      </c>
      <c r="C1273" s="2987" t="s">
        <v>3482</v>
      </c>
      <c r="D1273" s="2987" t="s">
        <v>3594</v>
      </c>
      <c r="E1273" s="2987" t="s">
        <v>4577</v>
      </c>
      <c r="F1273" s="2987">
        <v>2</v>
      </c>
      <c r="G1273" s="2987">
        <v>803</v>
      </c>
      <c r="H1273" s="2987" t="s">
        <v>4740</v>
      </c>
      <c r="I1273" s="2987" t="s">
        <v>3486</v>
      </c>
      <c r="J1273" s="2987" t="s">
        <v>3599</v>
      </c>
      <c r="K1273" s="2988">
        <v>96.17</v>
      </c>
    </row>
    <row r="1274" spans="2:11" ht="18" customHeight="1">
      <c r="B1274" s="2986">
        <v>1236</v>
      </c>
      <c r="C1274" s="2987" t="s">
        <v>3482</v>
      </c>
      <c r="D1274" s="2987" t="s">
        <v>3594</v>
      </c>
      <c r="E1274" s="2987" t="s">
        <v>4577</v>
      </c>
      <c r="F1274" s="2987">
        <v>2</v>
      </c>
      <c r="G1274" s="2987">
        <v>804</v>
      </c>
      <c r="H1274" s="2987" t="s">
        <v>4741</v>
      </c>
      <c r="I1274" s="2987" t="s">
        <v>3486</v>
      </c>
      <c r="J1274" s="2987" t="s">
        <v>3597</v>
      </c>
      <c r="K1274" s="2988">
        <v>128.26</v>
      </c>
    </row>
    <row r="1275" spans="2:11" ht="18" customHeight="1">
      <c r="B1275" s="2986">
        <v>1237</v>
      </c>
      <c r="C1275" s="2987" t="s">
        <v>3482</v>
      </c>
      <c r="D1275" s="2987" t="s">
        <v>3594</v>
      </c>
      <c r="E1275" s="2987" t="s">
        <v>4577</v>
      </c>
      <c r="F1275" s="2987">
        <v>2</v>
      </c>
      <c r="G1275" s="2987">
        <v>901</v>
      </c>
      <c r="H1275" s="2987" t="s">
        <v>4742</v>
      </c>
      <c r="I1275" s="2987" t="s">
        <v>3486</v>
      </c>
      <c r="J1275" s="2987" t="s">
        <v>3602</v>
      </c>
      <c r="K1275" s="2988">
        <v>111.01</v>
      </c>
    </row>
    <row r="1276" spans="2:11" ht="18" customHeight="1">
      <c r="B1276" s="2986">
        <v>1238</v>
      </c>
      <c r="C1276" s="2987" t="s">
        <v>3482</v>
      </c>
      <c r="D1276" s="2987" t="s">
        <v>3594</v>
      </c>
      <c r="E1276" s="2987" t="s">
        <v>4577</v>
      </c>
      <c r="F1276" s="2987">
        <v>2</v>
      </c>
      <c r="G1276" s="2987">
        <v>902</v>
      </c>
      <c r="H1276" s="2987" t="s">
        <v>4743</v>
      </c>
      <c r="I1276" s="2987" t="s">
        <v>3486</v>
      </c>
      <c r="J1276" s="2987" t="s">
        <v>3599</v>
      </c>
      <c r="K1276" s="2988">
        <v>96.17</v>
      </c>
    </row>
    <row r="1277" spans="2:11" ht="18" customHeight="1">
      <c r="B1277" s="2986">
        <v>1239</v>
      </c>
      <c r="C1277" s="2987" t="s">
        <v>3482</v>
      </c>
      <c r="D1277" s="2987" t="s">
        <v>3594</v>
      </c>
      <c r="E1277" s="2987" t="s">
        <v>4577</v>
      </c>
      <c r="F1277" s="2987">
        <v>2</v>
      </c>
      <c r="G1277" s="2987">
        <v>903</v>
      </c>
      <c r="H1277" s="2987" t="s">
        <v>4744</v>
      </c>
      <c r="I1277" s="2987" t="s">
        <v>3486</v>
      </c>
      <c r="J1277" s="2987" t="s">
        <v>3599</v>
      </c>
      <c r="K1277" s="2988">
        <v>96.17</v>
      </c>
    </row>
    <row r="1278" spans="2:11" ht="18" customHeight="1">
      <c r="B1278" s="2986">
        <v>1240</v>
      </c>
      <c r="C1278" s="2987" t="s">
        <v>3482</v>
      </c>
      <c r="D1278" s="2987" t="s">
        <v>3594</v>
      </c>
      <c r="E1278" s="2987" t="s">
        <v>4577</v>
      </c>
      <c r="F1278" s="2987">
        <v>2</v>
      </c>
      <c r="G1278" s="2987">
        <v>904</v>
      </c>
      <c r="H1278" s="2987" t="s">
        <v>4745</v>
      </c>
      <c r="I1278" s="2987" t="s">
        <v>3486</v>
      </c>
      <c r="J1278" s="2987" t="s">
        <v>3597</v>
      </c>
      <c r="K1278" s="2988">
        <v>128.26</v>
      </c>
    </row>
    <row r="1279" spans="2:11" s="3021" customFormat="1" ht="18" customHeight="1">
      <c r="B1279" s="3018"/>
      <c r="C1279" s="3019"/>
      <c r="D1279" s="3019"/>
      <c r="E1279" s="3019"/>
      <c r="F1279" s="3019"/>
      <c r="G1279" s="3019"/>
      <c r="H1279" s="3019"/>
      <c r="I1279" s="3019"/>
      <c r="J1279" s="3019"/>
      <c r="K1279" s="3020">
        <f>SUM(K1111:K1278)</f>
        <v>18127.619999999992</v>
      </c>
    </row>
    <row r="1280" spans="2:11" ht="18" customHeight="1">
      <c r="B1280" s="2986">
        <v>1241</v>
      </c>
      <c r="C1280" s="2987" t="s">
        <v>3482</v>
      </c>
      <c r="D1280" s="2987" t="s">
        <v>3594</v>
      </c>
      <c r="E1280" s="2987" t="s">
        <v>4746</v>
      </c>
      <c r="F1280" s="2987">
        <v>1</v>
      </c>
      <c r="G1280" s="2987">
        <v>1001</v>
      </c>
      <c r="H1280" s="2987" t="s">
        <v>4747</v>
      </c>
      <c r="I1280" s="2987" t="s">
        <v>3486</v>
      </c>
      <c r="J1280" s="2987" t="s">
        <v>3597</v>
      </c>
      <c r="K1280" s="2988">
        <v>128.26</v>
      </c>
    </row>
    <row r="1281" spans="2:11" ht="18" customHeight="1">
      <c r="B1281" s="2986">
        <v>1242</v>
      </c>
      <c r="C1281" s="2987" t="s">
        <v>3482</v>
      </c>
      <c r="D1281" s="2987" t="s">
        <v>3594</v>
      </c>
      <c r="E1281" s="2987" t="s">
        <v>4746</v>
      </c>
      <c r="F1281" s="2987">
        <v>1</v>
      </c>
      <c r="G1281" s="2987">
        <v>1002</v>
      </c>
      <c r="H1281" s="2987" t="s">
        <v>4748</v>
      </c>
      <c r="I1281" s="2987" t="s">
        <v>3486</v>
      </c>
      <c r="J1281" s="2987" t="s">
        <v>3599</v>
      </c>
      <c r="K1281" s="2988">
        <v>96.17</v>
      </c>
    </row>
    <row r="1282" spans="2:11" ht="18" customHeight="1">
      <c r="B1282" s="2986">
        <v>1243</v>
      </c>
      <c r="C1282" s="2987" t="s">
        <v>3482</v>
      </c>
      <c r="D1282" s="2987" t="s">
        <v>3594</v>
      </c>
      <c r="E1282" s="2987" t="s">
        <v>4746</v>
      </c>
      <c r="F1282" s="2987">
        <v>1</v>
      </c>
      <c r="G1282" s="2987">
        <v>1003</v>
      </c>
      <c r="H1282" s="2987" t="s">
        <v>4749</v>
      </c>
      <c r="I1282" s="2987" t="s">
        <v>3486</v>
      </c>
      <c r="J1282" s="2987" t="s">
        <v>3599</v>
      </c>
      <c r="K1282" s="2988">
        <v>96.17</v>
      </c>
    </row>
    <row r="1283" spans="2:11" ht="18" customHeight="1">
      <c r="B1283" s="2986">
        <v>1244</v>
      </c>
      <c r="C1283" s="2987" t="s">
        <v>3482</v>
      </c>
      <c r="D1283" s="2987" t="s">
        <v>3594</v>
      </c>
      <c r="E1283" s="2987" t="s">
        <v>4746</v>
      </c>
      <c r="F1283" s="2987">
        <v>1</v>
      </c>
      <c r="G1283" s="2987">
        <v>1004</v>
      </c>
      <c r="H1283" s="2987" t="s">
        <v>4750</v>
      </c>
      <c r="I1283" s="2987" t="s">
        <v>3486</v>
      </c>
      <c r="J1283" s="2987" t="s">
        <v>3602</v>
      </c>
      <c r="K1283" s="2988">
        <v>111.01</v>
      </c>
    </row>
    <row r="1284" spans="2:11" ht="18" customHeight="1">
      <c r="B1284" s="2986">
        <v>1245</v>
      </c>
      <c r="C1284" s="2987" t="s">
        <v>3482</v>
      </c>
      <c r="D1284" s="2987" t="s">
        <v>3594</v>
      </c>
      <c r="E1284" s="2987" t="s">
        <v>4746</v>
      </c>
      <c r="F1284" s="2987">
        <v>1</v>
      </c>
      <c r="G1284" s="2987">
        <v>101</v>
      </c>
      <c r="H1284" s="2987" t="s">
        <v>4751</v>
      </c>
      <c r="I1284" s="2987" t="s">
        <v>3486</v>
      </c>
      <c r="J1284" s="2987" t="s">
        <v>3597</v>
      </c>
      <c r="K1284" s="2988">
        <v>128.26</v>
      </c>
    </row>
    <row r="1285" spans="2:11" ht="18" customHeight="1">
      <c r="B1285" s="2986">
        <v>1246</v>
      </c>
      <c r="C1285" s="2987" t="s">
        <v>3482</v>
      </c>
      <c r="D1285" s="2987" t="s">
        <v>3594</v>
      </c>
      <c r="E1285" s="2987" t="s">
        <v>4746</v>
      </c>
      <c r="F1285" s="2987">
        <v>1</v>
      </c>
      <c r="G1285" s="2987">
        <v>102</v>
      </c>
      <c r="H1285" s="2987" t="s">
        <v>4752</v>
      </c>
      <c r="I1285" s="2987" t="s">
        <v>3486</v>
      </c>
      <c r="J1285" s="2987" t="s">
        <v>3599</v>
      </c>
      <c r="K1285" s="2988">
        <v>96.17</v>
      </c>
    </row>
    <row r="1286" spans="2:11" ht="18" customHeight="1">
      <c r="B1286" s="2986">
        <v>1247</v>
      </c>
      <c r="C1286" s="2987" t="s">
        <v>3482</v>
      </c>
      <c r="D1286" s="2987" t="s">
        <v>3594</v>
      </c>
      <c r="E1286" s="2987" t="s">
        <v>4746</v>
      </c>
      <c r="F1286" s="2987">
        <v>1</v>
      </c>
      <c r="G1286" s="2987">
        <v>103</v>
      </c>
      <c r="H1286" s="2987" t="s">
        <v>4753</v>
      </c>
      <c r="I1286" s="2987" t="s">
        <v>3486</v>
      </c>
      <c r="J1286" s="2987" t="s">
        <v>3599</v>
      </c>
      <c r="K1286" s="2988">
        <v>96.17</v>
      </c>
    </row>
    <row r="1287" spans="2:11" ht="18" customHeight="1">
      <c r="B1287" s="2986">
        <v>1248</v>
      </c>
      <c r="C1287" s="2987" t="s">
        <v>3482</v>
      </c>
      <c r="D1287" s="2987" t="s">
        <v>3594</v>
      </c>
      <c r="E1287" s="2987" t="s">
        <v>4746</v>
      </c>
      <c r="F1287" s="2987">
        <v>1</v>
      </c>
      <c r="G1287" s="2987">
        <v>104</v>
      </c>
      <c r="H1287" s="2987" t="s">
        <v>4754</v>
      </c>
      <c r="I1287" s="2987" t="s">
        <v>3486</v>
      </c>
      <c r="J1287" s="2987" t="s">
        <v>3602</v>
      </c>
      <c r="K1287" s="2988">
        <v>111.01</v>
      </c>
    </row>
    <row r="1288" spans="2:11" ht="18" customHeight="1">
      <c r="B1288" s="2986">
        <v>1249</v>
      </c>
      <c r="C1288" s="2987" t="s">
        <v>3482</v>
      </c>
      <c r="D1288" s="2987" t="s">
        <v>3594</v>
      </c>
      <c r="E1288" s="2987" t="s">
        <v>4746</v>
      </c>
      <c r="F1288" s="2987">
        <v>1</v>
      </c>
      <c r="G1288" s="2987">
        <v>1101</v>
      </c>
      <c r="H1288" s="2987" t="s">
        <v>4755</v>
      </c>
      <c r="I1288" s="2987" t="s">
        <v>3486</v>
      </c>
      <c r="J1288" s="2987" t="s">
        <v>3597</v>
      </c>
      <c r="K1288" s="2988">
        <v>128.26</v>
      </c>
    </row>
    <row r="1289" spans="2:11" ht="18" customHeight="1">
      <c r="B1289" s="2986">
        <v>1250</v>
      </c>
      <c r="C1289" s="2987" t="s">
        <v>3482</v>
      </c>
      <c r="D1289" s="2987" t="s">
        <v>3594</v>
      </c>
      <c r="E1289" s="2987" t="s">
        <v>4746</v>
      </c>
      <c r="F1289" s="2987">
        <v>1</v>
      </c>
      <c r="G1289" s="2987">
        <v>1102</v>
      </c>
      <c r="H1289" s="2987" t="s">
        <v>4756</v>
      </c>
      <c r="I1289" s="2987" t="s">
        <v>3486</v>
      </c>
      <c r="J1289" s="2987" t="s">
        <v>3599</v>
      </c>
      <c r="K1289" s="2988">
        <v>96.17</v>
      </c>
    </row>
    <row r="1290" spans="2:11" ht="18" customHeight="1">
      <c r="B1290" s="2986">
        <v>1251</v>
      </c>
      <c r="C1290" s="2987" t="s">
        <v>3482</v>
      </c>
      <c r="D1290" s="2987" t="s">
        <v>3594</v>
      </c>
      <c r="E1290" s="2987" t="s">
        <v>4746</v>
      </c>
      <c r="F1290" s="2987">
        <v>1</v>
      </c>
      <c r="G1290" s="2987">
        <v>1103</v>
      </c>
      <c r="H1290" s="2987" t="s">
        <v>4757</v>
      </c>
      <c r="I1290" s="2987" t="s">
        <v>3486</v>
      </c>
      <c r="J1290" s="2987" t="s">
        <v>3599</v>
      </c>
      <c r="K1290" s="2988">
        <v>96.17</v>
      </c>
    </row>
    <row r="1291" spans="2:11" ht="18" customHeight="1">
      <c r="B1291" s="2986">
        <v>1252</v>
      </c>
      <c r="C1291" s="2987" t="s">
        <v>3482</v>
      </c>
      <c r="D1291" s="2987" t="s">
        <v>3594</v>
      </c>
      <c r="E1291" s="2987" t="s">
        <v>4746</v>
      </c>
      <c r="F1291" s="2987">
        <v>1</v>
      </c>
      <c r="G1291" s="2987">
        <v>1104</v>
      </c>
      <c r="H1291" s="2987" t="s">
        <v>4758</v>
      </c>
      <c r="I1291" s="2987" t="s">
        <v>3486</v>
      </c>
      <c r="J1291" s="2987" t="s">
        <v>3602</v>
      </c>
      <c r="K1291" s="2988">
        <v>111.01</v>
      </c>
    </row>
    <row r="1292" spans="2:11" ht="18" customHeight="1">
      <c r="B1292" s="2986">
        <v>1253</v>
      </c>
      <c r="C1292" s="2987" t="s">
        <v>3482</v>
      </c>
      <c r="D1292" s="2987" t="s">
        <v>3594</v>
      </c>
      <c r="E1292" s="2987" t="s">
        <v>4746</v>
      </c>
      <c r="F1292" s="2987">
        <v>1</v>
      </c>
      <c r="G1292" s="2987">
        <v>1201</v>
      </c>
      <c r="H1292" s="2987" t="s">
        <v>4759</v>
      </c>
      <c r="I1292" s="2987" t="s">
        <v>3486</v>
      </c>
      <c r="J1292" s="2987" t="s">
        <v>3597</v>
      </c>
      <c r="K1292" s="2988">
        <v>128.26</v>
      </c>
    </row>
    <row r="1293" spans="2:11" ht="18" customHeight="1">
      <c r="B1293" s="2986">
        <v>1254</v>
      </c>
      <c r="C1293" s="2987" t="s">
        <v>3482</v>
      </c>
      <c r="D1293" s="2987" t="s">
        <v>3594</v>
      </c>
      <c r="E1293" s="2987" t="s">
        <v>4746</v>
      </c>
      <c r="F1293" s="2987">
        <v>1</v>
      </c>
      <c r="G1293" s="2987">
        <v>1202</v>
      </c>
      <c r="H1293" s="2987" t="s">
        <v>4760</v>
      </c>
      <c r="I1293" s="2987" t="s">
        <v>3486</v>
      </c>
      <c r="J1293" s="2987" t="s">
        <v>3599</v>
      </c>
      <c r="K1293" s="2988">
        <v>96.17</v>
      </c>
    </row>
    <row r="1294" spans="2:11" ht="18" customHeight="1">
      <c r="B1294" s="2986">
        <v>1255</v>
      </c>
      <c r="C1294" s="2987" t="s">
        <v>3482</v>
      </c>
      <c r="D1294" s="2987" t="s">
        <v>3594</v>
      </c>
      <c r="E1294" s="2987" t="s">
        <v>4746</v>
      </c>
      <c r="F1294" s="2987">
        <v>1</v>
      </c>
      <c r="G1294" s="2987">
        <v>1203</v>
      </c>
      <c r="H1294" s="2987" t="s">
        <v>4761</v>
      </c>
      <c r="I1294" s="2987" t="s">
        <v>3486</v>
      </c>
      <c r="J1294" s="2987" t="s">
        <v>3599</v>
      </c>
      <c r="K1294" s="2988">
        <v>96.17</v>
      </c>
    </row>
    <row r="1295" spans="2:11" ht="18" customHeight="1">
      <c r="B1295" s="2986">
        <v>1256</v>
      </c>
      <c r="C1295" s="2987" t="s">
        <v>3482</v>
      </c>
      <c r="D1295" s="2987" t="s">
        <v>3594</v>
      </c>
      <c r="E1295" s="2987" t="s">
        <v>4746</v>
      </c>
      <c r="F1295" s="2987">
        <v>1</v>
      </c>
      <c r="G1295" s="2987">
        <v>1204</v>
      </c>
      <c r="H1295" s="2987" t="s">
        <v>4762</v>
      </c>
      <c r="I1295" s="2987" t="s">
        <v>3486</v>
      </c>
      <c r="J1295" s="2987" t="s">
        <v>3602</v>
      </c>
      <c r="K1295" s="2988">
        <v>111.01</v>
      </c>
    </row>
    <row r="1296" spans="2:11" ht="18" customHeight="1">
      <c r="B1296" s="2986">
        <v>1257</v>
      </c>
      <c r="C1296" s="2987" t="s">
        <v>3482</v>
      </c>
      <c r="D1296" s="2987" t="s">
        <v>3594</v>
      </c>
      <c r="E1296" s="2987" t="s">
        <v>4746</v>
      </c>
      <c r="F1296" s="2987">
        <v>1</v>
      </c>
      <c r="G1296" s="2987">
        <v>1301</v>
      </c>
      <c r="H1296" s="2987" t="s">
        <v>4763</v>
      </c>
      <c r="I1296" s="2987" t="s">
        <v>3486</v>
      </c>
      <c r="J1296" s="2987" t="s">
        <v>3597</v>
      </c>
      <c r="K1296" s="2988">
        <v>128.26</v>
      </c>
    </row>
    <row r="1297" spans="2:11" ht="18" customHeight="1">
      <c r="B1297" s="2986">
        <v>1258</v>
      </c>
      <c r="C1297" s="2987" t="s">
        <v>3482</v>
      </c>
      <c r="D1297" s="2987" t="s">
        <v>3594</v>
      </c>
      <c r="E1297" s="2987" t="s">
        <v>4746</v>
      </c>
      <c r="F1297" s="2987">
        <v>1</v>
      </c>
      <c r="G1297" s="2987">
        <v>1302</v>
      </c>
      <c r="H1297" s="2987" t="s">
        <v>4764</v>
      </c>
      <c r="I1297" s="2987" t="s">
        <v>3486</v>
      </c>
      <c r="J1297" s="2987" t="s">
        <v>3599</v>
      </c>
      <c r="K1297" s="2988">
        <v>96.17</v>
      </c>
    </row>
    <row r="1298" spans="2:11" ht="18" customHeight="1">
      <c r="B1298" s="2986">
        <v>1259</v>
      </c>
      <c r="C1298" s="2987" t="s">
        <v>3482</v>
      </c>
      <c r="D1298" s="2987" t="s">
        <v>3594</v>
      </c>
      <c r="E1298" s="2987" t="s">
        <v>4746</v>
      </c>
      <c r="F1298" s="2987">
        <v>1</v>
      </c>
      <c r="G1298" s="2987">
        <v>1303</v>
      </c>
      <c r="H1298" s="2987" t="s">
        <v>4765</v>
      </c>
      <c r="I1298" s="2987" t="s">
        <v>3486</v>
      </c>
      <c r="J1298" s="2987" t="s">
        <v>3599</v>
      </c>
      <c r="K1298" s="2988">
        <v>96.17</v>
      </c>
    </row>
    <row r="1299" spans="2:11" ht="18" customHeight="1">
      <c r="B1299" s="2986">
        <v>1260</v>
      </c>
      <c r="C1299" s="2987" t="s">
        <v>3482</v>
      </c>
      <c r="D1299" s="2987" t="s">
        <v>3594</v>
      </c>
      <c r="E1299" s="2987" t="s">
        <v>4746</v>
      </c>
      <c r="F1299" s="2987">
        <v>1</v>
      </c>
      <c r="G1299" s="2987">
        <v>1304</v>
      </c>
      <c r="H1299" s="2987" t="s">
        <v>4766</v>
      </c>
      <c r="I1299" s="2987" t="s">
        <v>3486</v>
      </c>
      <c r="J1299" s="2987" t="s">
        <v>3602</v>
      </c>
      <c r="K1299" s="2988">
        <v>111.01</v>
      </c>
    </row>
    <row r="1300" spans="2:11" ht="18" customHeight="1">
      <c r="B1300" s="2986">
        <v>1261</v>
      </c>
      <c r="C1300" s="2987" t="s">
        <v>3482</v>
      </c>
      <c r="D1300" s="2987" t="s">
        <v>3594</v>
      </c>
      <c r="E1300" s="2987" t="s">
        <v>4746</v>
      </c>
      <c r="F1300" s="2987">
        <v>1</v>
      </c>
      <c r="G1300" s="2987">
        <v>1401</v>
      </c>
      <c r="H1300" s="2987" t="s">
        <v>4767</v>
      </c>
      <c r="I1300" s="2987" t="s">
        <v>3486</v>
      </c>
      <c r="J1300" s="2987" t="s">
        <v>3597</v>
      </c>
      <c r="K1300" s="2988">
        <v>128.26</v>
      </c>
    </row>
    <row r="1301" spans="2:11" ht="18" customHeight="1">
      <c r="B1301" s="2986">
        <v>1262</v>
      </c>
      <c r="C1301" s="2987" t="s">
        <v>3482</v>
      </c>
      <c r="D1301" s="2987" t="s">
        <v>3594</v>
      </c>
      <c r="E1301" s="2987" t="s">
        <v>4746</v>
      </c>
      <c r="F1301" s="2987">
        <v>1</v>
      </c>
      <c r="G1301" s="2987">
        <v>1402</v>
      </c>
      <c r="H1301" s="2987" t="s">
        <v>4768</v>
      </c>
      <c r="I1301" s="2987" t="s">
        <v>3486</v>
      </c>
      <c r="J1301" s="2987" t="s">
        <v>3599</v>
      </c>
      <c r="K1301" s="2988">
        <v>96.17</v>
      </c>
    </row>
    <row r="1302" spans="2:11" ht="18" customHeight="1">
      <c r="B1302" s="2986">
        <v>1263</v>
      </c>
      <c r="C1302" s="2987" t="s">
        <v>3482</v>
      </c>
      <c r="D1302" s="2987" t="s">
        <v>3594</v>
      </c>
      <c r="E1302" s="2987" t="s">
        <v>4746</v>
      </c>
      <c r="F1302" s="2987">
        <v>1</v>
      </c>
      <c r="G1302" s="2987">
        <v>1403</v>
      </c>
      <c r="H1302" s="2987" t="s">
        <v>4769</v>
      </c>
      <c r="I1302" s="2987" t="s">
        <v>3486</v>
      </c>
      <c r="J1302" s="2987" t="s">
        <v>3599</v>
      </c>
      <c r="K1302" s="2988">
        <v>96.17</v>
      </c>
    </row>
    <row r="1303" spans="2:11" ht="18" customHeight="1">
      <c r="B1303" s="2986">
        <v>1264</v>
      </c>
      <c r="C1303" s="2987" t="s">
        <v>3482</v>
      </c>
      <c r="D1303" s="2987" t="s">
        <v>3594</v>
      </c>
      <c r="E1303" s="2987" t="s">
        <v>4746</v>
      </c>
      <c r="F1303" s="2987">
        <v>1</v>
      </c>
      <c r="G1303" s="2987">
        <v>1404</v>
      </c>
      <c r="H1303" s="2987" t="s">
        <v>4770</v>
      </c>
      <c r="I1303" s="2987" t="s">
        <v>3486</v>
      </c>
      <c r="J1303" s="2987" t="s">
        <v>3602</v>
      </c>
      <c r="K1303" s="2988">
        <v>111.01</v>
      </c>
    </row>
    <row r="1304" spans="2:11" ht="18" customHeight="1">
      <c r="B1304" s="2986">
        <v>1265</v>
      </c>
      <c r="C1304" s="2987" t="s">
        <v>3482</v>
      </c>
      <c r="D1304" s="2987" t="s">
        <v>3594</v>
      </c>
      <c r="E1304" s="2987" t="s">
        <v>4746</v>
      </c>
      <c r="F1304" s="2987">
        <v>1</v>
      </c>
      <c r="G1304" s="2987">
        <v>1501</v>
      </c>
      <c r="H1304" s="2987" t="s">
        <v>4771</v>
      </c>
      <c r="I1304" s="2987" t="s">
        <v>3486</v>
      </c>
      <c r="J1304" s="2987" t="s">
        <v>3597</v>
      </c>
      <c r="K1304" s="2988">
        <v>128.26</v>
      </c>
    </row>
    <row r="1305" spans="2:11" ht="18" customHeight="1">
      <c r="B1305" s="2986">
        <v>1266</v>
      </c>
      <c r="C1305" s="2987" t="s">
        <v>3482</v>
      </c>
      <c r="D1305" s="2987" t="s">
        <v>3594</v>
      </c>
      <c r="E1305" s="2987" t="s">
        <v>4746</v>
      </c>
      <c r="F1305" s="2987">
        <v>1</v>
      </c>
      <c r="G1305" s="2987">
        <v>1502</v>
      </c>
      <c r="H1305" s="2987" t="s">
        <v>4772</v>
      </c>
      <c r="I1305" s="2987" t="s">
        <v>3486</v>
      </c>
      <c r="J1305" s="2987" t="s">
        <v>3599</v>
      </c>
      <c r="K1305" s="2988">
        <v>96.17</v>
      </c>
    </row>
    <row r="1306" spans="2:11" ht="18" customHeight="1">
      <c r="B1306" s="2986">
        <v>1267</v>
      </c>
      <c r="C1306" s="2987" t="s">
        <v>3482</v>
      </c>
      <c r="D1306" s="2987" t="s">
        <v>3594</v>
      </c>
      <c r="E1306" s="2987" t="s">
        <v>4746</v>
      </c>
      <c r="F1306" s="2987">
        <v>1</v>
      </c>
      <c r="G1306" s="2987">
        <v>1503</v>
      </c>
      <c r="H1306" s="2987" t="s">
        <v>4773</v>
      </c>
      <c r="I1306" s="2987" t="s">
        <v>3486</v>
      </c>
      <c r="J1306" s="2987" t="s">
        <v>3599</v>
      </c>
      <c r="K1306" s="2988">
        <v>96.17</v>
      </c>
    </row>
    <row r="1307" spans="2:11" ht="18" customHeight="1">
      <c r="B1307" s="2986">
        <v>1268</v>
      </c>
      <c r="C1307" s="2987" t="s">
        <v>3482</v>
      </c>
      <c r="D1307" s="2987" t="s">
        <v>3594</v>
      </c>
      <c r="E1307" s="2987" t="s">
        <v>4746</v>
      </c>
      <c r="F1307" s="2987">
        <v>1</v>
      </c>
      <c r="G1307" s="2987">
        <v>1504</v>
      </c>
      <c r="H1307" s="2987" t="s">
        <v>4774</v>
      </c>
      <c r="I1307" s="2987" t="s">
        <v>3486</v>
      </c>
      <c r="J1307" s="2987" t="s">
        <v>3602</v>
      </c>
      <c r="K1307" s="2988">
        <v>111.01</v>
      </c>
    </row>
    <row r="1308" spans="2:11" ht="18" customHeight="1">
      <c r="B1308" s="2986">
        <v>1269</v>
      </c>
      <c r="C1308" s="2987" t="s">
        <v>3482</v>
      </c>
      <c r="D1308" s="2987" t="s">
        <v>3594</v>
      </c>
      <c r="E1308" s="2987" t="s">
        <v>4746</v>
      </c>
      <c r="F1308" s="2987">
        <v>1</v>
      </c>
      <c r="G1308" s="2987">
        <v>1601</v>
      </c>
      <c r="H1308" s="2987" t="s">
        <v>4775</v>
      </c>
      <c r="I1308" s="2987" t="s">
        <v>3486</v>
      </c>
      <c r="J1308" s="2987" t="s">
        <v>3597</v>
      </c>
      <c r="K1308" s="2988">
        <v>128.26</v>
      </c>
    </row>
    <row r="1309" spans="2:11" ht="18" customHeight="1">
      <c r="B1309" s="2986">
        <v>1270</v>
      </c>
      <c r="C1309" s="2987" t="s">
        <v>3482</v>
      </c>
      <c r="D1309" s="2987" t="s">
        <v>3594</v>
      </c>
      <c r="E1309" s="2987" t="s">
        <v>4746</v>
      </c>
      <c r="F1309" s="2987">
        <v>1</v>
      </c>
      <c r="G1309" s="2987">
        <v>1602</v>
      </c>
      <c r="H1309" s="2987" t="s">
        <v>4776</v>
      </c>
      <c r="I1309" s="2987" t="s">
        <v>3486</v>
      </c>
      <c r="J1309" s="2987" t="s">
        <v>3599</v>
      </c>
      <c r="K1309" s="2988">
        <v>96.17</v>
      </c>
    </row>
    <row r="1310" spans="2:11" ht="18" customHeight="1">
      <c r="B1310" s="2986">
        <v>1271</v>
      </c>
      <c r="C1310" s="2987" t="s">
        <v>3482</v>
      </c>
      <c r="D1310" s="2987" t="s">
        <v>3594</v>
      </c>
      <c r="E1310" s="2987" t="s">
        <v>4746</v>
      </c>
      <c r="F1310" s="2987">
        <v>1</v>
      </c>
      <c r="G1310" s="2987">
        <v>1603</v>
      </c>
      <c r="H1310" s="2987" t="s">
        <v>4777</v>
      </c>
      <c r="I1310" s="2987" t="s">
        <v>3486</v>
      </c>
      <c r="J1310" s="2987" t="s">
        <v>3599</v>
      </c>
      <c r="K1310" s="2988">
        <v>96.17</v>
      </c>
    </row>
    <row r="1311" spans="2:11" ht="18" customHeight="1">
      <c r="B1311" s="2986">
        <v>1272</v>
      </c>
      <c r="C1311" s="2987" t="s">
        <v>3482</v>
      </c>
      <c r="D1311" s="2987" t="s">
        <v>3594</v>
      </c>
      <c r="E1311" s="2987" t="s">
        <v>4746</v>
      </c>
      <c r="F1311" s="2987">
        <v>1</v>
      </c>
      <c r="G1311" s="2987">
        <v>1604</v>
      </c>
      <c r="H1311" s="2987" t="s">
        <v>4778</v>
      </c>
      <c r="I1311" s="2987" t="s">
        <v>3486</v>
      </c>
      <c r="J1311" s="2987" t="s">
        <v>3602</v>
      </c>
      <c r="K1311" s="2988">
        <v>111.01</v>
      </c>
    </row>
    <row r="1312" spans="2:11" ht="18" customHeight="1">
      <c r="B1312" s="2986">
        <v>1273</v>
      </c>
      <c r="C1312" s="2987" t="s">
        <v>3482</v>
      </c>
      <c r="D1312" s="2987" t="s">
        <v>3594</v>
      </c>
      <c r="E1312" s="2987" t="s">
        <v>4746</v>
      </c>
      <c r="F1312" s="2987">
        <v>1</v>
      </c>
      <c r="G1312" s="2987">
        <v>1701</v>
      </c>
      <c r="H1312" s="2987" t="s">
        <v>4779</v>
      </c>
      <c r="I1312" s="2987" t="s">
        <v>3486</v>
      </c>
      <c r="J1312" s="2987" t="s">
        <v>3597</v>
      </c>
      <c r="K1312" s="2988">
        <v>128.26</v>
      </c>
    </row>
    <row r="1313" spans="2:11" ht="18" customHeight="1">
      <c r="B1313" s="2986">
        <v>1274</v>
      </c>
      <c r="C1313" s="2987" t="s">
        <v>3482</v>
      </c>
      <c r="D1313" s="2987" t="s">
        <v>3594</v>
      </c>
      <c r="E1313" s="2987" t="s">
        <v>4746</v>
      </c>
      <c r="F1313" s="2987">
        <v>1</v>
      </c>
      <c r="G1313" s="2987">
        <v>1702</v>
      </c>
      <c r="H1313" s="2987" t="s">
        <v>4780</v>
      </c>
      <c r="I1313" s="2987" t="s">
        <v>3486</v>
      </c>
      <c r="J1313" s="2987" t="s">
        <v>3599</v>
      </c>
      <c r="K1313" s="2988">
        <v>96.17</v>
      </c>
    </row>
    <row r="1314" spans="2:11" ht="18" customHeight="1">
      <c r="B1314" s="2986">
        <v>1275</v>
      </c>
      <c r="C1314" s="2987" t="s">
        <v>3482</v>
      </c>
      <c r="D1314" s="2987" t="s">
        <v>3594</v>
      </c>
      <c r="E1314" s="2987" t="s">
        <v>4746</v>
      </c>
      <c r="F1314" s="2987">
        <v>1</v>
      </c>
      <c r="G1314" s="2987">
        <v>1703</v>
      </c>
      <c r="H1314" s="2987" t="s">
        <v>4781</v>
      </c>
      <c r="I1314" s="2987" t="s">
        <v>3486</v>
      </c>
      <c r="J1314" s="2987" t="s">
        <v>3599</v>
      </c>
      <c r="K1314" s="2988">
        <v>96.17</v>
      </c>
    </row>
    <row r="1315" spans="2:11" ht="18" customHeight="1">
      <c r="B1315" s="2986">
        <v>1276</v>
      </c>
      <c r="C1315" s="2987" t="s">
        <v>3482</v>
      </c>
      <c r="D1315" s="2987" t="s">
        <v>3594</v>
      </c>
      <c r="E1315" s="2987" t="s">
        <v>4746</v>
      </c>
      <c r="F1315" s="2987">
        <v>1</v>
      </c>
      <c r="G1315" s="2987">
        <v>1704</v>
      </c>
      <c r="H1315" s="2987" t="s">
        <v>4782</v>
      </c>
      <c r="I1315" s="2987" t="s">
        <v>3486</v>
      </c>
      <c r="J1315" s="2987" t="s">
        <v>3602</v>
      </c>
      <c r="K1315" s="2988">
        <v>111.01</v>
      </c>
    </row>
    <row r="1316" spans="2:11" ht="18" customHeight="1">
      <c r="B1316" s="2986">
        <v>1277</v>
      </c>
      <c r="C1316" s="2987" t="s">
        <v>3482</v>
      </c>
      <c r="D1316" s="2987" t="s">
        <v>3594</v>
      </c>
      <c r="E1316" s="2987" t="s">
        <v>4746</v>
      </c>
      <c r="F1316" s="2987">
        <v>1</v>
      </c>
      <c r="G1316" s="2987">
        <v>1801</v>
      </c>
      <c r="H1316" s="2987" t="s">
        <v>4783</v>
      </c>
      <c r="I1316" s="2987" t="s">
        <v>3486</v>
      </c>
      <c r="J1316" s="2987" t="s">
        <v>3597</v>
      </c>
      <c r="K1316" s="2988">
        <v>128.26</v>
      </c>
    </row>
    <row r="1317" spans="2:11" ht="18" customHeight="1">
      <c r="B1317" s="2986">
        <v>1278</v>
      </c>
      <c r="C1317" s="2987" t="s">
        <v>3482</v>
      </c>
      <c r="D1317" s="2987" t="s">
        <v>3594</v>
      </c>
      <c r="E1317" s="2987" t="s">
        <v>4746</v>
      </c>
      <c r="F1317" s="2987">
        <v>1</v>
      </c>
      <c r="G1317" s="2987">
        <v>1802</v>
      </c>
      <c r="H1317" s="2987" t="s">
        <v>4784</v>
      </c>
      <c r="I1317" s="2987" t="s">
        <v>3486</v>
      </c>
      <c r="J1317" s="2987" t="s">
        <v>3599</v>
      </c>
      <c r="K1317" s="2988">
        <v>96.17</v>
      </c>
    </row>
    <row r="1318" spans="2:11" ht="18" customHeight="1">
      <c r="B1318" s="2986">
        <v>1279</v>
      </c>
      <c r="C1318" s="2987" t="s">
        <v>3482</v>
      </c>
      <c r="D1318" s="2987" t="s">
        <v>3594</v>
      </c>
      <c r="E1318" s="2987" t="s">
        <v>4746</v>
      </c>
      <c r="F1318" s="2987">
        <v>1</v>
      </c>
      <c r="G1318" s="2987">
        <v>1803</v>
      </c>
      <c r="H1318" s="2987" t="s">
        <v>4785</v>
      </c>
      <c r="I1318" s="2987" t="s">
        <v>3486</v>
      </c>
      <c r="J1318" s="2987" t="s">
        <v>3599</v>
      </c>
      <c r="K1318" s="2988">
        <v>96.17</v>
      </c>
    </row>
    <row r="1319" spans="2:11" ht="18" customHeight="1">
      <c r="B1319" s="2986">
        <v>1280</v>
      </c>
      <c r="C1319" s="2987" t="s">
        <v>3482</v>
      </c>
      <c r="D1319" s="2987" t="s">
        <v>3594</v>
      </c>
      <c r="E1319" s="2987" t="s">
        <v>4746</v>
      </c>
      <c r="F1319" s="2987">
        <v>1</v>
      </c>
      <c r="G1319" s="2987">
        <v>1804</v>
      </c>
      <c r="H1319" s="2987" t="s">
        <v>4786</v>
      </c>
      <c r="I1319" s="2987" t="s">
        <v>3486</v>
      </c>
      <c r="J1319" s="2987" t="s">
        <v>3602</v>
      </c>
      <c r="K1319" s="2988">
        <v>111.01</v>
      </c>
    </row>
    <row r="1320" spans="2:11" ht="18" customHeight="1">
      <c r="B1320" s="2986">
        <v>1281</v>
      </c>
      <c r="C1320" s="2987" t="s">
        <v>3482</v>
      </c>
      <c r="D1320" s="2987" t="s">
        <v>3594</v>
      </c>
      <c r="E1320" s="2987" t="s">
        <v>4746</v>
      </c>
      <c r="F1320" s="2987">
        <v>1</v>
      </c>
      <c r="G1320" s="2987">
        <v>1901</v>
      </c>
      <c r="H1320" s="2987" t="s">
        <v>4787</v>
      </c>
      <c r="I1320" s="2987" t="s">
        <v>3486</v>
      </c>
      <c r="J1320" s="2987" t="s">
        <v>3597</v>
      </c>
      <c r="K1320" s="2988">
        <v>128.26</v>
      </c>
    </row>
    <row r="1321" spans="2:11" ht="18" customHeight="1">
      <c r="B1321" s="2986">
        <v>1282</v>
      </c>
      <c r="C1321" s="2987" t="s">
        <v>3482</v>
      </c>
      <c r="D1321" s="2987" t="s">
        <v>3594</v>
      </c>
      <c r="E1321" s="2987" t="s">
        <v>4746</v>
      </c>
      <c r="F1321" s="2987">
        <v>1</v>
      </c>
      <c r="G1321" s="2987">
        <v>1902</v>
      </c>
      <c r="H1321" s="2987" t="s">
        <v>4788</v>
      </c>
      <c r="I1321" s="2987" t="s">
        <v>3486</v>
      </c>
      <c r="J1321" s="2987" t="s">
        <v>3599</v>
      </c>
      <c r="K1321" s="2988">
        <v>96.17</v>
      </c>
    </row>
    <row r="1322" spans="2:11" ht="18" customHeight="1">
      <c r="B1322" s="2986">
        <v>1283</v>
      </c>
      <c r="C1322" s="2987" t="s">
        <v>3482</v>
      </c>
      <c r="D1322" s="2987" t="s">
        <v>3594</v>
      </c>
      <c r="E1322" s="2987" t="s">
        <v>4746</v>
      </c>
      <c r="F1322" s="2987">
        <v>1</v>
      </c>
      <c r="G1322" s="2987">
        <v>1903</v>
      </c>
      <c r="H1322" s="2987" t="s">
        <v>4789</v>
      </c>
      <c r="I1322" s="2987" t="s">
        <v>3486</v>
      </c>
      <c r="J1322" s="2987" t="s">
        <v>3599</v>
      </c>
      <c r="K1322" s="2988">
        <v>96.17</v>
      </c>
    </row>
    <row r="1323" spans="2:11" ht="18" customHeight="1">
      <c r="B1323" s="2986">
        <v>1284</v>
      </c>
      <c r="C1323" s="2987" t="s">
        <v>3482</v>
      </c>
      <c r="D1323" s="2987" t="s">
        <v>3594</v>
      </c>
      <c r="E1323" s="2987" t="s">
        <v>4746</v>
      </c>
      <c r="F1323" s="2987">
        <v>1</v>
      </c>
      <c r="G1323" s="2987">
        <v>1904</v>
      </c>
      <c r="H1323" s="2987" t="s">
        <v>4790</v>
      </c>
      <c r="I1323" s="2987" t="s">
        <v>3486</v>
      </c>
      <c r="J1323" s="2987" t="s">
        <v>3602</v>
      </c>
      <c r="K1323" s="2988">
        <v>111.01</v>
      </c>
    </row>
    <row r="1324" spans="2:11" ht="18" customHeight="1">
      <c r="B1324" s="2986">
        <v>1285</v>
      </c>
      <c r="C1324" s="2987" t="s">
        <v>3482</v>
      </c>
      <c r="D1324" s="2987" t="s">
        <v>3594</v>
      </c>
      <c r="E1324" s="2987" t="s">
        <v>4746</v>
      </c>
      <c r="F1324" s="2987">
        <v>1</v>
      </c>
      <c r="G1324" s="2987">
        <v>2001</v>
      </c>
      <c r="H1324" s="2987" t="s">
        <v>4791</v>
      </c>
      <c r="I1324" s="2987" t="s">
        <v>3486</v>
      </c>
      <c r="J1324" s="2987" t="s">
        <v>3597</v>
      </c>
      <c r="K1324" s="2988">
        <v>128.26</v>
      </c>
    </row>
    <row r="1325" spans="2:11" ht="18" customHeight="1">
      <c r="B1325" s="2986">
        <v>1286</v>
      </c>
      <c r="C1325" s="2987" t="s">
        <v>3482</v>
      </c>
      <c r="D1325" s="2987" t="s">
        <v>3594</v>
      </c>
      <c r="E1325" s="2987" t="s">
        <v>4746</v>
      </c>
      <c r="F1325" s="2987">
        <v>1</v>
      </c>
      <c r="G1325" s="2987">
        <v>2002</v>
      </c>
      <c r="H1325" s="2987" t="s">
        <v>4792</v>
      </c>
      <c r="I1325" s="2987" t="s">
        <v>3486</v>
      </c>
      <c r="J1325" s="2987" t="s">
        <v>3599</v>
      </c>
      <c r="K1325" s="2988">
        <v>96.17</v>
      </c>
    </row>
    <row r="1326" spans="2:11" ht="18" customHeight="1">
      <c r="B1326" s="2986">
        <v>1287</v>
      </c>
      <c r="C1326" s="2987" t="s">
        <v>3482</v>
      </c>
      <c r="D1326" s="2987" t="s">
        <v>3594</v>
      </c>
      <c r="E1326" s="2987" t="s">
        <v>4746</v>
      </c>
      <c r="F1326" s="2987">
        <v>1</v>
      </c>
      <c r="G1326" s="2987">
        <v>2003</v>
      </c>
      <c r="H1326" s="2987" t="s">
        <v>4793</v>
      </c>
      <c r="I1326" s="2987" t="s">
        <v>3486</v>
      </c>
      <c r="J1326" s="2987" t="s">
        <v>3599</v>
      </c>
      <c r="K1326" s="2988">
        <v>96.17</v>
      </c>
    </row>
    <row r="1327" spans="2:11" ht="18" customHeight="1">
      <c r="B1327" s="2986">
        <v>1288</v>
      </c>
      <c r="C1327" s="2987" t="s">
        <v>3482</v>
      </c>
      <c r="D1327" s="2987" t="s">
        <v>3594</v>
      </c>
      <c r="E1327" s="2987" t="s">
        <v>4746</v>
      </c>
      <c r="F1327" s="2987">
        <v>1</v>
      </c>
      <c r="G1327" s="2987">
        <v>2004</v>
      </c>
      <c r="H1327" s="2987" t="s">
        <v>4794</v>
      </c>
      <c r="I1327" s="2987" t="s">
        <v>3486</v>
      </c>
      <c r="J1327" s="2987" t="s">
        <v>3602</v>
      </c>
      <c r="K1327" s="2988">
        <v>111.01</v>
      </c>
    </row>
    <row r="1328" spans="2:11" ht="18" customHeight="1">
      <c r="B1328" s="2986">
        <v>1289</v>
      </c>
      <c r="C1328" s="2987" t="s">
        <v>3482</v>
      </c>
      <c r="D1328" s="2987" t="s">
        <v>3594</v>
      </c>
      <c r="E1328" s="2987" t="s">
        <v>4746</v>
      </c>
      <c r="F1328" s="2987">
        <v>1</v>
      </c>
      <c r="G1328" s="2987">
        <v>201</v>
      </c>
      <c r="H1328" s="2987" t="s">
        <v>4795</v>
      </c>
      <c r="I1328" s="2987" t="s">
        <v>3486</v>
      </c>
      <c r="J1328" s="2987" t="s">
        <v>3597</v>
      </c>
      <c r="K1328" s="2988">
        <v>128.26</v>
      </c>
    </row>
    <row r="1329" spans="2:11" ht="18" customHeight="1">
      <c r="B1329" s="2986">
        <v>1290</v>
      </c>
      <c r="C1329" s="2987" t="s">
        <v>3482</v>
      </c>
      <c r="D1329" s="2987" t="s">
        <v>3594</v>
      </c>
      <c r="E1329" s="2987" t="s">
        <v>4746</v>
      </c>
      <c r="F1329" s="2987">
        <v>1</v>
      </c>
      <c r="G1329" s="2987">
        <v>202</v>
      </c>
      <c r="H1329" s="2987" t="s">
        <v>4796</v>
      </c>
      <c r="I1329" s="2987" t="s">
        <v>3486</v>
      </c>
      <c r="J1329" s="2987" t="s">
        <v>3599</v>
      </c>
      <c r="K1329" s="2988">
        <v>96.17</v>
      </c>
    </row>
    <row r="1330" spans="2:11" ht="18" customHeight="1">
      <c r="B1330" s="2986">
        <v>1291</v>
      </c>
      <c r="C1330" s="2987" t="s">
        <v>3482</v>
      </c>
      <c r="D1330" s="2987" t="s">
        <v>3594</v>
      </c>
      <c r="E1330" s="2987" t="s">
        <v>4746</v>
      </c>
      <c r="F1330" s="2987">
        <v>1</v>
      </c>
      <c r="G1330" s="2987">
        <v>203</v>
      </c>
      <c r="H1330" s="2987" t="s">
        <v>4797</v>
      </c>
      <c r="I1330" s="2987" t="s">
        <v>3486</v>
      </c>
      <c r="J1330" s="2987" t="s">
        <v>3599</v>
      </c>
      <c r="K1330" s="2988">
        <v>96.17</v>
      </c>
    </row>
    <row r="1331" spans="2:11" ht="18" customHeight="1">
      <c r="B1331" s="2986">
        <v>1292</v>
      </c>
      <c r="C1331" s="2987" t="s">
        <v>3482</v>
      </c>
      <c r="D1331" s="2987" t="s">
        <v>3594</v>
      </c>
      <c r="E1331" s="2987" t="s">
        <v>4746</v>
      </c>
      <c r="F1331" s="2987">
        <v>1</v>
      </c>
      <c r="G1331" s="2987">
        <v>204</v>
      </c>
      <c r="H1331" s="2987" t="s">
        <v>4798</v>
      </c>
      <c r="I1331" s="2987" t="s">
        <v>3486</v>
      </c>
      <c r="J1331" s="2987" t="s">
        <v>3602</v>
      </c>
      <c r="K1331" s="2988">
        <v>111.01</v>
      </c>
    </row>
    <row r="1332" spans="2:11" ht="18" customHeight="1">
      <c r="B1332" s="2986">
        <v>1293</v>
      </c>
      <c r="C1332" s="2987" t="s">
        <v>3482</v>
      </c>
      <c r="D1332" s="2987" t="s">
        <v>3594</v>
      </c>
      <c r="E1332" s="2987" t="s">
        <v>4746</v>
      </c>
      <c r="F1332" s="2987">
        <v>1</v>
      </c>
      <c r="G1332" s="2987">
        <v>2101</v>
      </c>
      <c r="H1332" s="2987" t="s">
        <v>4799</v>
      </c>
      <c r="I1332" s="2987" t="s">
        <v>3486</v>
      </c>
      <c r="J1332" s="2987" t="s">
        <v>3597</v>
      </c>
      <c r="K1332" s="2988">
        <v>128.26</v>
      </c>
    </row>
    <row r="1333" spans="2:11" ht="18" customHeight="1">
      <c r="B1333" s="2986">
        <v>1294</v>
      </c>
      <c r="C1333" s="2987" t="s">
        <v>3482</v>
      </c>
      <c r="D1333" s="2987" t="s">
        <v>3594</v>
      </c>
      <c r="E1333" s="2987" t="s">
        <v>4746</v>
      </c>
      <c r="F1333" s="2987">
        <v>1</v>
      </c>
      <c r="G1333" s="2987">
        <v>2102</v>
      </c>
      <c r="H1333" s="2987" t="s">
        <v>4800</v>
      </c>
      <c r="I1333" s="2987" t="s">
        <v>3486</v>
      </c>
      <c r="J1333" s="2987" t="s">
        <v>3599</v>
      </c>
      <c r="K1333" s="2988">
        <v>96.17</v>
      </c>
    </row>
    <row r="1334" spans="2:11" ht="18" customHeight="1">
      <c r="B1334" s="2986">
        <v>1295</v>
      </c>
      <c r="C1334" s="2987" t="s">
        <v>3482</v>
      </c>
      <c r="D1334" s="2987" t="s">
        <v>3594</v>
      </c>
      <c r="E1334" s="2987" t="s">
        <v>4746</v>
      </c>
      <c r="F1334" s="2987">
        <v>1</v>
      </c>
      <c r="G1334" s="2987">
        <v>2103</v>
      </c>
      <c r="H1334" s="2987" t="s">
        <v>4801</v>
      </c>
      <c r="I1334" s="2987" t="s">
        <v>3486</v>
      </c>
      <c r="J1334" s="2987" t="s">
        <v>3599</v>
      </c>
      <c r="K1334" s="2988">
        <v>96.17</v>
      </c>
    </row>
    <row r="1335" spans="2:11" ht="18" customHeight="1">
      <c r="B1335" s="2986">
        <v>1296</v>
      </c>
      <c r="C1335" s="2987" t="s">
        <v>3482</v>
      </c>
      <c r="D1335" s="2987" t="s">
        <v>3594</v>
      </c>
      <c r="E1335" s="2987" t="s">
        <v>4746</v>
      </c>
      <c r="F1335" s="2987">
        <v>1</v>
      </c>
      <c r="G1335" s="2987">
        <v>2104</v>
      </c>
      <c r="H1335" s="2987" t="s">
        <v>4802</v>
      </c>
      <c r="I1335" s="2987" t="s">
        <v>3486</v>
      </c>
      <c r="J1335" s="2987" t="s">
        <v>3602</v>
      </c>
      <c r="K1335" s="2988">
        <v>111.01</v>
      </c>
    </row>
    <row r="1336" spans="2:11" ht="18" customHeight="1">
      <c r="B1336" s="2986">
        <v>1297</v>
      </c>
      <c r="C1336" s="2987" t="s">
        <v>3482</v>
      </c>
      <c r="D1336" s="2987" t="s">
        <v>3594</v>
      </c>
      <c r="E1336" s="2987" t="s">
        <v>4746</v>
      </c>
      <c r="F1336" s="2987">
        <v>1</v>
      </c>
      <c r="G1336" s="2987">
        <v>301</v>
      </c>
      <c r="H1336" s="2987" t="s">
        <v>4803</v>
      </c>
      <c r="I1336" s="2987" t="s">
        <v>3486</v>
      </c>
      <c r="J1336" s="2987" t="s">
        <v>3597</v>
      </c>
      <c r="K1336" s="2988">
        <v>128.26</v>
      </c>
    </row>
    <row r="1337" spans="2:11" ht="18" customHeight="1">
      <c r="B1337" s="2986">
        <v>1298</v>
      </c>
      <c r="C1337" s="2987" t="s">
        <v>3482</v>
      </c>
      <c r="D1337" s="2987" t="s">
        <v>3594</v>
      </c>
      <c r="E1337" s="2987" t="s">
        <v>4746</v>
      </c>
      <c r="F1337" s="2987">
        <v>1</v>
      </c>
      <c r="G1337" s="2987">
        <v>302</v>
      </c>
      <c r="H1337" s="2987" t="s">
        <v>4804</v>
      </c>
      <c r="I1337" s="2987" t="s">
        <v>3486</v>
      </c>
      <c r="J1337" s="2987" t="s">
        <v>3599</v>
      </c>
      <c r="K1337" s="2988">
        <v>96.17</v>
      </c>
    </row>
    <row r="1338" spans="2:11" ht="18" customHeight="1">
      <c r="B1338" s="2986">
        <v>1299</v>
      </c>
      <c r="C1338" s="2987" t="s">
        <v>3482</v>
      </c>
      <c r="D1338" s="2987" t="s">
        <v>3594</v>
      </c>
      <c r="E1338" s="2987" t="s">
        <v>4746</v>
      </c>
      <c r="F1338" s="2987">
        <v>1</v>
      </c>
      <c r="G1338" s="2987">
        <v>303</v>
      </c>
      <c r="H1338" s="2987" t="s">
        <v>4805</v>
      </c>
      <c r="I1338" s="2987" t="s">
        <v>3486</v>
      </c>
      <c r="J1338" s="2987" t="s">
        <v>3599</v>
      </c>
      <c r="K1338" s="2988">
        <v>96.17</v>
      </c>
    </row>
    <row r="1339" spans="2:11" ht="18" customHeight="1">
      <c r="B1339" s="2986">
        <v>1300</v>
      </c>
      <c r="C1339" s="2987" t="s">
        <v>3482</v>
      </c>
      <c r="D1339" s="2987" t="s">
        <v>3594</v>
      </c>
      <c r="E1339" s="2987" t="s">
        <v>4746</v>
      </c>
      <c r="F1339" s="2987">
        <v>1</v>
      </c>
      <c r="G1339" s="2987">
        <v>304</v>
      </c>
      <c r="H1339" s="2987" t="s">
        <v>4806</v>
      </c>
      <c r="I1339" s="2987" t="s">
        <v>3486</v>
      </c>
      <c r="J1339" s="2987" t="s">
        <v>3602</v>
      </c>
      <c r="K1339" s="2988">
        <v>111.01</v>
      </c>
    </row>
    <row r="1340" spans="2:11" ht="18" customHeight="1">
      <c r="B1340" s="2986">
        <v>1301</v>
      </c>
      <c r="C1340" s="2987" t="s">
        <v>3482</v>
      </c>
      <c r="D1340" s="2987" t="s">
        <v>3594</v>
      </c>
      <c r="E1340" s="2987" t="s">
        <v>4746</v>
      </c>
      <c r="F1340" s="2987">
        <v>1</v>
      </c>
      <c r="G1340" s="2987">
        <v>401</v>
      </c>
      <c r="H1340" s="2987" t="s">
        <v>4807</v>
      </c>
      <c r="I1340" s="2987" t="s">
        <v>3486</v>
      </c>
      <c r="J1340" s="2987" t="s">
        <v>3597</v>
      </c>
      <c r="K1340" s="2988">
        <v>128.26</v>
      </c>
    </row>
    <row r="1341" spans="2:11" ht="18" customHeight="1">
      <c r="B1341" s="2986">
        <v>1302</v>
      </c>
      <c r="C1341" s="2987" t="s">
        <v>3482</v>
      </c>
      <c r="D1341" s="2987" t="s">
        <v>3594</v>
      </c>
      <c r="E1341" s="2987" t="s">
        <v>4746</v>
      </c>
      <c r="F1341" s="2987">
        <v>1</v>
      </c>
      <c r="G1341" s="2987">
        <v>402</v>
      </c>
      <c r="H1341" s="2987" t="s">
        <v>4808</v>
      </c>
      <c r="I1341" s="2987" t="s">
        <v>3486</v>
      </c>
      <c r="J1341" s="2987" t="s">
        <v>3599</v>
      </c>
      <c r="K1341" s="2988">
        <v>96.17</v>
      </c>
    </row>
    <row r="1342" spans="2:11" ht="18" customHeight="1">
      <c r="B1342" s="2986">
        <v>1303</v>
      </c>
      <c r="C1342" s="2987" t="s">
        <v>3482</v>
      </c>
      <c r="D1342" s="2987" t="s">
        <v>3594</v>
      </c>
      <c r="E1342" s="2987" t="s">
        <v>4746</v>
      </c>
      <c r="F1342" s="2987">
        <v>1</v>
      </c>
      <c r="G1342" s="2987">
        <v>403</v>
      </c>
      <c r="H1342" s="2987" t="s">
        <v>4809</v>
      </c>
      <c r="I1342" s="2987" t="s">
        <v>3486</v>
      </c>
      <c r="J1342" s="2987" t="s">
        <v>3599</v>
      </c>
      <c r="K1342" s="2988">
        <v>96.17</v>
      </c>
    </row>
    <row r="1343" spans="2:11" ht="18" customHeight="1">
      <c r="B1343" s="2986">
        <v>1304</v>
      </c>
      <c r="C1343" s="2987" t="s">
        <v>3482</v>
      </c>
      <c r="D1343" s="2987" t="s">
        <v>3594</v>
      </c>
      <c r="E1343" s="2987" t="s">
        <v>4746</v>
      </c>
      <c r="F1343" s="2987">
        <v>1</v>
      </c>
      <c r="G1343" s="2987">
        <v>404</v>
      </c>
      <c r="H1343" s="2987" t="s">
        <v>4810</v>
      </c>
      <c r="I1343" s="2987" t="s">
        <v>3486</v>
      </c>
      <c r="J1343" s="2987" t="s">
        <v>3602</v>
      </c>
      <c r="K1343" s="2988">
        <v>111.01</v>
      </c>
    </row>
    <row r="1344" spans="2:11" ht="18" customHeight="1">
      <c r="B1344" s="2986">
        <v>1305</v>
      </c>
      <c r="C1344" s="2987" t="s">
        <v>3482</v>
      </c>
      <c r="D1344" s="2987" t="s">
        <v>3594</v>
      </c>
      <c r="E1344" s="2987" t="s">
        <v>4746</v>
      </c>
      <c r="F1344" s="2987">
        <v>1</v>
      </c>
      <c r="G1344" s="2987">
        <v>501</v>
      </c>
      <c r="H1344" s="2987" t="s">
        <v>4811</v>
      </c>
      <c r="I1344" s="2987" t="s">
        <v>3486</v>
      </c>
      <c r="J1344" s="2987" t="s">
        <v>3597</v>
      </c>
      <c r="K1344" s="2988">
        <v>128.26</v>
      </c>
    </row>
    <row r="1345" spans="2:11" ht="18" customHeight="1">
      <c r="B1345" s="2986">
        <v>1306</v>
      </c>
      <c r="C1345" s="2987" t="s">
        <v>3482</v>
      </c>
      <c r="D1345" s="2987" t="s">
        <v>3594</v>
      </c>
      <c r="E1345" s="2987" t="s">
        <v>4746</v>
      </c>
      <c r="F1345" s="2987">
        <v>1</v>
      </c>
      <c r="G1345" s="2987">
        <v>502</v>
      </c>
      <c r="H1345" s="2987" t="s">
        <v>4812</v>
      </c>
      <c r="I1345" s="2987" t="s">
        <v>3486</v>
      </c>
      <c r="J1345" s="2987" t="s">
        <v>3599</v>
      </c>
      <c r="K1345" s="2988">
        <v>96.17</v>
      </c>
    </row>
    <row r="1346" spans="2:11" ht="18" customHeight="1">
      <c r="B1346" s="2986">
        <v>1307</v>
      </c>
      <c r="C1346" s="2987" t="s">
        <v>3482</v>
      </c>
      <c r="D1346" s="2987" t="s">
        <v>3594</v>
      </c>
      <c r="E1346" s="2987" t="s">
        <v>4746</v>
      </c>
      <c r="F1346" s="2987">
        <v>1</v>
      </c>
      <c r="G1346" s="2987">
        <v>503</v>
      </c>
      <c r="H1346" s="2987" t="s">
        <v>4813</v>
      </c>
      <c r="I1346" s="2987" t="s">
        <v>3486</v>
      </c>
      <c r="J1346" s="2987" t="s">
        <v>3599</v>
      </c>
      <c r="K1346" s="2988">
        <v>96.17</v>
      </c>
    </row>
    <row r="1347" spans="2:11" ht="18" customHeight="1">
      <c r="B1347" s="2986">
        <v>1308</v>
      </c>
      <c r="C1347" s="2987" t="s">
        <v>3482</v>
      </c>
      <c r="D1347" s="2987" t="s">
        <v>3594</v>
      </c>
      <c r="E1347" s="2987" t="s">
        <v>4746</v>
      </c>
      <c r="F1347" s="2987">
        <v>1</v>
      </c>
      <c r="G1347" s="2987">
        <v>504</v>
      </c>
      <c r="H1347" s="2987" t="s">
        <v>4814</v>
      </c>
      <c r="I1347" s="2987" t="s">
        <v>3486</v>
      </c>
      <c r="J1347" s="2987" t="s">
        <v>3602</v>
      </c>
      <c r="K1347" s="2988">
        <v>111.01</v>
      </c>
    </row>
    <row r="1348" spans="2:11" ht="18" customHeight="1">
      <c r="B1348" s="2986">
        <v>1309</v>
      </c>
      <c r="C1348" s="2987" t="s">
        <v>3482</v>
      </c>
      <c r="D1348" s="2987" t="s">
        <v>3594</v>
      </c>
      <c r="E1348" s="2987" t="s">
        <v>4746</v>
      </c>
      <c r="F1348" s="2987">
        <v>1</v>
      </c>
      <c r="G1348" s="2987">
        <v>601</v>
      </c>
      <c r="H1348" s="2987" t="s">
        <v>4815</v>
      </c>
      <c r="I1348" s="2987" t="s">
        <v>3486</v>
      </c>
      <c r="J1348" s="2987" t="s">
        <v>3597</v>
      </c>
      <c r="K1348" s="2988">
        <v>128.26</v>
      </c>
    </row>
    <row r="1349" spans="2:11" ht="18" customHeight="1">
      <c r="B1349" s="2986">
        <v>1310</v>
      </c>
      <c r="C1349" s="2987" t="s">
        <v>3482</v>
      </c>
      <c r="D1349" s="2987" t="s">
        <v>3594</v>
      </c>
      <c r="E1349" s="2987" t="s">
        <v>4746</v>
      </c>
      <c r="F1349" s="2987">
        <v>1</v>
      </c>
      <c r="G1349" s="2987">
        <v>602</v>
      </c>
      <c r="H1349" s="2987" t="s">
        <v>4816</v>
      </c>
      <c r="I1349" s="2987" t="s">
        <v>3486</v>
      </c>
      <c r="J1349" s="2987" t="s">
        <v>3599</v>
      </c>
      <c r="K1349" s="2988">
        <v>96.17</v>
      </c>
    </row>
    <row r="1350" spans="2:11" ht="18" customHeight="1">
      <c r="B1350" s="2986">
        <v>1311</v>
      </c>
      <c r="C1350" s="2987" t="s">
        <v>3482</v>
      </c>
      <c r="D1350" s="2987" t="s">
        <v>3594</v>
      </c>
      <c r="E1350" s="2987" t="s">
        <v>4746</v>
      </c>
      <c r="F1350" s="2987">
        <v>1</v>
      </c>
      <c r="G1350" s="2987">
        <v>603</v>
      </c>
      <c r="H1350" s="2987" t="s">
        <v>4817</v>
      </c>
      <c r="I1350" s="2987" t="s">
        <v>3486</v>
      </c>
      <c r="J1350" s="2987" t="s">
        <v>3599</v>
      </c>
      <c r="K1350" s="2988">
        <v>96.17</v>
      </c>
    </row>
    <row r="1351" spans="2:11" ht="18" customHeight="1">
      <c r="B1351" s="2986">
        <v>1312</v>
      </c>
      <c r="C1351" s="2987" t="s">
        <v>3482</v>
      </c>
      <c r="D1351" s="2987" t="s">
        <v>3594</v>
      </c>
      <c r="E1351" s="2987" t="s">
        <v>4746</v>
      </c>
      <c r="F1351" s="2987">
        <v>1</v>
      </c>
      <c r="G1351" s="2987">
        <v>604</v>
      </c>
      <c r="H1351" s="2987" t="s">
        <v>4818</v>
      </c>
      <c r="I1351" s="2987" t="s">
        <v>3486</v>
      </c>
      <c r="J1351" s="2987" t="s">
        <v>3602</v>
      </c>
      <c r="K1351" s="2988">
        <v>111.01</v>
      </c>
    </row>
    <row r="1352" spans="2:11" ht="18" customHeight="1">
      <c r="B1352" s="2986">
        <v>1313</v>
      </c>
      <c r="C1352" s="2987" t="s">
        <v>3482</v>
      </c>
      <c r="D1352" s="2987" t="s">
        <v>3594</v>
      </c>
      <c r="E1352" s="2987" t="s">
        <v>4746</v>
      </c>
      <c r="F1352" s="2987">
        <v>1</v>
      </c>
      <c r="G1352" s="2987">
        <v>701</v>
      </c>
      <c r="H1352" s="2987" t="s">
        <v>4819</v>
      </c>
      <c r="I1352" s="2987" t="s">
        <v>3486</v>
      </c>
      <c r="J1352" s="2987" t="s">
        <v>3597</v>
      </c>
      <c r="K1352" s="2988">
        <v>128.26</v>
      </c>
    </row>
    <row r="1353" spans="2:11" ht="18" customHeight="1">
      <c r="B1353" s="2986">
        <v>1314</v>
      </c>
      <c r="C1353" s="2987" t="s">
        <v>3482</v>
      </c>
      <c r="D1353" s="2987" t="s">
        <v>3594</v>
      </c>
      <c r="E1353" s="2987" t="s">
        <v>4746</v>
      </c>
      <c r="F1353" s="2987">
        <v>1</v>
      </c>
      <c r="G1353" s="2987">
        <v>702</v>
      </c>
      <c r="H1353" s="2987" t="s">
        <v>4820</v>
      </c>
      <c r="I1353" s="2987" t="s">
        <v>3486</v>
      </c>
      <c r="J1353" s="2987" t="s">
        <v>3599</v>
      </c>
      <c r="K1353" s="2988">
        <v>96.17</v>
      </c>
    </row>
    <row r="1354" spans="2:11" ht="18" customHeight="1">
      <c r="B1354" s="2986">
        <v>1315</v>
      </c>
      <c r="C1354" s="2987" t="s">
        <v>3482</v>
      </c>
      <c r="D1354" s="2987" t="s">
        <v>3594</v>
      </c>
      <c r="E1354" s="2987" t="s">
        <v>4746</v>
      </c>
      <c r="F1354" s="2987">
        <v>1</v>
      </c>
      <c r="G1354" s="2987">
        <v>703</v>
      </c>
      <c r="H1354" s="2987" t="s">
        <v>4821</v>
      </c>
      <c r="I1354" s="2987" t="s">
        <v>3486</v>
      </c>
      <c r="J1354" s="2987" t="s">
        <v>3599</v>
      </c>
      <c r="K1354" s="2988">
        <v>96.17</v>
      </c>
    </row>
    <row r="1355" spans="2:11" ht="18" customHeight="1">
      <c r="B1355" s="2986">
        <v>1316</v>
      </c>
      <c r="C1355" s="2987" t="s">
        <v>3482</v>
      </c>
      <c r="D1355" s="2987" t="s">
        <v>3594</v>
      </c>
      <c r="E1355" s="2987" t="s">
        <v>4746</v>
      </c>
      <c r="F1355" s="2987">
        <v>1</v>
      </c>
      <c r="G1355" s="2987">
        <v>704</v>
      </c>
      <c r="H1355" s="2987" t="s">
        <v>4822</v>
      </c>
      <c r="I1355" s="2987" t="s">
        <v>3486</v>
      </c>
      <c r="J1355" s="2987" t="s">
        <v>3602</v>
      </c>
      <c r="K1355" s="2988">
        <v>111.01</v>
      </c>
    </row>
    <row r="1356" spans="2:11" ht="18" customHeight="1">
      <c r="B1356" s="2986">
        <v>1317</v>
      </c>
      <c r="C1356" s="2987" t="s">
        <v>3482</v>
      </c>
      <c r="D1356" s="2987" t="s">
        <v>3594</v>
      </c>
      <c r="E1356" s="2987" t="s">
        <v>4746</v>
      </c>
      <c r="F1356" s="2987">
        <v>1</v>
      </c>
      <c r="G1356" s="2987">
        <v>801</v>
      </c>
      <c r="H1356" s="2987" t="s">
        <v>4823</v>
      </c>
      <c r="I1356" s="2987" t="s">
        <v>3486</v>
      </c>
      <c r="J1356" s="2987" t="s">
        <v>3597</v>
      </c>
      <c r="K1356" s="2988">
        <v>128.26</v>
      </c>
    </row>
    <row r="1357" spans="2:11" ht="18" customHeight="1">
      <c r="B1357" s="2986">
        <v>1318</v>
      </c>
      <c r="C1357" s="2987" t="s">
        <v>3482</v>
      </c>
      <c r="D1357" s="2987" t="s">
        <v>3594</v>
      </c>
      <c r="E1357" s="2987" t="s">
        <v>4746</v>
      </c>
      <c r="F1357" s="2987">
        <v>1</v>
      </c>
      <c r="G1357" s="2987">
        <v>802</v>
      </c>
      <c r="H1357" s="2987" t="s">
        <v>4824</v>
      </c>
      <c r="I1357" s="2987" t="s">
        <v>3486</v>
      </c>
      <c r="J1357" s="2987" t="s">
        <v>3599</v>
      </c>
      <c r="K1357" s="2988">
        <v>96.17</v>
      </c>
    </row>
    <row r="1358" spans="2:11" ht="18" customHeight="1">
      <c r="B1358" s="2986">
        <v>1319</v>
      </c>
      <c r="C1358" s="2987" t="s">
        <v>3482</v>
      </c>
      <c r="D1358" s="2987" t="s">
        <v>3594</v>
      </c>
      <c r="E1358" s="2987" t="s">
        <v>4746</v>
      </c>
      <c r="F1358" s="2987">
        <v>1</v>
      </c>
      <c r="G1358" s="2987">
        <v>803</v>
      </c>
      <c r="H1358" s="2987" t="s">
        <v>4825</v>
      </c>
      <c r="I1358" s="2987" t="s">
        <v>3486</v>
      </c>
      <c r="J1358" s="2987" t="s">
        <v>3599</v>
      </c>
      <c r="K1358" s="2988">
        <v>96.17</v>
      </c>
    </row>
    <row r="1359" spans="2:11" ht="18" customHeight="1">
      <c r="B1359" s="2986">
        <v>1320</v>
      </c>
      <c r="C1359" s="2987" t="s">
        <v>3482</v>
      </c>
      <c r="D1359" s="2987" t="s">
        <v>3594</v>
      </c>
      <c r="E1359" s="2987" t="s">
        <v>4746</v>
      </c>
      <c r="F1359" s="2987">
        <v>1</v>
      </c>
      <c r="G1359" s="2987">
        <v>804</v>
      </c>
      <c r="H1359" s="2987" t="s">
        <v>4826</v>
      </c>
      <c r="I1359" s="2987" t="s">
        <v>3486</v>
      </c>
      <c r="J1359" s="2987" t="s">
        <v>3602</v>
      </c>
      <c r="K1359" s="2988">
        <v>111.01</v>
      </c>
    </row>
    <row r="1360" spans="2:11" ht="18" customHeight="1">
      <c r="B1360" s="2986">
        <v>1321</v>
      </c>
      <c r="C1360" s="2987" t="s">
        <v>3482</v>
      </c>
      <c r="D1360" s="2987" t="s">
        <v>3594</v>
      </c>
      <c r="E1360" s="2987" t="s">
        <v>4746</v>
      </c>
      <c r="F1360" s="2987">
        <v>1</v>
      </c>
      <c r="G1360" s="2987">
        <v>901</v>
      </c>
      <c r="H1360" s="2987" t="s">
        <v>4827</v>
      </c>
      <c r="I1360" s="2987" t="s">
        <v>3486</v>
      </c>
      <c r="J1360" s="2987" t="s">
        <v>3597</v>
      </c>
      <c r="K1360" s="2988">
        <v>128.26</v>
      </c>
    </row>
    <row r="1361" spans="2:11" ht="18" customHeight="1">
      <c r="B1361" s="2986">
        <v>1322</v>
      </c>
      <c r="C1361" s="2987" t="s">
        <v>3482</v>
      </c>
      <c r="D1361" s="2987" t="s">
        <v>3594</v>
      </c>
      <c r="E1361" s="2987" t="s">
        <v>4746</v>
      </c>
      <c r="F1361" s="2987">
        <v>1</v>
      </c>
      <c r="G1361" s="2987">
        <v>902</v>
      </c>
      <c r="H1361" s="2987" t="s">
        <v>4828</v>
      </c>
      <c r="I1361" s="2987" t="s">
        <v>3486</v>
      </c>
      <c r="J1361" s="2987" t="s">
        <v>3599</v>
      </c>
      <c r="K1361" s="2988">
        <v>96.17</v>
      </c>
    </row>
    <row r="1362" spans="2:11" ht="18" customHeight="1">
      <c r="B1362" s="2986">
        <v>1323</v>
      </c>
      <c r="C1362" s="2987" t="s">
        <v>3482</v>
      </c>
      <c r="D1362" s="2987" t="s">
        <v>3594</v>
      </c>
      <c r="E1362" s="2987" t="s">
        <v>4746</v>
      </c>
      <c r="F1362" s="2987">
        <v>1</v>
      </c>
      <c r="G1362" s="2987">
        <v>903</v>
      </c>
      <c r="H1362" s="2987" t="s">
        <v>4829</v>
      </c>
      <c r="I1362" s="2987" t="s">
        <v>3486</v>
      </c>
      <c r="J1362" s="2987" t="s">
        <v>3599</v>
      </c>
      <c r="K1362" s="2988">
        <v>96.17</v>
      </c>
    </row>
    <row r="1363" spans="2:11" ht="18" customHeight="1">
      <c r="B1363" s="2986">
        <v>1324</v>
      </c>
      <c r="C1363" s="2987" t="s">
        <v>3482</v>
      </c>
      <c r="D1363" s="2987" t="s">
        <v>3594</v>
      </c>
      <c r="E1363" s="2987" t="s">
        <v>4746</v>
      </c>
      <c r="F1363" s="2987">
        <v>1</v>
      </c>
      <c r="G1363" s="2987">
        <v>904</v>
      </c>
      <c r="H1363" s="2987" t="s">
        <v>4830</v>
      </c>
      <c r="I1363" s="2987" t="s">
        <v>3486</v>
      </c>
      <c r="J1363" s="2987" t="s">
        <v>3602</v>
      </c>
      <c r="K1363" s="2988">
        <v>111.01</v>
      </c>
    </row>
    <row r="1364" spans="2:11" ht="18" customHeight="1">
      <c r="B1364" s="2986">
        <v>1325</v>
      </c>
      <c r="C1364" s="2987" t="s">
        <v>3482</v>
      </c>
      <c r="D1364" s="2987" t="s">
        <v>3594</v>
      </c>
      <c r="E1364" s="2987" t="s">
        <v>4746</v>
      </c>
      <c r="F1364" s="2987">
        <v>2</v>
      </c>
      <c r="G1364" s="2987">
        <v>1001</v>
      </c>
      <c r="H1364" s="2987" t="s">
        <v>4831</v>
      </c>
      <c r="I1364" s="2987" t="s">
        <v>3486</v>
      </c>
      <c r="J1364" s="2987" t="s">
        <v>3602</v>
      </c>
      <c r="K1364" s="2988">
        <v>111.01</v>
      </c>
    </row>
    <row r="1365" spans="2:11" ht="18" customHeight="1">
      <c r="B1365" s="2986">
        <v>1326</v>
      </c>
      <c r="C1365" s="2987" t="s">
        <v>3482</v>
      </c>
      <c r="D1365" s="2987" t="s">
        <v>3594</v>
      </c>
      <c r="E1365" s="2987" t="s">
        <v>4746</v>
      </c>
      <c r="F1365" s="2987">
        <v>2</v>
      </c>
      <c r="G1365" s="2987">
        <v>1002</v>
      </c>
      <c r="H1365" s="2987" t="s">
        <v>4832</v>
      </c>
      <c r="I1365" s="2987" t="s">
        <v>3486</v>
      </c>
      <c r="J1365" s="2987" t="s">
        <v>3599</v>
      </c>
      <c r="K1365" s="2988">
        <v>96.17</v>
      </c>
    </row>
    <row r="1366" spans="2:11" ht="18" customHeight="1">
      <c r="B1366" s="2986">
        <v>1327</v>
      </c>
      <c r="C1366" s="2987" t="s">
        <v>3482</v>
      </c>
      <c r="D1366" s="2987" t="s">
        <v>3594</v>
      </c>
      <c r="E1366" s="2987" t="s">
        <v>4746</v>
      </c>
      <c r="F1366" s="2987">
        <v>2</v>
      </c>
      <c r="G1366" s="2987">
        <v>1003</v>
      </c>
      <c r="H1366" s="2987" t="s">
        <v>4833</v>
      </c>
      <c r="I1366" s="2987" t="s">
        <v>3486</v>
      </c>
      <c r="J1366" s="2987" t="s">
        <v>3599</v>
      </c>
      <c r="K1366" s="2988">
        <v>96.17</v>
      </c>
    </row>
    <row r="1367" spans="2:11" ht="18" customHeight="1">
      <c r="B1367" s="2986">
        <v>1328</v>
      </c>
      <c r="C1367" s="2987" t="s">
        <v>3482</v>
      </c>
      <c r="D1367" s="2987" t="s">
        <v>3594</v>
      </c>
      <c r="E1367" s="2987" t="s">
        <v>4746</v>
      </c>
      <c r="F1367" s="2987">
        <v>2</v>
      </c>
      <c r="G1367" s="2987">
        <v>1004</v>
      </c>
      <c r="H1367" s="2987" t="s">
        <v>4834</v>
      </c>
      <c r="I1367" s="2987" t="s">
        <v>3486</v>
      </c>
      <c r="J1367" s="2987" t="s">
        <v>3597</v>
      </c>
      <c r="K1367" s="2988">
        <v>128.26</v>
      </c>
    </row>
    <row r="1368" spans="2:11" ht="18" customHeight="1">
      <c r="B1368" s="2986">
        <v>1329</v>
      </c>
      <c r="C1368" s="2987" t="s">
        <v>3482</v>
      </c>
      <c r="D1368" s="2987" t="s">
        <v>3594</v>
      </c>
      <c r="E1368" s="2987" t="s">
        <v>4746</v>
      </c>
      <c r="F1368" s="2987">
        <v>2</v>
      </c>
      <c r="G1368" s="2987">
        <v>101</v>
      </c>
      <c r="H1368" s="2987" t="s">
        <v>4835</v>
      </c>
      <c r="I1368" s="2987" t="s">
        <v>3486</v>
      </c>
      <c r="J1368" s="2987" t="s">
        <v>3602</v>
      </c>
      <c r="K1368" s="2988">
        <v>111.01</v>
      </c>
    </row>
    <row r="1369" spans="2:11" ht="18" customHeight="1">
      <c r="B1369" s="2986">
        <v>1330</v>
      </c>
      <c r="C1369" s="2987" t="s">
        <v>3482</v>
      </c>
      <c r="D1369" s="2987" t="s">
        <v>3594</v>
      </c>
      <c r="E1369" s="2987" t="s">
        <v>4746</v>
      </c>
      <c r="F1369" s="2987">
        <v>2</v>
      </c>
      <c r="G1369" s="2987">
        <v>102</v>
      </c>
      <c r="H1369" s="2987" t="s">
        <v>4836</v>
      </c>
      <c r="I1369" s="2987" t="s">
        <v>3486</v>
      </c>
      <c r="J1369" s="2987" t="s">
        <v>3599</v>
      </c>
      <c r="K1369" s="2988">
        <v>96.17</v>
      </c>
    </row>
    <row r="1370" spans="2:11" ht="18" customHeight="1">
      <c r="B1370" s="2986">
        <v>1331</v>
      </c>
      <c r="C1370" s="2987" t="s">
        <v>3482</v>
      </c>
      <c r="D1370" s="2987" t="s">
        <v>3594</v>
      </c>
      <c r="E1370" s="2987" t="s">
        <v>4746</v>
      </c>
      <c r="F1370" s="2987">
        <v>2</v>
      </c>
      <c r="G1370" s="2987">
        <v>103</v>
      </c>
      <c r="H1370" s="2987" t="s">
        <v>4837</v>
      </c>
      <c r="I1370" s="2987" t="s">
        <v>3486</v>
      </c>
      <c r="J1370" s="2987" t="s">
        <v>3599</v>
      </c>
      <c r="K1370" s="2988">
        <v>96.17</v>
      </c>
    </row>
    <row r="1371" spans="2:11" ht="18" customHeight="1">
      <c r="B1371" s="2986">
        <v>1332</v>
      </c>
      <c r="C1371" s="2987" t="s">
        <v>3482</v>
      </c>
      <c r="D1371" s="2987" t="s">
        <v>3594</v>
      </c>
      <c r="E1371" s="2987" t="s">
        <v>4746</v>
      </c>
      <c r="F1371" s="2987">
        <v>2</v>
      </c>
      <c r="G1371" s="2987">
        <v>104</v>
      </c>
      <c r="H1371" s="2987" t="s">
        <v>4838</v>
      </c>
      <c r="I1371" s="2987" t="s">
        <v>3486</v>
      </c>
      <c r="J1371" s="2987" t="s">
        <v>3597</v>
      </c>
      <c r="K1371" s="2988">
        <v>128.26</v>
      </c>
    </row>
    <row r="1372" spans="2:11" ht="18" customHeight="1">
      <c r="B1372" s="2986">
        <v>1333</v>
      </c>
      <c r="C1372" s="2987" t="s">
        <v>3482</v>
      </c>
      <c r="D1372" s="2987" t="s">
        <v>3594</v>
      </c>
      <c r="E1372" s="2987" t="s">
        <v>4746</v>
      </c>
      <c r="F1372" s="2987">
        <v>2</v>
      </c>
      <c r="G1372" s="2987">
        <v>1101</v>
      </c>
      <c r="H1372" s="2987" t="s">
        <v>4839</v>
      </c>
      <c r="I1372" s="2987" t="s">
        <v>3486</v>
      </c>
      <c r="J1372" s="2987" t="s">
        <v>3602</v>
      </c>
      <c r="K1372" s="2988">
        <v>111.01</v>
      </c>
    </row>
    <row r="1373" spans="2:11" ht="18" customHeight="1">
      <c r="B1373" s="2986">
        <v>1334</v>
      </c>
      <c r="C1373" s="2987" t="s">
        <v>3482</v>
      </c>
      <c r="D1373" s="2987" t="s">
        <v>3594</v>
      </c>
      <c r="E1373" s="2987" t="s">
        <v>4746</v>
      </c>
      <c r="F1373" s="2987">
        <v>2</v>
      </c>
      <c r="G1373" s="2987">
        <v>1102</v>
      </c>
      <c r="H1373" s="2987" t="s">
        <v>4840</v>
      </c>
      <c r="I1373" s="2987" t="s">
        <v>3486</v>
      </c>
      <c r="J1373" s="2987" t="s">
        <v>3599</v>
      </c>
      <c r="K1373" s="2988">
        <v>96.17</v>
      </c>
    </row>
    <row r="1374" spans="2:11" ht="18" customHeight="1">
      <c r="B1374" s="2986">
        <v>1335</v>
      </c>
      <c r="C1374" s="2987" t="s">
        <v>3482</v>
      </c>
      <c r="D1374" s="2987" t="s">
        <v>3594</v>
      </c>
      <c r="E1374" s="2987" t="s">
        <v>4746</v>
      </c>
      <c r="F1374" s="2987">
        <v>2</v>
      </c>
      <c r="G1374" s="2987">
        <v>1103</v>
      </c>
      <c r="H1374" s="2987" t="s">
        <v>4841</v>
      </c>
      <c r="I1374" s="2987" t="s">
        <v>3486</v>
      </c>
      <c r="J1374" s="2987" t="s">
        <v>3599</v>
      </c>
      <c r="K1374" s="2988">
        <v>96.17</v>
      </c>
    </row>
    <row r="1375" spans="2:11" ht="18" customHeight="1">
      <c r="B1375" s="2986">
        <v>1336</v>
      </c>
      <c r="C1375" s="2987" t="s">
        <v>3482</v>
      </c>
      <c r="D1375" s="2987" t="s">
        <v>3594</v>
      </c>
      <c r="E1375" s="2987" t="s">
        <v>4746</v>
      </c>
      <c r="F1375" s="2987">
        <v>2</v>
      </c>
      <c r="G1375" s="2987">
        <v>1104</v>
      </c>
      <c r="H1375" s="2987" t="s">
        <v>4842</v>
      </c>
      <c r="I1375" s="2987" t="s">
        <v>3486</v>
      </c>
      <c r="J1375" s="2987" t="s">
        <v>3597</v>
      </c>
      <c r="K1375" s="2988">
        <v>128.26</v>
      </c>
    </row>
    <row r="1376" spans="2:11" ht="18" customHeight="1">
      <c r="B1376" s="2986">
        <v>1337</v>
      </c>
      <c r="C1376" s="2987" t="s">
        <v>3482</v>
      </c>
      <c r="D1376" s="2987" t="s">
        <v>3594</v>
      </c>
      <c r="E1376" s="2987" t="s">
        <v>4746</v>
      </c>
      <c r="F1376" s="2987">
        <v>2</v>
      </c>
      <c r="G1376" s="2987">
        <v>1201</v>
      </c>
      <c r="H1376" s="2987" t="s">
        <v>4843</v>
      </c>
      <c r="I1376" s="2987" t="s">
        <v>3486</v>
      </c>
      <c r="J1376" s="2987" t="s">
        <v>3602</v>
      </c>
      <c r="K1376" s="2988">
        <v>111.01</v>
      </c>
    </row>
    <row r="1377" spans="2:11" ht="18" customHeight="1">
      <c r="B1377" s="2986">
        <v>1338</v>
      </c>
      <c r="C1377" s="2987" t="s">
        <v>3482</v>
      </c>
      <c r="D1377" s="2987" t="s">
        <v>3594</v>
      </c>
      <c r="E1377" s="2987" t="s">
        <v>4746</v>
      </c>
      <c r="F1377" s="2987">
        <v>2</v>
      </c>
      <c r="G1377" s="2987">
        <v>1202</v>
      </c>
      <c r="H1377" s="2987" t="s">
        <v>4844</v>
      </c>
      <c r="I1377" s="2987" t="s">
        <v>3486</v>
      </c>
      <c r="J1377" s="2987" t="s">
        <v>3599</v>
      </c>
      <c r="K1377" s="2988">
        <v>96.17</v>
      </c>
    </row>
    <row r="1378" spans="2:11" ht="18" customHeight="1">
      <c r="B1378" s="2986">
        <v>1339</v>
      </c>
      <c r="C1378" s="2987" t="s">
        <v>3482</v>
      </c>
      <c r="D1378" s="2987" t="s">
        <v>3594</v>
      </c>
      <c r="E1378" s="2987" t="s">
        <v>4746</v>
      </c>
      <c r="F1378" s="2987">
        <v>2</v>
      </c>
      <c r="G1378" s="2987">
        <v>1203</v>
      </c>
      <c r="H1378" s="2987" t="s">
        <v>4845</v>
      </c>
      <c r="I1378" s="2987" t="s">
        <v>3486</v>
      </c>
      <c r="J1378" s="2987" t="s">
        <v>3599</v>
      </c>
      <c r="K1378" s="2988">
        <v>96.17</v>
      </c>
    </row>
    <row r="1379" spans="2:11" ht="18" customHeight="1">
      <c r="B1379" s="2986">
        <v>1340</v>
      </c>
      <c r="C1379" s="2987" t="s">
        <v>3482</v>
      </c>
      <c r="D1379" s="2987" t="s">
        <v>3594</v>
      </c>
      <c r="E1379" s="2987" t="s">
        <v>4746</v>
      </c>
      <c r="F1379" s="2987">
        <v>2</v>
      </c>
      <c r="G1379" s="2987">
        <v>1204</v>
      </c>
      <c r="H1379" s="2987" t="s">
        <v>4846</v>
      </c>
      <c r="I1379" s="2987" t="s">
        <v>3486</v>
      </c>
      <c r="J1379" s="2987" t="s">
        <v>3597</v>
      </c>
      <c r="K1379" s="2988">
        <v>128.26</v>
      </c>
    </row>
    <row r="1380" spans="2:11" ht="18" customHeight="1">
      <c r="B1380" s="2986">
        <v>1341</v>
      </c>
      <c r="C1380" s="2987" t="s">
        <v>3482</v>
      </c>
      <c r="D1380" s="2987" t="s">
        <v>3594</v>
      </c>
      <c r="E1380" s="2987" t="s">
        <v>4746</v>
      </c>
      <c r="F1380" s="2987">
        <v>2</v>
      </c>
      <c r="G1380" s="2987">
        <v>1301</v>
      </c>
      <c r="H1380" s="2987" t="s">
        <v>4847</v>
      </c>
      <c r="I1380" s="2987" t="s">
        <v>3486</v>
      </c>
      <c r="J1380" s="2987" t="s">
        <v>3602</v>
      </c>
      <c r="K1380" s="2988">
        <v>111.01</v>
      </c>
    </row>
    <row r="1381" spans="2:11" ht="18" customHeight="1">
      <c r="B1381" s="2986">
        <v>1342</v>
      </c>
      <c r="C1381" s="2987" t="s">
        <v>3482</v>
      </c>
      <c r="D1381" s="2987" t="s">
        <v>3594</v>
      </c>
      <c r="E1381" s="2987" t="s">
        <v>4746</v>
      </c>
      <c r="F1381" s="2987">
        <v>2</v>
      </c>
      <c r="G1381" s="2987">
        <v>1302</v>
      </c>
      <c r="H1381" s="2987" t="s">
        <v>4848</v>
      </c>
      <c r="I1381" s="2987" t="s">
        <v>3486</v>
      </c>
      <c r="J1381" s="2987" t="s">
        <v>3599</v>
      </c>
      <c r="K1381" s="2988">
        <v>96.17</v>
      </c>
    </row>
    <row r="1382" spans="2:11" ht="18" customHeight="1">
      <c r="B1382" s="2986">
        <v>1343</v>
      </c>
      <c r="C1382" s="2987" t="s">
        <v>3482</v>
      </c>
      <c r="D1382" s="2987" t="s">
        <v>3594</v>
      </c>
      <c r="E1382" s="2987" t="s">
        <v>4746</v>
      </c>
      <c r="F1382" s="2987">
        <v>2</v>
      </c>
      <c r="G1382" s="2987">
        <v>1303</v>
      </c>
      <c r="H1382" s="2987" t="s">
        <v>4849</v>
      </c>
      <c r="I1382" s="2987" t="s">
        <v>3486</v>
      </c>
      <c r="J1382" s="2987" t="s">
        <v>3599</v>
      </c>
      <c r="K1382" s="2988">
        <v>96.17</v>
      </c>
    </row>
    <row r="1383" spans="2:11" ht="18" customHeight="1">
      <c r="B1383" s="2986">
        <v>1344</v>
      </c>
      <c r="C1383" s="2987" t="s">
        <v>3482</v>
      </c>
      <c r="D1383" s="2987" t="s">
        <v>3594</v>
      </c>
      <c r="E1383" s="2987" t="s">
        <v>4746</v>
      </c>
      <c r="F1383" s="2987">
        <v>2</v>
      </c>
      <c r="G1383" s="2987">
        <v>1304</v>
      </c>
      <c r="H1383" s="2987" t="s">
        <v>4850</v>
      </c>
      <c r="I1383" s="2987" t="s">
        <v>3486</v>
      </c>
      <c r="J1383" s="2987" t="s">
        <v>3597</v>
      </c>
      <c r="K1383" s="2988">
        <v>128.26</v>
      </c>
    </row>
    <row r="1384" spans="2:11" ht="18" customHeight="1">
      <c r="B1384" s="2986">
        <v>1345</v>
      </c>
      <c r="C1384" s="2987" t="s">
        <v>3482</v>
      </c>
      <c r="D1384" s="2987" t="s">
        <v>3594</v>
      </c>
      <c r="E1384" s="2987" t="s">
        <v>4746</v>
      </c>
      <c r="F1384" s="2987">
        <v>2</v>
      </c>
      <c r="G1384" s="2987">
        <v>1401</v>
      </c>
      <c r="H1384" s="2987" t="s">
        <v>4851</v>
      </c>
      <c r="I1384" s="2987" t="s">
        <v>3486</v>
      </c>
      <c r="J1384" s="2987" t="s">
        <v>3602</v>
      </c>
      <c r="K1384" s="2988">
        <v>111.01</v>
      </c>
    </row>
    <row r="1385" spans="2:11" ht="18" customHeight="1">
      <c r="B1385" s="2986">
        <v>1346</v>
      </c>
      <c r="C1385" s="2987" t="s">
        <v>3482</v>
      </c>
      <c r="D1385" s="2987" t="s">
        <v>3594</v>
      </c>
      <c r="E1385" s="2987" t="s">
        <v>4746</v>
      </c>
      <c r="F1385" s="2987">
        <v>2</v>
      </c>
      <c r="G1385" s="2987">
        <v>1402</v>
      </c>
      <c r="H1385" s="2987" t="s">
        <v>4852</v>
      </c>
      <c r="I1385" s="2987" t="s">
        <v>3486</v>
      </c>
      <c r="J1385" s="2987" t="s">
        <v>3599</v>
      </c>
      <c r="K1385" s="2988">
        <v>96.17</v>
      </c>
    </row>
    <row r="1386" spans="2:11" ht="18" customHeight="1">
      <c r="B1386" s="2986">
        <v>1347</v>
      </c>
      <c r="C1386" s="2987" t="s">
        <v>3482</v>
      </c>
      <c r="D1386" s="2987" t="s">
        <v>3594</v>
      </c>
      <c r="E1386" s="2987" t="s">
        <v>4746</v>
      </c>
      <c r="F1386" s="2987">
        <v>2</v>
      </c>
      <c r="G1386" s="2987">
        <v>1403</v>
      </c>
      <c r="H1386" s="2987" t="s">
        <v>4853</v>
      </c>
      <c r="I1386" s="2987" t="s">
        <v>3486</v>
      </c>
      <c r="J1386" s="2987" t="s">
        <v>3599</v>
      </c>
      <c r="K1386" s="2988">
        <v>96.17</v>
      </c>
    </row>
    <row r="1387" spans="2:11" ht="18" customHeight="1">
      <c r="B1387" s="2986">
        <v>1348</v>
      </c>
      <c r="C1387" s="2987" t="s">
        <v>3482</v>
      </c>
      <c r="D1387" s="2987" t="s">
        <v>3594</v>
      </c>
      <c r="E1387" s="2987" t="s">
        <v>4746</v>
      </c>
      <c r="F1387" s="2987">
        <v>2</v>
      </c>
      <c r="G1387" s="2987">
        <v>1404</v>
      </c>
      <c r="H1387" s="2987" t="s">
        <v>4854</v>
      </c>
      <c r="I1387" s="2987" t="s">
        <v>3486</v>
      </c>
      <c r="J1387" s="2987" t="s">
        <v>3597</v>
      </c>
      <c r="K1387" s="2988">
        <v>128.26</v>
      </c>
    </row>
    <row r="1388" spans="2:11" ht="18" customHeight="1">
      <c r="B1388" s="2986">
        <v>1349</v>
      </c>
      <c r="C1388" s="2987" t="s">
        <v>3482</v>
      </c>
      <c r="D1388" s="2987" t="s">
        <v>3594</v>
      </c>
      <c r="E1388" s="2987" t="s">
        <v>4746</v>
      </c>
      <c r="F1388" s="2987">
        <v>2</v>
      </c>
      <c r="G1388" s="2987">
        <v>1501</v>
      </c>
      <c r="H1388" s="2987" t="s">
        <v>4855</v>
      </c>
      <c r="I1388" s="2987" t="s">
        <v>3486</v>
      </c>
      <c r="J1388" s="2987" t="s">
        <v>3602</v>
      </c>
      <c r="K1388" s="2988">
        <v>111.01</v>
      </c>
    </row>
    <row r="1389" spans="2:11" ht="18" customHeight="1">
      <c r="B1389" s="2986">
        <v>1350</v>
      </c>
      <c r="C1389" s="2987" t="s">
        <v>3482</v>
      </c>
      <c r="D1389" s="2987" t="s">
        <v>3594</v>
      </c>
      <c r="E1389" s="2987" t="s">
        <v>4746</v>
      </c>
      <c r="F1389" s="2987">
        <v>2</v>
      </c>
      <c r="G1389" s="2987">
        <v>1502</v>
      </c>
      <c r="H1389" s="2987" t="s">
        <v>4856</v>
      </c>
      <c r="I1389" s="2987" t="s">
        <v>3486</v>
      </c>
      <c r="J1389" s="2987" t="s">
        <v>3599</v>
      </c>
      <c r="K1389" s="2988">
        <v>96.17</v>
      </c>
    </row>
    <row r="1390" spans="2:11" ht="18" customHeight="1">
      <c r="B1390" s="2986">
        <v>1351</v>
      </c>
      <c r="C1390" s="2987" t="s">
        <v>3482</v>
      </c>
      <c r="D1390" s="2987" t="s">
        <v>3594</v>
      </c>
      <c r="E1390" s="2987" t="s">
        <v>4746</v>
      </c>
      <c r="F1390" s="2987">
        <v>2</v>
      </c>
      <c r="G1390" s="2987">
        <v>1503</v>
      </c>
      <c r="H1390" s="2987" t="s">
        <v>4857</v>
      </c>
      <c r="I1390" s="2987" t="s">
        <v>3486</v>
      </c>
      <c r="J1390" s="2987" t="s">
        <v>3599</v>
      </c>
      <c r="K1390" s="2988">
        <v>96.17</v>
      </c>
    </row>
    <row r="1391" spans="2:11" ht="18" customHeight="1">
      <c r="B1391" s="2986">
        <v>1352</v>
      </c>
      <c r="C1391" s="2987" t="s">
        <v>3482</v>
      </c>
      <c r="D1391" s="2987" t="s">
        <v>3594</v>
      </c>
      <c r="E1391" s="2987" t="s">
        <v>4746</v>
      </c>
      <c r="F1391" s="2987">
        <v>2</v>
      </c>
      <c r="G1391" s="2987">
        <v>1504</v>
      </c>
      <c r="H1391" s="2987" t="s">
        <v>4858</v>
      </c>
      <c r="I1391" s="2987" t="s">
        <v>3486</v>
      </c>
      <c r="J1391" s="2987" t="s">
        <v>3597</v>
      </c>
      <c r="K1391" s="2988">
        <v>128.26</v>
      </c>
    </row>
    <row r="1392" spans="2:11" ht="18" customHeight="1">
      <c r="B1392" s="2986">
        <v>1353</v>
      </c>
      <c r="C1392" s="2987" t="s">
        <v>3482</v>
      </c>
      <c r="D1392" s="2987" t="s">
        <v>3594</v>
      </c>
      <c r="E1392" s="2987" t="s">
        <v>4746</v>
      </c>
      <c r="F1392" s="2987">
        <v>2</v>
      </c>
      <c r="G1392" s="2987">
        <v>1601</v>
      </c>
      <c r="H1392" s="2987" t="s">
        <v>4859</v>
      </c>
      <c r="I1392" s="2987" t="s">
        <v>3486</v>
      </c>
      <c r="J1392" s="2987" t="s">
        <v>3602</v>
      </c>
      <c r="K1392" s="2988">
        <v>111.01</v>
      </c>
    </row>
    <row r="1393" spans="2:11" ht="18" customHeight="1">
      <c r="B1393" s="2986">
        <v>1354</v>
      </c>
      <c r="C1393" s="2987" t="s">
        <v>3482</v>
      </c>
      <c r="D1393" s="2987" t="s">
        <v>3594</v>
      </c>
      <c r="E1393" s="2987" t="s">
        <v>4746</v>
      </c>
      <c r="F1393" s="2987">
        <v>2</v>
      </c>
      <c r="G1393" s="2987">
        <v>1602</v>
      </c>
      <c r="H1393" s="2987" t="s">
        <v>4860</v>
      </c>
      <c r="I1393" s="2987" t="s">
        <v>3486</v>
      </c>
      <c r="J1393" s="2987" t="s">
        <v>3599</v>
      </c>
      <c r="K1393" s="2988">
        <v>96.17</v>
      </c>
    </row>
    <row r="1394" spans="2:11" ht="18" customHeight="1">
      <c r="B1394" s="2986">
        <v>1355</v>
      </c>
      <c r="C1394" s="2987" t="s">
        <v>3482</v>
      </c>
      <c r="D1394" s="2987" t="s">
        <v>3594</v>
      </c>
      <c r="E1394" s="2987" t="s">
        <v>4746</v>
      </c>
      <c r="F1394" s="2987">
        <v>2</v>
      </c>
      <c r="G1394" s="2987">
        <v>1603</v>
      </c>
      <c r="H1394" s="2987" t="s">
        <v>4861</v>
      </c>
      <c r="I1394" s="2987" t="s">
        <v>3486</v>
      </c>
      <c r="J1394" s="2987" t="s">
        <v>3599</v>
      </c>
      <c r="K1394" s="2988">
        <v>96.17</v>
      </c>
    </row>
    <row r="1395" spans="2:11" ht="18" customHeight="1">
      <c r="B1395" s="2986">
        <v>1356</v>
      </c>
      <c r="C1395" s="2987" t="s">
        <v>3482</v>
      </c>
      <c r="D1395" s="2987" t="s">
        <v>3594</v>
      </c>
      <c r="E1395" s="2987" t="s">
        <v>4746</v>
      </c>
      <c r="F1395" s="2987">
        <v>2</v>
      </c>
      <c r="G1395" s="2987">
        <v>1604</v>
      </c>
      <c r="H1395" s="2987" t="s">
        <v>4862</v>
      </c>
      <c r="I1395" s="2987" t="s">
        <v>3486</v>
      </c>
      <c r="J1395" s="2987" t="s">
        <v>3597</v>
      </c>
      <c r="K1395" s="2988">
        <v>128.26</v>
      </c>
    </row>
    <row r="1396" spans="2:11" ht="18" customHeight="1">
      <c r="B1396" s="2986">
        <v>1357</v>
      </c>
      <c r="C1396" s="2987" t="s">
        <v>3482</v>
      </c>
      <c r="D1396" s="2987" t="s">
        <v>3594</v>
      </c>
      <c r="E1396" s="2987" t="s">
        <v>4746</v>
      </c>
      <c r="F1396" s="2987">
        <v>2</v>
      </c>
      <c r="G1396" s="2987">
        <v>1701</v>
      </c>
      <c r="H1396" s="2987" t="s">
        <v>4863</v>
      </c>
      <c r="I1396" s="2987" t="s">
        <v>3486</v>
      </c>
      <c r="J1396" s="2987" t="s">
        <v>3602</v>
      </c>
      <c r="K1396" s="2988">
        <v>111.01</v>
      </c>
    </row>
    <row r="1397" spans="2:11" ht="18" customHeight="1">
      <c r="B1397" s="2986">
        <v>1358</v>
      </c>
      <c r="C1397" s="2987" t="s">
        <v>3482</v>
      </c>
      <c r="D1397" s="2987" t="s">
        <v>3594</v>
      </c>
      <c r="E1397" s="2987" t="s">
        <v>4746</v>
      </c>
      <c r="F1397" s="2987">
        <v>2</v>
      </c>
      <c r="G1397" s="2987">
        <v>1702</v>
      </c>
      <c r="H1397" s="2987" t="s">
        <v>4864</v>
      </c>
      <c r="I1397" s="2987" t="s">
        <v>3486</v>
      </c>
      <c r="J1397" s="2987" t="s">
        <v>3599</v>
      </c>
      <c r="K1397" s="2988">
        <v>96.17</v>
      </c>
    </row>
    <row r="1398" spans="2:11" ht="18" customHeight="1">
      <c r="B1398" s="2986">
        <v>1359</v>
      </c>
      <c r="C1398" s="2987" t="s">
        <v>3482</v>
      </c>
      <c r="D1398" s="2987" t="s">
        <v>3594</v>
      </c>
      <c r="E1398" s="2987" t="s">
        <v>4746</v>
      </c>
      <c r="F1398" s="2987">
        <v>2</v>
      </c>
      <c r="G1398" s="2987">
        <v>1703</v>
      </c>
      <c r="H1398" s="2987" t="s">
        <v>4865</v>
      </c>
      <c r="I1398" s="2987" t="s">
        <v>3486</v>
      </c>
      <c r="J1398" s="2987" t="s">
        <v>3599</v>
      </c>
      <c r="K1398" s="2988">
        <v>96.17</v>
      </c>
    </row>
    <row r="1399" spans="2:11" ht="18" customHeight="1">
      <c r="B1399" s="2986">
        <v>1360</v>
      </c>
      <c r="C1399" s="2987" t="s">
        <v>3482</v>
      </c>
      <c r="D1399" s="2987" t="s">
        <v>3594</v>
      </c>
      <c r="E1399" s="2987" t="s">
        <v>4746</v>
      </c>
      <c r="F1399" s="2987">
        <v>2</v>
      </c>
      <c r="G1399" s="2987">
        <v>1704</v>
      </c>
      <c r="H1399" s="2987" t="s">
        <v>4866</v>
      </c>
      <c r="I1399" s="2987" t="s">
        <v>3486</v>
      </c>
      <c r="J1399" s="2987" t="s">
        <v>3597</v>
      </c>
      <c r="K1399" s="2988">
        <v>128.26</v>
      </c>
    </row>
    <row r="1400" spans="2:11" ht="18" customHeight="1">
      <c r="B1400" s="2986">
        <v>1361</v>
      </c>
      <c r="C1400" s="2987" t="s">
        <v>3482</v>
      </c>
      <c r="D1400" s="2987" t="s">
        <v>3594</v>
      </c>
      <c r="E1400" s="2987" t="s">
        <v>4746</v>
      </c>
      <c r="F1400" s="2987">
        <v>2</v>
      </c>
      <c r="G1400" s="2987">
        <v>1801</v>
      </c>
      <c r="H1400" s="2987" t="s">
        <v>4867</v>
      </c>
      <c r="I1400" s="2987" t="s">
        <v>3486</v>
      </c>
      <c r="J1400" s="2987" t="s">
        <v>3602</v>
      </c>
      <c r="K1400" s="2988">
        <v>111.01</v>
      </c>
    </row>
    <row r="1401" spans="2:11" ht="18" customHeight="1">
      <c r="B1401" s="2986">
        <v>1362</v>
      </c>
      <c r="C1401" s="2987" t="s">
        <v>3482</v>
      </c>
      <c r="D1401" s="2987" t="s">
        <v>3594</v>
      </c>
      <c r="E1401" s="2987" t="s">
        <v>4746</v>
      </c>
      <c r="F1401" s="2987">
        <v>2</v>
      </c>
      <c r="G1401" s="2987">
        <v>1802</v>
      </c>
      <c r="H1401" s="2987" t="s">
        <v>4868</v>
      </c>
      <c r="I1401" s="2987" t="s">
        <v>3486</v>
      </c>
      <c r="J1401" s="2987" t="s">
        <v>3599</v>
      </c>
      <c r="K1401" s="2988">
        <v>96.17</v>
      </c>
    </row>
    <row r="1402" spans="2:11" ht="18" customHeight="1">
      <c r="B1402" s="2986">
        <v>1363</v>
      </c>
      <c r="C1402" s="2987" t="s">
        <v>3482</v>
      </c>
      <c r="D1402" s="2987" t="s">
        <v>3594</v>
      </c>
      <c r="E1402" s="2987" t="s">
        <v>4746</v>
      </c>
      <c r="F1402" s="2987">
        <v>2</v>
      </c>
      <c r="G1402" s="2987">
        <v>1803</v>
      </c>
      <c r="H1402" s="2987" t="s">
        <v>4869</v>
      </c>
      <c r="I1402" s="2987" t="s">
        <v>3486</v>
      </c>
      <c r="J1402" s="2987" t="s">
        <v>3599</v>
      </c>
      <c r="K1402" s="2988">
        <v>96.17</v>
      </c>
    </row>
    <row r="1403" spans="2:11" ht="18" customHeight="1">
      <c r="B1403" s="2986">
        <v>1364</v>
      </c>
      <c r="C1403" s="2987" t="s">
        <v>3482</v>
      </c>
      <c r="D1403" s="2987" t="s">
        <v>3594</v>
      </c>
      <c r="E1403" s="2987" t="s">
        <v>4746</v>
      </c>
      <c r="F1403" s="2987">
        <v>2</v>
      </c>
      <c r="G1403" s="2987">
        <v>1804</v>
      </c>
      <c r="H1403" s="2987" t="s">
        <v>4870</v>
      </c>
      <c r="I1403" s="2987" t="s">
        <v>3486</v>
      </c>
      <c r="J1403" s="2987" t="s">
        <v>3597</v>
      </c>
      <c r="K1403" s="2988">
        <v>128.26</v>
      </c>
    </row>
    <row r="1404" spans="2:11" ht="18" customHeight="1">
      <c r="B1404" s="2986">
        <v>1365</v>
      </c>
      <c r="C1404" s="2987" t="s">
        <v>3482</v>
      </c>
      <c r="D1404" s="2987" t="s">
        <v>3594</v>
      </c>
      <c r="E1404" s="2987" t="s">
        <v>4746</v>
      </c>
      <c r="F1404" s="2987">
        <v>2</v>
      </c>
      <c r="G1404" s="2987">
        <v>1901</v>
      </c>
      <c r="H1404" s="2987" t="s">
        <v>4871</v>
      </c>
      <c r="I1404" s="2987" t="s">
        <v>3486</v>
      </c>
      <c r="J1404" s="2987" t="s">
        <v>3602</v>
      </c>
      <c r="K1404" s="2988">
        <v>111.01</v>
      </c>
    </row>
    <row r="1405" spans="2:11" ht="18" customHeight="1">
      <c r="B1405" s="2986">
        <v>1366</v>
      </c>
      <c r="C1405" s="2987" t="s">
        <v>3482</v>
      </c>
      <c r="D1405" s="2987" t="s">
        <v>3594</v>
      </c>
      <c r="E1405" s="2987" t="s">
        <v>4746</v>
      </c>
      <c r="F1405" s="2987">
        <v>2</v>
      </c>
      <c r="G1405" s="2987">
        <v>1902</v>
      </c>
      <c r="H1405" s="2987" t="s">
        <v>4872</v>
      </c>
      <c r="I1405" s="2987" t="s">
        <v>3486</v>
      </c>
      <c r="J1405" s="2987" t="s">
        <v>3599</v>
      </c>
      <c r="K1405" s="2988">
        <v>96.17</v>
      </c>
    </row>
    <row r="1406" spans="2:11" ht="18" customHeight="1">
      <c r="B1406" s="2986">
        <v>1367</v>
      </c>
      <c r="C1406" s="2987" t="s">
        <v>3482</v>
      </c>
      <c r="D1406" s="2987" t="s">
        <v>3594</v>
      </c>
      <c r="E1406" s="2987" t="s">
        <v>4746</v>
      </c>
      <c r="F1406" s="2987">
        <v>2</v>
      </c>
      <c r="G1406" s="2987">
        <v>1903</v>
      </c>
      <c r="H1406" s="2987" t="s">
        <v>4873</v>
      </c>
      <c r="I1406" s="2987" t="s">
        <v>3486</v>
      </c>
      <c r="J1406" s="2987" t="s">
        <v>3599</v>
      </c>
      <c r="K1406" s="2988">
        <v>96.17</v>
      </c>
    </row>
    <row r="1407" spans="2:11" ht="18" customHeight="1">
      <c r="B1407" s="2986">
        <v>1368</v>
      </c>
      <c r="C1407" s="2987" t="s">
        <v>3482</v>
      </c>
      <c r="D1407" s="2987" t="s">
        <v>3594</v>
      </c>
      <c r="E1407" s="2987" t="s">
        <v>4746</v>
      </c>
      <c r="F1407" s="2987">
        <v>2</v>
      </c>
      <c r="G1407" s="2987">
        <v>1904</v>
      </c>
      <c r="H1407" s="2987" t="s">
        <v>4874</v>
      </c>
      <c r="I1407" s="2987" t="s">
        <v>3486</v>
      </c>
      <c r="J1407" s="2987" t="s">
        <v>3597</v>
      </c>
      <c r="K1407" s="2988">
        <v>128.26</v>
      </c>
    </row>
    <row r="1408" spans="2:11" ht="18" customHeight="1">
      <c r="B1408" s="2986">
        <v>1369</v>
      </c>
      <c r="C1408" s="2987" t="s">
        <v>3482</v>
      </c>
      <c r="D1408" s="2987" t="s">
        <v>3594</v>
      </c>
      <c r="E1408" s="2987" t="s">
        <v>4746</v>
      </c>
      <c r="F1408" s="2987">
        <v>2</v>
      </c>
      <c r="G1408" s="2987">
        <v>2001</v>
      </c>
      <c r="H1408" s="2987" t="s">
        <v>4875</v>
      </c>
      <c r="I1408" s="2987" t="s">
        <v>3486</v>
      </c>
      <c r="J1408" s="2987" t="s">
        <v>3602</v>
      </c>
      <c r="K1408" s="2988">
        <v>111.01</v>
      </c>
    </row>
    <row r="1409" spans="2:11" ht="18" customHeight="1">
      <c r="B1409" s="2986">
        <v>1370</v>
      </c>
      <c r="C1409" s="2987" t="s">
        <v>3482</v>
      </c>
      <c r="D1409" s="2987" t="s">
        <v>3594</v>
      </c>
      <c r="E1409" s="2987" t="s">
        <v>4746</v>
      </c>
      <c r="F1409" s="2987">
        <v>2</v>
      </c>
      <c r="G1409" s="2987">
        <v>2002</v>
      </c>
      <c r="H1409" s="2987" t="s">
        <v>4876</v>
      </c>
      <c r="I1409" s="2987" t="s">
        <v>3486</v>
      </c>
      <c r="J1409" s="2987" t="s">
        <v>3599</v>
      </c>
      <c r="K1409" s="2988">
        <v>96.17</v>
      </c>
    </row>
    <row r="1410" spans="2:11" ht="18" customHeight="1">
      <c r="B1410" s="2986">
        <v>1371</v>
      </c>
      <c r="C1410" s="2987" t="s">
        <v>3482</v>
      </c>
      <c r="D1410" s="2987" t="s">
        <v>3594</v>
      </c>
      <c r="E1410" s="2987" t="s">
        <v>4746</v>
      </c>
      <c r="F1410" s="2987">
        <v>2</v>
      </c>
      <c r="G1410" s="2987">
        <v>2003</v>
      </c>
      <c r="H1410" s="2987" t="s">
        <v>4877</v>
      </c>
      <c r="I1410" s="2987" t="s">
        <v>3486</v>
      </c>
      <c r="J1410" s="2987" t="s">
        <v>3599</v>
      </c>
      <c r="K1410" s="2988">
        <v>96.17</v>
      </c>
    </row>
    <row r="1411" spans="2:11" ht="18" customHeight="1">
      <c r="B1411" s="2986">
        <v>1372</v>
      </c>
      <c r="C1411" s="2987" t="s">
        <v>3482</v>
      </c>
      <c r="D1411" s="2987" t="s">
        <v>3594</v>
      </c>
      <c r="E1411" s="2987" t="s">
        <v>4746</v>
      </c>
      <c r="F1411" s="2987">
        <v>2</v>
      </c>
      <c r="G1411" s="2987">
        <v>2004</v>
      </c>
      <c r="H1411" s="2987" t="s">
        <v>4878</v>
      </c>
      <c r="I1411" s="2987" t="s">
        <v>3486</v>
      </c>
      <c r="J1411" s="2987" t="s">
        <v>3597</v>
      </c>
      <c r="K1411" s="2988">
        <v>128.26</v>
      </c>
    </row>
    <row r="1412" spans="2:11" ht="18" customHeight="1">
      <c r="B1412" s="2986">
        <v>1373</v>
      </c>
      <c r="C1412" s="2987" t="s">
        <v>3482</v>
      </c>
      <c r="D1412" s="2987" t="s">
        <v>3594</v>
      </c>
      <c r="E1412" s="2987" t="s">
        <v>4746</v>
      </c>
      <c r="F1412" s="2987">
        <v>2</v>
      </c>
      <c r="G1412" s="2987">
        <v>201</v>
      </c>
      <c r="H1412" s="2987" t="s">
        <v>4879</v>
      </c>
      <c r="I1412" s="2987" t="s">
        <v>3486</v>
      </c>
      <c r="J1412" s="2987" t="s">
        <v>3602</v>
      </c>
      <c r="K1412" s="2988">
        <v>111.01</v>
      </c>
    </row>
    <row r="1413" spans="2:11" ht="18" customHeight="1">
      <c r="B1413" s="2986">
        <v>1374</v>
      </c>
      <c r="C1413" s="2987" t="s">
        <v>3482</v>
      </c>
      <c r="D1413" s="2987" t="s">
        <v>3594</v>
      </c>
      <c r="E1413" s="2987" t="s">
        <v>4746</v>
      </c>
      <c r="F1413" s="2987">
        <v>2</v>
      </c>
      <c r="G1413" s="2987">
        <v>202</v>
      </c>
      <c r="H1413" s="2987" t="s">
        <v>4880</v>
      </c>
      <c r="I1413" s="2987" t="s">
        <v>3486</v>
      </c>
      <c r="J1413" s="2987" t="s">
        <v>3599</v>
      </c>
      <c r="K1413" s="2988">
        <v>96.17</v>
      </c>
    </row>
    <row r="1414" spans="2:11" ht="18" customHeight="1">
      <c r="B1414" s="2986">
        <v>1375</v>
      </c>
      <c r="C1414" s="2987" t="s">
        <v>3482</v>
      </c>
      <c r="D1414" s="2987" t="s">
        <v>3594</v>
      </c>
      <c r="E1414" s="2987" t="s">
        <v>4746</v>
      </c>
      <c r="F1414" s="2987">
        <v>2</v>
      </c>
      <c r="G1414" s="2987">
        <v>203</v>
      </c>
      <c r="H1414" s="2987" t="s">
        <v>4881</v>
      </c>
      <c r="I1414" s="2987" t="s">
        <v>3486</v>
      </c>
      <c r="J1414" s="2987" t="s">
        <v>3599</v>
      </c>
      <c r="K1414" s="2988">
        <v>96.17</v>
      </c>
    </row>
    <row r="1415" spans="2:11" ht="18" customHeight="1">
      <c r="B1415" s="2986">
        <v>1376</v>
      </c>
      <c r="C1415" s="2987" t="s">
        <v>3482</v>
      </c>
      <c r="D1415" s="2987" t="s">
        <v>3594</v>
      </c>
      <c r="E1415" s="2987" t="s">
        <v>4746</v>
      </c>
      <c r="F1415" s="2987">
        <v>2</v>
      </c>
      <c r="G1415" s="2987">
        <v>204</v>
      </c>
      <c r="H1415" s="2987" t="s">
        <v>4882</v>
      </c>
      <c r="I1415" s="2987" t="s">
        <v>3486</v>
      </c>
      <c r="J1415" s="2987" t="s">
        <v>3597</v>
      </c>
      <c r="K1415" s="2988">
        <v>128.26</v>
      </c>
    </row>
    <row r="1416" spans="2:11" ht="18" customHeight="1">
      <c r="B1416" s="2986">
        <v>1377</v>
      </c>
      <c r="C1416" s="2987" t="s">
        <v>3482</v>
      </c>
      <c r="D1416" s="2987" t="s">
        <v>3594</v>
      </c>
      <c r="E1416" s="2987" t="s">
        <v>4746</v>
      </c>
      <c r="F1416" s="2987">
        <v>2</v>
      </c>
      <c r="G1416" s="2987">
        <v>2101</v>
      </c>
      <c r="H1416" s="2987" t="s">
        <v>4883</v>
      </c>
      <c r="I1416" s="2987" t="s">
        <v>3486</v>
      </c>
      <c r="J1416" s="2987" t="s">
        <v>3602</v>
      </c>
      <c r="K1416" s="2988">
        <v>111.01</v>
      </c>
    </row>
    <row r="1417" spans="2:11" ht="18" customHeight="1">
      <c r="B1417" s="2986">
        <v>1378</v>
      </c>
      <c r="C1417" s="2987" t="s">
        <v>3482</v>
      </c>
      <c r="D1417" s="2987" t="s">
        <v>3594</v>
      </c>
      <c r="E1417" s="2987" t="s">
        <v>4746</v>
      </c>
      <c r="F1417" s="2987">
        <v>2</v>
      </c>
      <c r="G1417" s="2987">
        <v>2102</v>
      </c>
      <c r="H1417" s="2987" t="s">
        <v>4884</v>
      </c>
      <c r="I1417" s="2987" t="s">
        <v>3486</v>
      </c>
      <c r="J1417" s="2987" t="s">
        <v>3599</v>
      </c>
      <c r="K1417" s="2988">
        <v>96.17</v>
      </c>
    </row>
    <row r="1418" spans="2:11" ht="18" customHeight="1">
      <c r="B1418" s="2986">
        <v>1379</v>
      </c>
      <c r="C1418" s="2987" t="s">
        <v>3482</v>
      </c>
      <c r="D1418" s="2987" t="s">
        <v>3594</v>
      </c>
      <c r="E1418" s="2987" t="s">
        <v>4746</v>
      </c>
      <c r="F1418" s="2987">
        <v>2</v>
      </c>
      <c r="G1418" s="2987">
        <v>2103</v>
      </c>
      <c r="H1418" s="2987" t="s">
        <v>4885</v>
      </c>
      <c r="I1418" s="2987" t="s">
        <v>3486</v>
      </c>
      <c r="J1418" s="2987" t="s">
        <v>3599</v>
      </c>
      <c r="K1418" s="2988">
        <v>96.17</v>
      </c>
    </row>
    <row r="1419" spans="2:11" ht="18" customHeight="1">
      <c r="B1419" s="2986">
        <v>1380</v>
      </c>
      <c r="C1419" s="2987" t="s">
        <v>3482</v>
      </c>
      <c r="D1419" s="2987" t="s">
        <v>3594</v>
      </c>
      <c r="E1419" s="2987" t="s">
        <v>4746</v>
      </c>
      <c r="F1419" s="2987">
        <v>2</v>
      </c>
      <c r="G1419" s="2987">
        <v>2104</v>
      </c>
      <c r="H1419" s="2987" t="s">
        <v>4886</v>
      </c>
      <c r="I1419" s="2987" t="s">
        <v>3486</v>
      </c>
      <c r="J1419" s="2987" t="s">
        <v>3597</v>
      </c>
      <c r="K1419" s="2988">
        <v>128.26</v>
      </c>
    </row>
    <row r="1420" spans="2:11" ht="18" customHeight="1">
      <c r="B1420" s="2986">
        <v>1381</v>
      </c>
      <c r="C1420" s="2987" t="s">
        <v>3482</v>
      </c>
      <c r="D1420" s="2987" t="s">
        <v>3594</v>
      </c>
      <c r="E1420" s="2987" t="s">
        <v>4746</v>
      </c>
      <c r="F1420" s="2987">
        <v>2</v>
      </c>
      <c r="G1420" s="2987">
        <v>301</v>
      </c>
      <c r="H1420" s="2987" t="s">
        <v>4887</v>
      </c>
      <c r="I1420" s="2987" t="s">
        <v>3486</v>
      </c>
      <c r="J1420" s="2987" t="s">
        <v>3602</v>
      </c>
      <c r="K1420" s="2988">
        <v>111.01</v>
      </c>
    </row>
    <row r="1421" spans="2:11" ht="18" customHeight="1">
      <c r="B1421" s="2986">
        <v>1382</v>
      </c>
      <c r="C1421" s="2987" t="s">
        <v>3482</v>
      </c>
      <c r="D1421" s="2987" t="s">
        <v>3594</v>
      </c>
      <c r="E1421" s="2987" t="s">
        <v>4746</v>
      </c>
      <c r="F1421" s="2987">
        <v>2</v>
      </c>
      <c r="G1421" s="2987">
        <v>302</v>
      </c>
      <c r="H1421" s="2987" t="s">
        <v>4888</v>
      </c>
      <c r="I1421" s="2987" t="s">
        <v>3486</v>
      </c>
      <c r="J1421" s="2987" t="s">
        <v>3599</v>
      </c>
      <c r="K1421" s="2988">
        <v>96.17</v>
      </c>
    </row>
    <row r="1422" spans="2:11" ht="18" customHeight="1">
      <c r="B1422" s="2986">
        <v>1383</v>
      </c>
      <c r="C1422" s="2987" t="s">
        <v>3482</v>
      </c>
      <c r="D1422" s="2987" t="s">
        <v>3594</v>
      </c>
      <c r="E1422" s="2987" t="s">
        <v>4746</v>
      </c>
      <c r="F1422" s="2987">
        <v>2</v>
      </c>
      <c r="G1422" s="2987">
        <v>303</v>
      </c>
      <c r="H1422" s="2987" t="s">
        <v>4889</v>
      </c>
      <c r="I1422" s="2987" t="s">
        <v>3486</v>
      </c>
      <c r="J1422" s="2987" t="s">
        <v>3599</v>
      </c>
      <c r="K1422" s="2988">
        <v>96.17</v>
      </c>
    </row>
    <row r="1423" spans="2:11" ht="18" customHeight="1">
      <c r="B1423" s="2986">
        <v>1384</v>
      </c>
      <c r="C1423" s="2987" t="s">
        <v>3482</v>
      </c>
      <c r="D1423" s="2987" t="s">
        <v>3594</v>
      </c>
      <c r="E1423" s="2987" t="s">
        <v>4746</v>
      </c>
      <c r="F1423" s="2987">
        <v>2</v>
      </c>
      <c r="G1423" s="2987">
        <v>304</v>
      </c>
      <c r="H1423" s="2987" t="s">
        <v>4890</v>
      </c>
      <c r="I1423" s="2987" t="s">
        <v>3486</v>
      </c>
      <c r="J1423" s="2987" t="s">
        <v>3597</v>
      </c>
      <c r="K1423" s="2988">
        <v>128.26</v>
      </c>
    </row>
    <row r="1424" spans="2:11" ht="18" customHeight="1">
      <c r="B1424" s="2986">
        <v>1385</v>
      </c>
      <c r="C1424" s="2987" t="s">
        <v>3482</v>
      </c>
      <c r="D1424" s="2987" t="s">
        <v>3594</v>
      </c>
      <c r="E1424" s="2987" t="s">
        <v>4746</v>
      </c>
      <c r="F1424" s="2987">
        <v>2</v>
      </c>
      <c r="G1424" s="2987">
        <v>401</v>
      </c>
      <c r="H1424" s="2987" t="s">
        <v>4891</v>
      </c>
      <c r="I1424" s="2987" t="s">
        <v>3486</v>
      </c>
      <c r="J1424" s="2987" t="s">
        <v>3602</v>
      </c>
      <c r="K1424" s="2988">
        <v>111.01</v>
      </c>
    </row>
    <row r="1425" spans="2:11" ht="18" customHeight="1">
      <c r="B1425" s="2986">
        <v>1386</v>
      </c>
      <c r="C1425" s="2987" t="s">
        <v>3482</v>
      </c>
      <c r="D1425" s="2987" t="s">
        <v>3594</v>
      </c>
      <c r="E1425" s="2987" t="s">
        <v>4746</v>
      </c>
      <c r="F1425" s="2987">
        <v>2</v>
      </c>
      <c r="G1425" s="2987">
        <v>402</v>
      </c>
      <c r="H1425" s="2987" t="s">
        <v>4892</v>
      </c>
      <c r="I1425" s="2987" t="s">
        <v>3486</v>
      </c>
      <c r="J1425" s="2987" t="s">
        <v>3599</v>
      </c>
      <c r="K1425" s="2988">
        <v>96.17</v>
      </c>
    </row>
    <row r="1426" spans="2:11" ht="18" customHeight="1">
      <c r="B1426" s="2986">
        <v>1387</v>
      </c>
      <c r="C1426" s="2987" t="s">
        <v>3482</v>
      </c>
      <c r="D1426" s="2987" t="s">
        <v>3594</v>
      </c>
      <c r="E1426" s="2987" t="s">
        <v>4746</v>
      </c>
      <c r="F1426" s="2987">
        <v>2</v>
      </c>
      <c r="G1426" s="2987">
        <v>403</v>
      </c>
      <c r="H1426" s="2987" t="s">
        <v>4893</v>
      </c>
      <c r="I1426" s="2987" t="s">
        <v>3486</v>
      </c>
      <c r="J1426" s="2987" t="s">
        <v>3599</v>
      </c>
      <c r="K1426" s="2988">
        <v>96.17</v>
      </c>
    </row>
    <row r="1427" spans="2:11" ht="18" customHeight="1">
      <c r="B1427" s="2986">
        <v>1388</v>
      </c>
      <c r="C1427" s="2987" t="s">
        <v>3482</v>
      </c>
      <c r="D1427" s="2987" t="s">
        <v>3594</v>
      </c>
      <c r="E1427" s="2987" t="s">
        <v>4746</v>
      </c>
      <c r="F1427" s="2987">
        <v>2</v>
      </c>
      <c r="G1427" s="2987">
        <v>404</v>
      </c>
      <c r="H1427" s="2987" t="s">
        <v>4894</v>
      </c>
      <c r="I1427" s="2987" t="s">
        <v>3486</v>
      </c>
      <c r="J1427" s="2987" t="s">
        <v>3597</v>
      </c>
      <c r="K1427" s="2988">
        <v>128.26</v>
      </c>
    </row>
    <row r="1428" spans="2:11" ht="18" customHeight="1">
      <c r="B1428" s="2986">
        <v>1389</v>
      </c>
      <c r="C1428" s="2987" t="s">
        <v>3482</v>
      </c>
      <c r="D1428" s="2987" t="s">
        <v>3594</v>
      </c>
      <c r="E1428" s="2987" t="s">
        <v>4746</v>
      </c>
      <c r="F1428" s="2987">
        <v>2</v>
      </c>
      <c r="G1428" s="2987">
        <v>501</v>
      </c>
      <c r="H1428" s="2987" t="s">
        <v>4895</v>
      </c>
      <c r="I1428" s="2987" t="s">
        <v>3486</v>
      </c>
      <c r="J1428" s="2987" t="s">
        <v>3602</v>
      </c>
      <c r="K1428" s="2988">
        <v>111.01</v>
      </c>
    </row>
    <row r="1429" spans="2:11" ht="18" customHeight="1">
      <c r="B1429" s="2986">
        <v>1390</v>
      </c>
      <c r="C1429" s="2987" t="s">
        <v>3482</v>
      </c>
      <c r="D1429" s="2987" t="s">
        <v>3594</v>
      </c>
      <c r="E1429" s="2987" t="s">
        <v>4746</v>
      </c>
      <c r="F1429" s="2987">
        <v>2</v>
      </c>
      <c r="G1429" s="2987">
        <v>502</v>
      </c>
      <c r="H1429" s="2987" t="s">
        <v>4896</v>
      </c>
      <c r="I1429" s="2987" t="s">
        <v>3486</v>
      </c>
      <c r="J1429" s="2987" t="s">
        <v>3599</v>
      </c>
      <c r="K1429" s="2988">
        <v>96.17</v>
      </c>
    </row>
    <row r="1430" spans="2:11" ht="18" customHeight="1">
      <c r="B1430" s="2986">
        <v>1391</v>
      </c>
      <c r="C1430" s="2987" t="s">
        <v>3482</v>
      </c>
      <c r="D1430" s="2987" t="s">
        <v>3594</v>
      </c>
      <c r="E1430" s="2987" t="s">
        <v>4746</v>
      </c>
      <c r="F1430" s="2987">
        <v>2</v>
      </c>
      <c r="G1430" s="2987">
        <v>503</v>
      </c>
      <c r="H1430" s="2987" t="s">
        <v>4897</v>
      </c>
      <c r="I1430" s="2987" t="s">
        <v>3486</v>
      </c>
      <c r="J1430" s="2987" t="s">
        <v>3599</v>
      </c>
      <c r="K1430" s="2988">
        <v>96.17</v>
      </c>
    </row>
    <row r="1431" spans="2:11" ht="18" customHeight="1">
      <c r="B1431" s="2986">
        <v>1392</v>
      </c>
      <c r="C1431" s="2987" t="s">
        <v>3482</v>
      </c>
      <c r="D1431" s="2987" t="s">
        <v>3594</v>
      </c>
      <c r="E1431" s="2987" t="s">
        <v>4746</v>
      </c>
      <c r="F1431" s="2987">
        <v>2</v>
      </c>
      <c r="G1431" s="2987">
        <v>504</v>
      </c>
      <c r="H1431" s="2987" t="s">
        <v>4898</v>
      </c>
      <c r="I1431" s="2987" t="s">
        <v>3486</v>
      </c>
      <c r="J1431" s="2987" t="s">
        <v>3597</v>
      </c>
      <c r="K1431" s="2988">
        <v>128.26</v>
      </c>
    </row>
    <row r="1432" spans="2:11" ht="18" customHeight="1">
      <c r="B1432" s="2986">
        <v>1393</v>
      </c>
      <c r="C1432" s="2987" t="s">
        <v>3482</v>
      </c>
      <c r="D1432" s="2987" t="s">
        <v>3594</v>
      </c>
      <c r="E1432" s="2987" t="s">
        <v>4746</v>
      </c>
      <c r="F1432" s="2987">
        <v>2</v>
      </c>
      <c r="G1432" s="2987">
        <v>601</v>
      </c>
      <c r="H1432" s="2987" t="s">
        <v>4899</v>
      </c>
      <c r="I1432" s="2987" t="s">
        <v>3486</v>
      </c>
      <c r="J1432" s="2987" t="s">
        <v>3602</v>
      </c>
      <c r="K1432" s="2988">
        <v>111.01</v>
      </c>
    </row>
    <row r="1433" spans="2:11" ht="18" customHeight="1">
      <c r="B1433" s="2986">
        <v>1394</v>
      </c>
      <c r="C1433" s="2987" t="s">
        <v>3482</v>
      </c>
      <c r="D1433" s="2987" t="s">
        <v>3594</v>
      </c>
      <c r="E1433" s="2987" t="s">
        <v>4746</v>
      </c>
      <c r="F1433" s="2987">
        <v>2</v>
      </c>
      <c r="G1433" s="2987">
        <v>602</v>
      </c>
      <c r="H1433" s="2987" t="s">
        <v>4900</v>
      </c>
      <c r="I1433" s="2987" t="s">
        <v>3486</v>
      </c>
      <c r="J1433" s="2987" t="s">
        <v>3599</v>
      </c>
      <c r="K1433" s="2988">
        <v>96.17</v>
      </c>
    </row>
    <row r="1434" spans="2:11" ht="18" customHeight="1">
      <c r="B1434" s="2986">
        <v>1395</v>
      </c>
      <c r="C1434" s="2987" t="s">
        <v>3482</v>
      </c>
      <c r="D1434" s="2987" t="s">
        <v>3594</v>
      </c>
      <c r="E1434" s="2987" t="s">
        <v>4746</v>
      </c>
      <c r="F1434" s="2987">
        <v>2</v>
      </c>
      <c r="G1434" s="2987">
        <v>603</v>
      </c>
      <c r="H1434" s="2987" t="s">
        <v>4901</v>
      </c>
      <c r="I1434" s="2987" t="s">
        <v>3486</v>
      </c>
      <c r="J1434" s="2987" t="s">
        <v>3599</v>
      </c>
      <c r="K1434" s="2988">
        <v>96.17</v>
      </c>
    </row>
    <row r="1435" spans="2:11" ht="18" customHeight="1">
      <c r="B1435" s="2986">
        <v>1396</v>
      </c>
      <c r="C1435" s="2987" t="s">
        <v>3482</v>
      </c>
      <c r="D1435" s="2987" t="s">
        <v>3594</v>
      </c>
      <c r="E1435" s="2987" t="s">
        <v>4746</v>
      </c>
      <c r="F1435" s="2987">
        <v>2</v>
      </c>
      <c r="G1435" s="2987">
        <v>604</v>
      </c>
      <c r="H1435" s="2987" t="s">
        <v>4902</v>
      </c>
      <c r="I1435" s="2987" t="s">
        <v>3486</v>
      </c>
      <c r="J1435" s="2987" t="s">
        <v>3597</v>
      </c>
      <c r="K1435" s="2988">
        <v>128.26</v>
      </c>
    </row>
    <row r="1436" spans="2:11" ht="18" customHeight="1">
      <c r="B1436" s="2986">
        <v>1397</v>
      </c>
      <c r="C1436" s="2987" t="s">
        <v>3482</v>
      </c>
      <c r="D1436" s="2987" t="s">
        <v>3594</v>
      </c>
      <c r="E1436" s="2987" t="s">
        <v>4746</v>
      </c>
      <c r="F1436" s="2987">
        <v>2</v>
      </c>
      <c r="G1436" s="2987">
        <v>701</v>
      </c>
      <c r="H1436" s="2987" t="s">
        <v>4903</v>
      </c>
      <c r="I1436" s="2987" t="s">
        <v>3486</v>
      </c>
      <c r="J1436" s="2987" t="s">
        <v>3602</v>
      </c>
      <c r="K1436" s="2988">
        <v>111.01</v>
      </c>
    </row>
    <row r="1437" spans="2:11" ht="18" customHeight="1">
      <c r="B1437" s="2986">
        <v>1398</v>
      </c>
      <c r="C1437" s="2987" t="s">
        <v>3482</v>
      </c>
      <c r="D1437" s="2987" t="s">
        <v>3594</v>
      </c>
      <c r="E1437" s="2987" t="s">
        <v>4746</v>
      </c>
      <c r="F1437" s="2987">
        <v>2</v>
      </c>
      <c r="G1437" s="2987">
        <v>702</v>
      </c>
      <c r="H1437" s="2987" t="s">
        <v>4904</v>
      </c>
      <c r="I1437" s="2987" t="s">
        <v>3486</v>
      </c>
      <c r="J1437" s="2987" t="s">
        <v>3599</v>
      </c>
      <c r="K1437" s="2988">
        <v>96.17</v>
      </c>
    </row>
    <row r="1438" spans="2:11" ht="18" customHeight="1">
      <c r="B1438" s="2986">
        <v>1399</v>
      </c>
      <c r="C1438" s="2987" t="s">
        <v>3482</v>
      </c>
      <c r="D1438" s="2987" t="s">
        <v>3594</v>
      </c>
      <c r="E1438" s="2987" t="s">
        <v>4746</v>
      </c>
      <c r="F1438" s="2987">
        <v>2</v>
      </c>
      <c r="G1438" s="2987">
        <v>703</v>
      </c>
      <c r="H1438" s="2987" t="s">
        <v>4905</v>
      </c>
      <c r="I1438" s="2987" t="s">
        <v>3486</v>
      </c>
      <c r="J1438" s="2987" t="s">
        <v>3599</v>
      </c>
      <c r="K1438" s="2988">
        <v>96.17</v>
      </c>
    </row>
    <row r="1439" spans="2:11" ht="18" customHeight="1">
      <c r="B1439" s="2986">
        <v>1400</v>
      </c>
      <c r="C1439" s="2987" t="s">
        <v>3482</v>
      </c>
      <c r="D1439" s="2987" t="s">
        <v>3594</v>
      </c>
      <c r="E1439" s="2987" t="s">
        <v>4746</v>
      </c>
      <c r="F1439" s="2987">
        <v>2</v>
      </c>
      <c r="G1439" s="2987">
        <v>704</v>
      </c>
      <c r="H1439" s="2987" t="s">
        <v>4906</v>
      </c>
      <c r="I1439" s="2987" t="s">
        <v>3486</v>
      </c>
      <c r="J1439" s="2987" t="s">
        <v>3597</v>
      </c>
      <c r="K1439" s="2988">
        <v>128.26</v>
      </c>
    </row>
    <row r="1440" spans="2:11" ht="18" customHeight="1">
      <c r="B1440" s="2986">
        <v>1401</v>
      </c>
      <c r="C1440" s="2987" t="s">
        <v>3482</v>
      </c>
      <c r="D1440" s="2987" t="s">
        <v>3594</v>
      </c>
      <c r="E1440" s="2987" t="s">
        <v>4746</v>
      </c>
      <c r="F1440" s="2987">
        <v>2</v>
      </c>
      <c r="G1440" s="2987">
        <v>801</v>
      </c>
      <c r="H1440" s="2987" t="s">
        <v>4907</v>
      </c>
      <c r="I1440" s="2987" t="s">
        <v>3486</v>
      </c>
      <c r="J1440" s="2987" t="s">
        <v>3602</v>
      </c>
      <c r="K1440" s="2988">
        <v>111.01</v>
      </c>
    </row>
    <row r="1441" spans="2:11" ht="18" customHeight="1">
      <c r="B1441" s="2986">
        <v>1402</v>
      </c>
      <c r="C1441" s="2987" t="s">
        <v>3482</v>
      </c>
      <c r="D1441" s="2987" t="s">
        <v>3594</v>
      </c>
      <c r="E1441" s="2987" t="s">
        <v>4746</v>
      </c>
      <c r="F1441" s="2987">
        <v>2</v>
      </c>
      <c r="G1441" s="2987">
        <v>802</v>
      </c>
      <c r="H1441" s="2987" t="s">
        <v>4908</v>
      </c>
      <c r="I1441" s="2987" t="s">
        <v>3486</v>
      </c>
      <c r="J1441" s="2987" t="s">
        <v>3599</v>
      </c>
      <c r="K1441" s="2988">
        <v>96.17</v>
      </c>
    </row>
    <row r="1442" spans="2:11" ht="18" customHeight="1">
      <c r="B1442" s="2986">
        <v>1403</v>
      </c>
      <c r="C1442" s="2987" t="s">
        <v>3482</v>
      </c>
      <c r="D1442" s="2987" t="s">
        <v>3594</v>
      </c>
      <c r="E1442" s="2987" t="s">
        <v>4746</v>
      </c>
      <c r="F1442" s="2987">
        <v>2</v>
      </c>
      <c r="G1442" s="2987">
        <v>803</v>
      </c>
      <c r="H1442" s="2987" t="s">
        <v>4909</v>
      </c>
      <c r="I1442" s="2987" t="s">
        <v>3486</v>
      </c>
      <c r="J1442" s="2987" t="s">
        <v>3599</v>
      </c>
      <c r="K1442" s="2988">
        <v>96.17</v>
      </c>
    </row>
    <row r="1443" spans="2:11" ht="18" customHeight="1">
      <c r="B1443" s="2986">
        <v>1404</v>
      </c>
      <c r="C1443" s="2987" t="s">
        <v>3482</v>
      </c>
      <c r="D1443" s="2987" t="s">
        <v>3594</v>
      </c>
      <c r="E1443" s="2987" t="s">
        <v>4746</v>
      </c>
      <c r="F1443" s="2987">
        <v>2</v>
      </c>
      <c r="G1443" s="2987">
        <v>804</v>
      </c>
      <c r="H1443" s="2987" t="s">
        <v>4910</v>
      </c>
      <c r="I1443" s="2987" t="s">
        <v>3486</v>
      </c>
      <c r="J1443" s="2987" t="s">
        <v>3597</v>
      </c>
      <c r="K1443" s="2988">
        <v>128.26</v>
      </c>
    </row>
    <row r="1444" spans="2:11" ht="18" customHeight="1">
      <c r="B1444" s="2986">
        <v>1405</v>
      </c>
      <c r="C1444" s="2987" t="s">
        <v>3482</v>
      </c>
      <c r="D1444" s="2987" t="s">
        <v>3594</v>
      </c>
      <c r="E1444" s="2987" t="s">
        <v>4746</v>
      </c>
      <c r="F1444" s="2987">
        <v>2</v>
      </c>
      <c r="G1444" s="2987">
        <v>901</v>
      </c>
      <c r="H1444" s="2987" t="s">
        <v>4911</v>
      </c>
      <c r="I1444" s="2987" t="s">
        <v>3486</v>
      </c>
      <c r="J1444" s="2987" t="s">
        <v>3602</v>
      </c>
      <c r="K1444" s="2988">
        <v>111.01</v>
      </c>
    </row>
    <row r="1445" spans="2:11" ht="18" customHeight="1">
      <c r="B1445" s="2986">
        <v>1406</v>
      </c>
      <c r="C1445" s="2987" t="s">
        <v>3482</v>
      </c>
      <c r="D1445" s="2987" t="s">
        <v>3594</v>
      </c>
      <c r="E1445" s="2987" t="s">
        <v>4746</v>
      </c>
      <c r="F1445" s="2987">
        <v>2</v>
      </c>
      <c r="G1445" s="2987">
        <v>902</v>
      </c>
      <c r="H1445" s="2987" t="s">
        <v>4912</v>
      </c>
      <c r="I1445" s="2987" t="s">
        <v>3486</v>
      </c>
      <c r="J1445" s="2987" t="s">
        <v>3599</v>
      </c>
      <c r="K1445" s="2988">
        <v>96.17</v>
      </c>
    </row>
    <row r="1446" spans="2:11" ht="18" customHeight="1">
      <c r="B1446" s="2986">
        <v>1407</v>
      </c>
      <c r="C1446" s="2987" t="s">
        <v>3482</v>
      </c>
      <c r="D1446" s="2987" t="s">
        <v>3594</v>
      </c>
      <c r="E1446" s="2987" t="s">
        <v>4746</v>
      </c>
      <c r="F1446" s="2987">
        <v>2</v>
      </c>
      <c r="G1446" s="2987">
        <v>903</v>
      </c>
      <c r="H1446" s="2987" t="s">
        <v>4913</v>
      </c>
      <c r="I1446" s="2987" t="s">
        <v>3486</v>
      </c>
      <c r="J1446" s="2987" t="s">
        <v>3599</v>
      </c>
      <c r="K1446" s="2988">
        <v>96.17</v>
      </c>
    </row>
    <row r="1447" spans="2:11" ht="18" customHeight="1">
      <c r="B1447" s="2986">
        <v>1408</v>
      </c>
      <c r="C1447" s="2987" t="s">
        <v>3482</v>
      </c>
      <c r="D1447" s="2987" t="s">
        <v>3594</v>
      </c>
      <c r="E1447" s="2987" t="s">
        <v>4746</v>
      </c>
      <c r="F1447" s="2987">
        <v>2</v>
      </c>
      <c r="G1447" s="2987">
        <v>904</v>
      </c>
      <c r="H1447" s="2987" t="s">
        <v>4914</v>
      </c>
      <c r="I1447" s="2987" t="s">
        <v>3486</v>
      </c>
      <c r="J1447" s="2987" t="s">
        <v>3597</v>
      </c>
      <c r="K1447" s="2988">
        <v>128.26</v>
      </c>
    </row>
    <row r="1448" spans="2:11" s="3021" customFormat="1" ht="18" customHeight="1">
      <c r="B1448" s="3018"/>
      <c r="C1448" s="3019"/>
      <c r="D1448" s="3019"/>
      <c r="E1448" s="3019"/>
      <c r="F1448" s="3019"/>
      <c r="G1448" s="3019"/>
      <c r="H1448" s="3019"/>
      <c r="I1448" s="3019"/>
      <c r="J1448" s="3019"/>
      <c r="K1448" s="3020">
        <f>SUM(K1280:K1447)</f>
        <v>18127.619999999992</v>
      </c>
    </row>
    <row r="1449" spans="2:11" ht="18" customHeight="1">
      <c r="B1449" s="2986">
        <v>1623</v>
      </c>
      <c r="C1449" s="2987" t="s">
        <v>4994</v>
      </c>
      <c r="D1449" s="2987" t="s">
        <v>3594</v>
      </c>
      <c r="E1449" s="2987" t="s">
        <v>4997</v>
      </c>
      <c r="F1449" s="2987"/>
      <c r="G1449" s="2987">
        <v>1001</v>
      </c>
      <c r="H1449" s="2987" t="s">
        <v>4998</v>
      </c>
      <c r="I1449" s="2987" t="s">
        <v>3486</v>
      </c>
      <c r="J1449" s="2987" t="s">
        <v>3602</v>
      </c>
      <c r="K1449" s="2988">
        <v>111.08</v>
      </c>
    </row>
    <row r="1450" spans="2:11" ht="18" customHeight="1">
      <c r="B1450" s="2986">
        <v>1624</v>
      </c>
      <c r="C1450" s="2987" t="s">
        <v>4994</v>
      </c>
      <c r="D1450" s="2987" t="s">
        <v>3594</v>
      </c>
      <c r="E1450" s="2987" t="s">
        <v>4997</v>
      </c>
      <c r="F1450" s="2987"/>
      <c r="G1450" s="2987">
        <v>1002</v>
      </c>
      <c r="H1450" s="2987" t="s">
        <v>4999</v>
      </c>
      <c r="I1450" s="2987" t="s">
        <v>3486</v>
      </c>
      <c r="J1450" s="2987" t="s">
        <v>3599</v>
      </c>
      <c r="K1450" s="2988">
        <v>96.23</v>
      </c>
    </row>
    <row r="1451" spans="2:11" ht="18" customHeight="1">
      <c r="B1451" s="2986">
        <v>1625</v>
      </c>
      <c r="C1451" s="2987" t="s">
        <v>4994</v>
      </c>
      <c r="D1451" s="2987" t="s">
        <v>3594</v>
      </c>
      <c r="E1451" s="2987" t="s">
        <v>4997</v>
      </c>
      <c r="F1451" s="2987"/>
      <c r="G1451" s="2987">
        <v>1003</v>
      </c>
      <c r="H1451" s="2987" t="s">
        <v>5000</v>
      </c>
      <c r="I1451" s="2987" t="s">
        <v>3486</v>
      </c>
      <c r="J1451" s="2987" t="s">
        <v>3599</v>
      </c>
      <c r="K1451" s="2988">
        <v>96.23</v>
      </c>
    </row>
    <row r="1452" spans="2:11" ht="18" customHeight="1">
      <c r="B1452" s="2986">
        <v>1626</v>
      </c>
      <c r="C1452" s="2987" t="s">
        <v>4994</v>
      </c>
      <c r="D1452" s="2987" t="s">
        <v>3594</v>
      </c>
      <c r="E1452" s="2987" t="s">
        <v>4997</v>
      </c>
      <c r="F1452" s="2987"/>
      <c r="G1452" s="2987">
        <v>1004</v>
      </c>
      <c r="H1452" s="2987" t="s">
        <v>5001</v>
      </c>
      <c r="I1452" s="2987" t="s">
        <v>3486</v>
      </c>
      <c r="J1452" s="2987" t="s">
        <v>3597</v>
      </c>
      <c r="K1452" s="2988">
        <v>128.34</v>
      </c>
    </row>
    <row r="1453" spans="2:11" ht="18" customHeight="1">
      <c r="B1453" s="2986">
        <v>1627</v>
      </c>
      <c r="C1453" s="2987" t="s">
        <v>4994</v>
      </c>
      <c r="D1453" s="2987" t="s">
        <v>3594</v>
      </c>
      <c r="E1453" s="2987" t="s">
        <v>4997</v>
      </c>
      <c r="F1453" s="2987"/>
      <c r="G1453" s="2987">
        <v>101</v>
      </c>
      <c r="H1453" s="2987" t="s">
        <v>5002</v>
      </c>
      <c r="I1453" s="2987" t="s">
        <v>3486</v>
      </c>
      <c r="J1453" s="2987" t="s">
        <v>3602</v>
      </c>
      <c r="K1453" s="2988">
        <v>111.08</v>
      </c>
    </row>
    <row r="1454" spans="2:11" ht="18" customHeight="1">
      <c r="B1454" s="2986">
        <v>1628</v>
      </c>
      <c r="C1454" s="2987" t="s">
        <v>4994</v>
      </c>
      <c r="D1454" s="2987" t="s">
        <v>3594</v>
      </c>
      <c r="E1454" s="2987" t="s">
        <v>4997</v>
      </c>
      <c r="F1454" s="2987"/>
      <c r="G1454" s="2987">
        <v>102</v>
      </c>
      <c r="H1454" s="2987" t="s">
        <v>5003</v>
      </c>
      <c r="I1454" s="2987" t="s">
        <v>3486</v>
      </c>
      <c r="J1454" s="2987" t="s">
        <v>3599</v>
      </c>
      <c r="K1454" s="2988">
        <v>96.23</v>
      </c>
    </row>
    <row r="1455" spans="2:11" ht="18" customHeight="1">
      <c r="B1455" s="2986">
        <v>1629</v>
      </c>
      <c r="C1455" s="2987" t="s">
        <v>4994</v>
      </c>
      <c r="D1455" s="2987" t="s">
        <v>3594</v>
      </c>
      <c r="E1455" s="2987" t="s">
        <v>4997</v>
      </c>
      <c r="F1455" s="2987"/>
      <c r="G1455" s="2987">
        <v>103</v>
      </c>
      <c r="H1455" s="2987" t="s">
        <v>5004</v>
      </c>
      <c r="I1455" s="2987" t="s">
        <v>3486</v>
      </c>
      <c r="J1455" s="2987" t="s">
        <v>3599</v>
      </c>
      <c r="K1455" s="2988">
        <v>96.23</v>
      </c>
    </row>
    <row r="1456" spans="2:11" ht="18" customHeight="1">
      <c r="B1456" s="2986">
        <v>1630</v>
      </c>
      <c r="C1456" s="2987" t="s">
        <v>4994</v>
      </c>
      <c r="D1456" s="2987" t="s">
        <v>3594</v>
      </c>
      <c r="E1456" s="2987" t="s">
        <v>4997</v>
      </c>
      <c r="F1456" s="2987"/>
      <c r="G1456" s="2987">
        <v>104</v>
      </c>
      <c r="H1456" s="2987" t="s">
        <v>5005</v>
      </c>
      <c r="I1456" s="2987" t="s">
        <v>3486</v>
      </c>
      <c r="J1456" s="2987" t="s">
        <v>3597</v>
      </c>
      <c r="K1456" s="2988">
        <v>128.34</v>
      </c>
    </row>
    <row r="1457" spans="2:11" ht="18" customHeight="1">
      <c r="B1457" s="2986">
        <v>1631</v>
      </c>
      <c r="C1457" s="2987" t="s">
        <v>4994</v>
      </c>
      <c r="D1457" s="2987" t="s">
        <v>3594</v>
      </c>
      <c r="E1457" s="2987" t="s">
        <v>4997</v>
      </c>
      <c r="F1457" s="2987"/>
      <c r="G1457" s="2987">
        <v>1101</v>
      </c>
      <c r="H1457" s="2987" t="s">
        <v>5006</v>
      </c>
      <c r="I1457" s="2987" t="s">
        <v>3486</v>
      </c>
      <c r="J1457" s="2987" t="s">
        <v>3602</v>
      </c>
      <c r="K1457" s="2988">
        <v>111.08</v>
      </c>
    </row>
    <row r="1458" spans="2:11" ht="18" customHeight="1">
      <c r="B1458" s="2986">
        <v>1632</v>
      </c>
      <c r="C1458" s="2987" t="s">
        <v>4994</v>
      </c>
      <c r="D1458" s="2987" t="s">
        <v>3594</v>
      </c>
      <c r="E1458" s="2987" t="s">
        <v>4997</v>
      </c>
      <c r="F1458" s="2987"/>
      <c r="G1458" s="2987">
        <v>1102</v>
      </c>
      <c r="H1458" s="2987" t="s">
        <v>5007</v>
      </c>
      <c r="I1458" s="2987" t="s">
        <v>3486</v>
      </c>
      <c r="J1458" s="2987" t="s">
        <v>3599</v>
      </c>
      <c r="K1458" s="2988">
        <v>96.23</v>
      </c>
    </row>
    <row r="1459" spans="2:11" ht="18" customHeight="1">
      <c r="B1459" s="2986">
        <v>1633</v>
      </c>
      <c r="C1459" s="2987" t="s">
        <v>4994</v>
      </c>
      <c r="D1459" s="2987" t="s">
        <v>3594</v>
      </c>
      <c r="E1459" s="2987" t="s">
        <v>4997</v>
      </c>
      <c r="F1459" s="2987"/>
      <c r="G1459" s="2987">
        <v>1103</v>
      </c>
      <c r="H1459" s="2987" t="s">
        <v>5008</v>
      </c>
      <c r="I1459" s="2987" t="s">
        <v>3486</v>
      </c>
      <c r="J1459" s="2987" t="s">
        <v>3599</v>
      </c>
      <c r="K1459" s="2988">
        <v>96.23</v>
      </c>
    </row>
    <row r="1460" spans="2:11" ht="18" customHeight="1">
      <c r="B1460" s="2986">
        <v>1634</v>
      </c>
      <c r="C1460" s="2987" t="s">
        <v>4994</v>
      </c>
      <c r="D1460" s="2987" t="s">
        <v>3594</v>
      </c>
      <c r="E1460" s="2987" t="s">
        <v>4997</v>
      </c>
      <c r="F1460" s="2987"/>
      <c r="G1460" s="2987">
        <v>1104</v>
      </c>
      <c r="H1460" s="2987" t="s">
        <v>5009</v>
      </c>
      <c r="I1460" s="2987" t="s">
        <v>3486</v>
      </c>
      <c r="J1460" s="2987" t="s">
        <v>3597</v>
      </c>
      <c r="K1460" s="2988">
        <v>128.34</v>
      </c>
    </row>
    <row r="1461" spans="2:11" ht="18" customHeight="1">
      <c r="B1461" s="2986">
        <v>1635</v>
      </c>
      <c r="C1461" s="2987" t="s">
        <v>4994</v>
      </c>
      <c r="D1461" s="2987" t="s">
        <v>3594</v>
      </c>
      <c r="E1461" s="2987" t="s">
        <v>4997</v>
      </c>
      <c r="F1461" s="2987"/>
      <c r="G1461" s="2987">
        <v>1201</v>
      </c>
      <c r="H1461" s="2987" t="s">
        <v>5010</v>
      </c>
      <c r="I1461" s="2987" t="s">
        <v>3486</v>
      </c>
      <c r="J1461" s="2987" t="s">
        <v>3602</v>
      </c>
      <c r="K1461" s="2988">
        <v>111.08</v>
      </c>
    </row>
    <row r="1462" spans="2:11" ht="18" customHeight="1">
      <c r="B1462" s="2986">
        <v>1636</v>
      </c>
      <c r="C1462" s="2987" t="s">
        <v>4994</v>
      </c>
      <c r="D1462" s="2987" t="s">
        <v>3594</v>
      </c>
      <c r="E1462" s="2987" t="s">
        <v>4997</v>
      </c>
      <c r="F1462" s="2987"/>
      <c r="G1462" s="2987">
        <v>1202</v>
      </c>
      <c r="H1462" s="2987" t="s">
        <v>5011</v>
      </c>
      <c r="I1462" s="2987" t="s">
        <v>3486</v>
      </c>
      <c r="J1462" s="2987" t="s">
        <v>3599</v>
      </c>
      <c r="K1462" s="2988">
        <v>96.23</v>
      </c>
    </row>
    <row r="1463" spans="2:11" ht="18" customHeight="1">
      <c r="B1463" s="2986">
        <v>1637</v>
      </c>
      <c r="C1463" s="2987" t="s">
        <v>4994</v>
      </c>
      <c r="D1463" s="2987" t="s">
        <v>3594</v>
      </c>
      <c r="E1463" s="2987" t="s">
        <v>4997</v>
      </c>
      <c r="F1463" s="2987"/>
      <c r="G1463" s="2987">
        <v>1203</v>
      </c>
      <c r="H1463" s="2987" t="s">
        <v>5012</v>
      </c>
      <c r="I1463" s="2987" t="s">
        <v>3486</v>
      </c>
      <c r="J1463" s="2987" t="s">
        <v>3599</v>
      </c>
      <c r="K1463" s="2988">
        <v>96.23</v>
      </c>
    </row>
    <row r="1464" spans="2:11" ht="18" customHeight="1">
      <c r="B1464" s="2986">
        <v>1638</v>
      </c>
      <c r="C1464" s="2987" t="s">
        <v>4994</v>
      </c>
      <c r="D1464" s="2987" t="s">
        <v>3594</v>
      </c>
      <c r="E1464" s="2987" t="s">
        <v>4997</v>
      </c>
      <c r="F1464" s="2987"/>
      <c r="G1464" s="2987">
        <v>1204</v>
      </c>
      <c r="H1464" s="2987" t="s">
        <v>5013</v>
      </c>
      <c r="I1464" s="2987" t="s">
        <v>3486</v>
      </c>
      <c r="J1464" s="2987" t="s">
        <v>3597</v>
      </c>
      <c r="K1464" s="2988">
        <v>128.34</v>
      </c>
    </row>
    <row r="1465" spans="2:11" ht="18" customHeight="1">
      <c r="B1465" s="2986">
        <v>1639</v>
      </c>
      <c r="C1465" s="2987" t="s">
        <v>4994</v>
      </c>
      <c r="D1465" s="2987" t="s">
        <v>3594</v>
      </c>
      <c r="E1465" s="2987" t="s">
        <v>4997</v>
      </c>
      <c r="F1465" s="2987"/>
      <c r="G1465" s="2987">
        <v>1301</v>
      </c>
      <c r="H1465" s="2987" t="s">
        <v>5014</v>
      </c>
      <c r="I1465" s="2987" t="s">
        <v>3486</v>
      </c>
      <c r="J1465" s="2987" t="s">
        <v>3602</v>
      </c>
      <c r="K1465" s="2988">
        <v>111.08</v>
      </c>
    </row>
    <row r="1466" spans="2:11" ht="18" customHeight="1">
      <c r="B1466" s="2986">
        <v>1640</v>
      </c>
      <c r="C1466" s="2987" t="s">
        <v>4994</v>
      </c>
      <c r="D1466" s="2987" t="s">
        <v>3594</v>
      </c>
      <c r="E1466" s="2987" t="s">
        <v>4997</v>
      </c>
      <c r="F1466" s="2987"/>
      <c r="G1466" s="2987">
        <v>1302</v>
      </c>
      <c r="H1466" s="2987" t="s">
        <v>5015</v>
      </c>
      <c r="I1466" s="2987" t="s">
        <v>3486</v>
      </c>
      <c r="J1466" s="2987" t="s">
        <v>3599</v>
      </c>
      <c r="K1466" s="2988">
        <v>96.23</v>
      </c>
    </row>
    <row r="1467" spans="2:11" ht="18" customHeight="1">
      <c r="B1467" s="2986">
        <v>1641</v>
      </c>
      <c r="C1467" s="2987" t="s">
        <v>4994</v>
      </c>
      <c r="D1467" s="2987" t="s">
        <v>3594</v>
      </c>
      <c r="E1467" s="2987" t="s">
        <v>4997</v>
      </c>
      <c r="F1467" s="2987"/>
      <c r="G1467" s="2987">
        <v>1303</v>
      </c>
      <c r="H1467" s="2987" t="s">
        <v>5016</v>
      </c>
      <c r="I1467" s="2987" t="s">
        <v>3486</v>
      </c>
      <c r="J1467" s="2987" t="s">
        <v>3599</v>
      </c>
      <c r="K1467" s="2988">
        <v>96.23</v>
      </c>
    </row>
    <row r="1468" spans="2:11" ht="18" customHeight="1">
      <c r="B1468" s="2986">
        <v>1642</v>
      </c>
      <c r="C1468" s="2987" t="s">
        <v>4994</v>
      </c>
      <c r="D1468" s="2987" t="s">
        <v>3594</v>
      </c>
      <c r="E1468" s="2987" t="s">
        <v>4997</v>
      </c>
      <c r="F1468" s="2987"/>
      <c r="G1468" s="2987">
        <v>1304</v>
      </c>
      <c r="H1468" s="2987" t="s">
        <v>5017</v>
      </c>
      <c r="I1468" s="2987" t="s">
        <v>3486</v>
      </c>
      <c r="J1468" s="2987" t="s">
        <v>3597</v>
      </c>
      <c r="K1468" s="2988">
        <v>128.34</v>
      </c>
    </row>
    <row r="1469" spans="2:11" ht="18" customHeight="1">
      <c r="B1469" s="2986">
        <v>1643</v>
      </c>
      <c r="C1469" s="2987" t="s">
        <v>4994</v>
      </c>
      <c r="D1469" s="2987" t="s">
        <v>3594</v>
      </c>
      <c r="E1469" s="2987" t="s">
        <v>4997</v>
      </c>
      <c r="F1469" s="2987"/>
      <c r="G1469" s="2987">
        <v>1401</v>
      </c>
      <c r="H1469" s="2987" t="s">
        <v>5018</v>
      </c>
      <c r="I1469" s="2987" t="s">
        <v>3486</v>
      </c>
      <c r="J1469" s="2987" t="s">
        <v>3602</v>
      </c>
      <c r="K1469" s="2988">
        <v>111.08</v>
      </c>
    </row>
    <row r="1470" spans="2:11" ht="18" customHeight="1">
      <c r="B1470" s="2986">
        <v>1644</v>
      </c>
      <c r="C1470" s="2987" t="s">
        <v>4994</v>
      </c>
      <c r="D1470" s="2987" t="s">
        <v>3594</v>
      </c>
      <c r="E1470" s="2987" t="s">
        <v>4997</v>
      </c>
      <c r="F1470" s="2987"/>
      <c r="G1470" s="2987">
        <v>1402</v>
      </c>
      <c r="H1470" s="2987" t="s">
        <v>5019</v>
      </c>
      <c r="I1470" s="2987" t="s">
        <v>3486</v>
      </c>
      <c r="J1470" s="2987" t="s">
        <v>3599</v>
      </c>
      <c r="K1470" s="2988">
        <v>96.23</v>
      </c>
    </row>
    <row r="1471" spans="2:11" ht="18" customHeight="1">
      <c r="B1471" s="2986">
        <v>1645</v>
      </c>
      <c r="C1471" s="2987" t="s">
        <v>4994</v>
      </c>
      <c r="D1471" s="2987" t="s">
        <v>3594</v>
      </c>
      <c r="E1471" s="2987" t="s">
        <v>4997</v>
      </c>
      <c r="F1471" s="2987"/>
      <c r="G1471" s="2987">
        <v>1403</v>
      </c>
      <c r="H1471" s="2987" t="s">
        <v>5020</v>
      </c>
      <c r="I1471" s="2987" t="s">
        <v>3486</v>
      </c>
      <c r="J1471" s="2987" t="s">
        <v>3599</v>
      </c>
      <c r="K1471" s="2988">
        <v>96.23</v>
      </c>
    </row>
    <row r="1472" spans="2:11" ht="18" customHeight="1">
      <c r="B1472" s="2986">
        <v>1646</v>
      </c>
      <c r="C1472" s="2987" t="s">
        <v>4994</v>
      </c>
      <c r="D1472" s="2987" t="s">
        <v>3594</v>
      </c>
      <c r="E1472" s="2987" t="s">
        <v>4997</v>
      </c>
      <c r="F1472" s="2987"/>
      <c r="G1472" s="2987">
        <v>1404</v>
      </c>
      <c r="H1472" s="2987" t="s">
        <v>5021</v>
      </c>
      <c r="I1472" s="2987" t="s">
        <v>3486</v>
      </c>
      <c r="J1472" s="2987" t="s">
        <v>3597</v>
      </c>
      <c r="K1472" s="2988">
        <v>128.34</v>
      </c>
    </row>
    <row r="1473" spans="2:11" ht="18" customHeight="1">
      <c r="B1473" s="2986">
        <v>1647</v>
      </c>
      <c r="C1473" s="2987" t="s">
        <v>4994</v>
      </c>
      <c r="D1473" s="2987" t="s">
        <v>3594</v>
      </c>
      <c r="E1473" s="2987" t="s">
        <v>4997</v>
      </c>
      <c r="F1473" s="2987"/>
      <c r="G1473" s="2987">
        <v>1501</v>
      </c>
      <c r="H1473" s="2987" t="s">
        <v>5022</v>
      </c>
      <c r="I1473" s="2987" t="s">
        <v>3486</v>
      </c>
      <c r="J1473" s="2987" t="s">
        <v>3602</v>
      </c>
      <c r="K1473" s="2988">
        <v>111.08</v>
      </c>
    </row>
    <row r="1474" spans="2:11" ht="18" customHeight="1">
      <c r="B1474" s="2986">
        <v>1648</v>
      </c>
      <c r="C1474" s="2987" t="s">
        <v>4994</v>
      </c>
      <c r="D1474" s="2987" t="s">
        <v>3594</v>
      </c>
      <c r="E1474" s="2987" t="s">
        <v>4997</v>
      </c>
      <c r="F1474" s="2987"/>
      <c r="G1474" s="2987">
        <v>1502</v>
      </c>
      <c r="H1474" s="2987" t="s">
        <v>5023</v>
      </c>
      <c r="I1474" s="2987" t="s">
        <v>3486</v>
      </c>
      <c r="J1474" s="2987" t="s">
        <v>3599</v>
      </c>
      <c r="K1474" s="2988">
        <v>96.23</v>
      </c>
    </row>
    <row r="1475" spans="2:11" ht="18" customHeight="1">
      <c r="B1475" s="2986">
        <v>1649</v>
      </c>
      <c r="C1475" s="2987" t="s">
        <v>4994</v>
      </c>
      <c r="D1475" s="2987" t="s">
        <v>3594</v>
      </c>
      <c r="E1475" s="2987" t="s">
        <v>4997</v>
      </c>
      <c r="F1475" s="2987"/>
      <c r="G1475" s="2987">
        <v>1503</v>
      </c>
      <c r="H1475" s="2987" t="s">
        <v>5024</v>
      </c>
      <c r="I1475" s="2987" t="s">
        <v>3486</v>
      </c>
      <c r="J1475" s="2987" t="s">
        <v>3599</v>
      </c>
      <c r="K1475" s="2988">
        <v>96.23</v>
      </c>
    </row>
    <row r="1476" spans="2:11" ht="18" customHeight="1">
      <c r="B1476" s="2986">
        <v>1650</v>
      </c>
      <c r="C1476" s="2987" t="s">
        <v>4994</v>
      </c>
      <c r="D1476" s="2987" t="s">
        <v>3594</v>
      </c>
      <c r="E1476" s="2987" t="s">
        <v>4997</v>
      </c>
      <c r="F1476" s="2987"/>
      <c r="G1476" s="2987">
        <v>1504</v>
      </c>
      <c r="H1476" s="2987" t="s">
        <v>5025</v>
      </c>
      <c r="I1476" s="2987" t="s">
        <v>3486</v>
      </c>
      <c r="J1476" s="2987" t="s">
        <v>3597</v>
      </c>
      <c r="K1476" s="2988">
        <v>128.34</v>
      </c>
    </row>
    <row r="1477" spans="2:11" ht="18" customHeight="1">
      <c r="B1477" s="2986">
        <v>1651</v>
      </c>
      <c r="C1477" s="2987" t="s">
        <v>4994</v>
      </c>
      <c r="D1477" s="2987" t="s">
        <v>3594</v>
      </c>
      <c r="E1477" s="2987" t="s">
        <v>4997</v>
      </c>
      <c r="F1477" s="2987"/>
      <c r="G1477" s="2987">
        <v>1601</v>
      </c>
      <c r="H1477" s="2987" t="s">
        <v>5026</v>
      </c>
      <c r="I1477" s="2987" t="s">
        <v>3486</v>
      </c>
      <c r="J1477" s="2987" t="s">
        <v>3602</v>
      </c>
      <c r="K1477" s="2988">
        <v>111.08</v>
      </c>
    </row>
    <row r="1478" spans="2:11" ht="18" customHeight="1">
      <c r="B1478" s="2986">
        <v>1652</v>
      </c>
      <c r="C1478" s="2987" t="s">
        <v>4994</v>
      </c>
      <c r="D1478" s="2987" t="s">
        <v>3594</v>
      </c>
      <c r="E1478" s="2987" t="s">
        <v>4997</v>
      </c>
      <c r="F1478" s="2987"/>
      <c r="G1478" s="2987">
        <v>1602</v>
      </c>
      <c r="H1478" s="2987" t="s">
        <v>5027</v>
      </c>
      <c r="I1478" s="2987" t="s">
        <v>3486</v>
      </c>
      <c r="J1478" s="2987" t="s">
        <v>3599</v>
      </c>
      <c r="K1478" s="2988">
        <v>96.23</v>
      </c>
    </row>
    <row r="1479" spans="2:11" ht="18" customHeight="1">
      <c r="B1479" s="2986">
        <v>1653</v>
      </c>
      <c r="C1479" s="2987" t="s">
        <v>4994</v>
      </c>
      <c r="D1479" s="2987" t="s">
        <v>3594</v>
      </c>
      <c r="E1479" s="2987" t="s">
        <v>4997</v>
      </c>
      <c r="F1479" s="2987"/>
      <c r="G1479" s="2987">
        <v>1603</v>
      </c>
      <c r="H1479" s="2987" t="s">
        <v>5028</v>
      </c>
      <c r="I1479" s="2987" t="s">
        <v>3486</v>
      </c>
      <c r="J1479" s="2987" t="s">
        <v>3599</v>
      </c>
      <c r="K1479" s="2988">
        <v>96.23</v>
      </c>
    </row>
    <row r="1480" spans="2:11" ht="18" customHeight="1">
      <c r="B1480" s="2986">
        <v>1654</v>
      </c>
      <c r="C1480" s="2987" t="s">
        <v>4994</v>
      </c>
      <c r="D1480" s="2987" t="s">
        <v>3594</v>
      </c>
      <c r="E1480" s="2987" t="s">
        <v>4997</v>
      </c>
      <c r="F1480" s="2987"/>
      <c r="G1480" s="2987">
        <v>1604</v>
      </c>
      <c r="H1480" s="2987" t="s">
        <v>5029</v>
      </c>
      <c r="I1480" s="2987" t="s">
        <v>3486</v>
      </c>
      <c r="J1480" s="2987" t="s">
        <v>3597</v>
      </c>
      <c r="K1480" s="2988">
        <v>128.34</v>
      </c>
    </row>
    <row r="1481" spans="2:11" ht="18" customHeight="1">
      <c r="B1481" s="2986">
        <v>1655</v>
      </c>
      <c r="C1481" s="2987" t="s">
        <v>4994</v>
      </c>
      <c r="D1481" s="2987" t="s">
        <v>3594</v>
      </c>
      <c r="E1481" s="2987" t="s">
        <v>4997</v>
      </c>
      <c r="F1481" s="2987"/>
      <c r="G1481" s="2987">
        <v>1701</v>
      </c>
      <c r="H1481" s="2987" t="s">
        <v>5030</v>
      </c>
      <c r="I1481" s="2987" t="s">
        <v>3486</v>
      </c>
      <c r="J1481" s="2987" t="s">
        <v>3602</v>
      </c>
      <c r="K1481" s="2988">
        <v>111.08</v>
      </c>
    </row>
    <row r="1482" spans="2:11" ht="18" customHeight="1">
      <c r="B1482" s="2986">
        <v>1656</v>
      </c>
      <c r="C1482" s="2987" t="s">
        <v>4994</v>
      </c>
      <c r="D1482" s="2987" t="s">
        <v>3594</v>
      </c>
      <c r="E1482" s="2987" t="s">
        <v>4997</v>
      </c>
      <c r="F1482" s="2987"/>
      <c r="G1482" s="2987">
        <v>1702</v>
      </c>
      <c r="H1482" s="2987" t="s">
        <v>5031</v>
      </c>
      <c r="I1482" s="2987" t="s">
        <v>3486</v>
      </c>
      <c r="J1482" s="2987" t="s">
        <v>3599</v>
      </c>
      <c r="K1482" s="2988">
        <v>96.23</v>
      </c>
    </row>
    <row r="1483" spans="2:11" ht="18" customHeight="1">
      <c r="B1483" s="2986">
        <v>1657</v>
      </c>
      <c r="C1483" s="2987" t="s">
        <v>4994</v>
      </c>
      <c r="D1483" s="2987" t="s">
        <v>3594</v>
      </c>
      <c r="E1483" s="2987" t="s">
        <v>4997</v>
      </c>
      <c r="F1483" s="2987"/>
      <c r="G1483" s="2987">
        <v>1703</v>
      </c>
      <c r="H1483" s="2987" t="s">
        <v>5032</v>
      </c>
      <c r="I1483" s="2987" t="s">
        <v>3486</v>
      </c>
      <c r="J1483" s="2987" t="s">
        <v>3599</v>
      </c>
      <c r="K1483" s="2988">
        <v>96.23</v>
      </c>
    </row>
    <row r="1484" spans="2:11" ht="18" customHeight="1">
      <c r="B1484" s="2986">
        <v>1658</v>
      </c>
      <c r="C1484" s="2987" t="s">
        <v>4994</v>
      </c>
      <c r="D1484" s="2987" t="s">
        <v>3594</v>
      </c>
      <c r="E1484" s="2987" t="s">
        <v>4997</v>
      </c>
      <c r="F1484" s="2987"/>
      <c r="G1484" s="2987">
        <v>1704</v>
      </c>
      <c r="H1484" s="2987" t="s">
        <v>5033</v>
      </c>
      <c r="I1484" s="2987" t="s">
        <v>3486</v>
      </c>
      <c r="J1484" s="2987" t="s">
        <v>3597</v>
      </c>
      <c r="K1484" s="2988">
        <v>128.34</v>
      </c>
    </row>
    <row r="1485" spans="2:11" ht="18" customHeight="1">
      <c r="B1485" s="2986">
        <v>1659</v>
      </c>
      <c r="C1485" s="2987" t="s">
        <v>4994</v>
      </c>
      <c r="D1485" s="2987" t="s">
        <v>3594</v>
      </c>
      <c r="E1485" s="2987" t="s">
        <v>4997</v>
      </c>
      <c r="F1485" s="2987"/>
      <c r="G1485" s="2987">
        <v>1801</v>
      </c>
      <c r="H1485" s="2987" t="s">
        <v>5034</v>
      </c>
      <c r="I1485" s="2987" t="s">
        <v>3486</v>
      </c>
      <c r="J1485" s="2987" t="s">
        <v>3602</v>
      </c>
      <c r="K1485" s="2988">
        <v>111.08</v>
      </c>
    </row>
    <row r="1486" spans="2:11" ht="18" customHeight="1">
      <c r="B1486" s="2986">
        <v>1660</v>
      </c>
      <c r="C1486" s="2987" t="s">
        <v>4994</v>
      </c>
      <c r="D1486" s="2987" t="s">
        <v>3594</v>
      </c>
      <c r="E1486" s="2987" t="s">
        <v>4997</v>
      </c>
      <c r="F1486" s="2987"/>
      <c r="G1486" s="2987">
        <v>1802</v>
      </c>
      <c r="H1486" s="2987" t="s">
        <v>5035</v>
      </c>
      <c r="I1486" s="2987" t="s">
        <v>3486</v>
      </c>
      <c r="J1486" s="2987" t="s">
        <v>3599</v>
      </c>
      <c r="K1486" s="2988">
        <v>96.23</v>
      </c>
    </row>
    <row r="1487" spans="2:11" ht="18" customHeight="1">
      <c r="B1487" s="2986">
        <v>1661</v>
      </c>
      <c r="C1487" s="2987" t="s">
        <v>4994</v>
      </c>
      <c r="D1487" s="2987" t="s">
        <v>3594</v>
      </c>
      <c r="E1487" s="2987" t="s">
        <v>4997</v>
      </c>
      <c r="F1487" s="2987"/>
      <c r="G1487" s="2987">
        <v>1803</v>
      </c>
      <c r="H1487" s="2987" t="s">
        <v>5036</v>
      </c>
      <c r="I1487" s="2987" t="s">
        <v>3486</v>
      </c>
      <c r="J1487" s="2987" t="s">
        <v>3599</v>
      </c>
      <c r="K1487" s="2988">
        <v>96.23</v>
      </c>
    </row>
    <row r="1488" spans="2:11" ht="18" customHeight="1">
      <c r="B1488" s="2986">
        <v>1662</v>
      </c>
      <c r="C1488" s="2987" t="s">
        <v>4994</v>
      </c>
      <c r="D1488" s="2987" t="s">
        <v>3594</v>
      </c>
      <c r="E1488" s="2987" t="s">
        <v>4997</v>
      </c>
      <c r="F1488" s="2987"/>
      <c r="G1488" s="2987">
        <v>1804</v>
      </c>
      <c r="H1488" s="2987" t="s">
        <v>5037</v>
      </c>
      <c r="I1488" s="2987" t="s">
        <v>3486</v>
      </c>
      <c r="J1488" s="2987" t="s">
        <v>3597</v>
      </c>
      <c r="K1488" s="2988">
        <v>128.34</v>
      </c>
    </row>
    <row r="1489" spans="2:11" ht="18" customHeight="1">
      <c r="B1489" s="2986">
        <v>1663</v>
      </c>
      <c r="C1489" s="2987" t="s">
        <v>4994</v>
      </c>
      <c r="D1489" s="2987" t="s">
        <v>3594</v>
      </c>
      <c r="E1489" s="2987" t="s">
        <v>4997</v>
      </c>
      <c r="F1489" s="2987"/>
      <c r="G1489" s="2987">
        <v>1901</v>
      </c>
      <c r="H1489" s="2987" t="s">
        <v>5038</v>
      </c>
      <c r="I1489" s="2987" t="s">
        <v>3486</v>
      </c>
      <c r="J1489" s="2987" t="s">
        <v>3602</v>
      </c>
      <c r="K1489" s="2988">
        <v>111.08</v>
      </c>
    </row>
    <row r="1490" spans="2:11" ht="18" customHeight="1">
      <c r="B1490" s="2986">
        <v>1664</v>
      </c>
      <c r="C1490" s="2987" t="s">
        <v>4994</v>
      </c>
      <c r="D1490" s="2987" t="s">
        <v>3594</v>
      </c>
      <c r="E1490" s="2987" t="s">
        <v>4997</v>
      </c>
      <c r="F1490" s="2987"/>
      <c r="G1490" s="2987">
        <v>1902</v>
      </c>
      <c r="H1490" s="2987" t="s">
        <v>5039</v>
      </c>
      <c r="I1490" s="2987" t="s">
        <v>3486</v>
      </c>
      <c r="J1490" s="2987" t="s">
        <v>3599</v>
      </c>
      <c r="K1490" s="2988">
        <v>96.23</v>
      </c>
    </row>
    <row r="1491" spans="2:11" ht="18" customHeight="1">
      <c r="B1491" s="2986">
        <v>1665</v>
      </c>
      <c r="C1491" s="2987" t="s">
        <v>4994</v>
      </c>
      <c r="D1491" s="2987" t="s">
        <v>3594</v>
      </c>
      <c r="E1491" s="2987" t="s">
        <v>4997</v>
      </c>
      <c r="F1491" s="2987"/>
      <c r="G1491" s="2987">
        <v>1903</v>
      </c>
      <c r="H1491" s="2987" t="s">
        <v>5040</v>
      </c>
      <c r="I1491" s="2987" t="s">
        <v>3486</v>
      </c>
      <c r="J1491" s="2987" t="s">
        <v>3599</v>
      </c>
      <c r="K1491" s="2988">
        <v>96.23</v>
      </c>
    </row>
    <row r="1492" spans="2:11" ht="18" customHeight="1">
      <c r="B1492" s="2986">
        <v>1666</v>
      </c>
      <c r="C1492" s="2987" t="s">
        <v>4994</v>
      </c>
      <c r="D1492" s="2987" t="s">
        <v>3594</v>
      </c>
      <c r="E1492" s="2987" t="s">
        <v>4997</v>
      </c>
      <c r="F1492" s="2987"/>
      <c r="G1492" s="2987">
        <v>1904</v>
      </c>
      <c r="H1492" s="2987" t="s">
        <v>5041</v>
      </c>
      <c r="I1492" s="2987" t="s">
        <v>3486</v>
      </c>
      <c r="J1492" s="2987" t="s">
        <v>3597</v>
      </c>
      <c r="K1492" s="2988">
        <v>128.34</v>
      </c>
    </row>
    <row r="1493" spans="2:11" ht="18" customHeight="1">
      <c r="B1493" s="2986">
        <v>1667</v>
      </c>
      <c r="C1493" s="2987" t="s">
        <v>4994</v>
      </c>
      <c r="D1493" s="2987" t="s">
        <v>3594</v>
      </c>
      <c r="E1493" s="2987" t="s">
        <v>4997</v>
      </c>
      <c r="F1493" s="2987"/>
      <c r="G1493" s="2987">
        <v>201</v>
      </c>
      <c r="H1493" s="2987" t="s">
        <v>5042</v>
      </c>
      <c r="I1493" s="2987" t="s">
        <v>3486</v>
      </c>
      <c r="J1493" s="2987" t="s">
        <v>3602</v>
      </c>
      <c r="K1493" s="2988">
        <v>111.08</v>
      </c>
    </row>
    <row r="1494" spans="2:11" ht="18" customHeight="1">
      <c r="B1494" s="2986">
        <v>1668</v>
      </c>
      <c r="C1494" s="2987" t="s">
        <v>4994</v>
      </c>
      <c r="D1494" s="2987" t="s">
        <v>3594</v>
      </c>
      <c r="E1494" s="2987" t="s">
        <v>4997</v>
      </c>
      <c r="F1494" s="2987"/>
      <c r="G1494" s="2987">
        <v>202</v>
      </c>
      <c r="H1494" s="2987" t="s">
        <v>5043</v>
      </c>
      <c r="I1494" s="2987" t="s">
        <v>3486</v>
      </c>
      <c r="J1494" s="2987" t="s">
        <v>3599</v>
      </c>
      <c r="K1494" s="2988">
        <v>96.23</v>
      </c>
    </row>
    <row r="1495" spans="2:11" ht="18" customHeight="1">
      <c r="B1495" s="2986">
        <v>1669</v>
      </c>
      <c r="C1495" s="2987" t="s">
        <v>4994</v>
      </c>
      <c r="D1495" s="2987" t="s">
        <v>3594</v>
      </c>
      <c r="E1495" s="2987" t="s">
        <v>4997</v>
      </c>
      <c r="F1495" s="2987"/>
      <c r="G1495" s="2987">
        <v>203</v>
      </c>
      <c r="H1495" s="2987" t="s">
        <v>5044</v>
      </c>
      <c r="I1495" s="2987" t="s">
        <v>3486</v>
      </c>
      <c r="J1495" s="2987" t="s">
        <v>3599</v>
      </c>
      <c r="K1495" s="2988">
        <v>96.23</v>
      </c>
    </row>
    <row r="1496" spans="2:11" ht="18" customHeight="1">
      <c r="B1496" s="2986">
        <v>1670</v>
      </c>
      <c r="C1496" s="2987" t="s">
        <v>4994</v>
      </c>
      <c r="D1496" s="2987" t="s">
        <v>3594</v>
      </c>
      <c r="E1496" s="2987" t="s">
        <v>4997</v>
      </c>
      <c r="F1496" s="2987"/>
      <c r="G1496" s="2987">
        <v>204</v>
      </c>
      <c r="H1496" s="2987" t="s">
        <v>5045</v>
      </c>
      <c r="I1496" s="2987" t="s">
        <v>3486</v>
      </c>
      <c r="J1496" s="2987" t="s">
        <v>3597</v>
      </c>
      <c r="K1496" s="2988">
        <v>128.34</v>
      </c>
    </row>
    <row r="1497" spans="2:11" ht="18" customHeight="1">
      <c r="B1497" s="2986">
        <v>1671</v>
      </c>
      <c r="C1497" s="2987" t="s">
        <v>4994</v>
      </c>
      <c r="D1497" s="2987" t="s">
        <v>3594</v>
      </c>
      <c r="E1497" s="2987" t="s">
        <v>4997</v>
      </c>
      <c r="F1497" s="2987"/>
      <c r="G1497" s="2987">
        <v>301</v>
      </c>
      <c r="H1497" s="2987" t="s">
        <v>5046</v>
      </c>
      <c r="I1497" s="2987" t="s">
        <v>3486</v>
      </c>
      <c r="J1497" s="2987" t="s">
        <v>3602</v>
      </c>
      <c r="K1497" s="2988">
        <v>111.08</v>
      </c>
    </row>
    <row r="1498" spans="2:11" ht="18" customHeight="1">
      <c r="B1498" s="2986">
        <v>1672</v>
      </c>
      <c r="C1498" s="2987" t="s">
        <v>4994</v>
      </c>
      <c r="D1498" s="2987" t="s">
        <v>3594</v>
      </c>
      <c r="E1498" s="2987" t="s">
        <v>4997</v>
      </c>
      <c r="F1498" s="2987"/>
      <c r="G1498" s="2987">
        <v>302</v>
      </c>
      <c r="H1498" s="2987" t="s">
        <v>5047</v>
      </c>
      <c r="I1498" s="2987" t="s">
        <v>3486</v>
      </c>
      <c r="J1498" s="2987" t="s">
        <v>3599</v>
      </c>
      <c r="K1498" s="2988">
        <v>96.23</v>
      </c>
    </row>
    <row r="1499" spans="2:11" ht="18" customHeight="1">
      <c r="B1499" s="2986">
        <v>1673</v>
      </c>
      <c r="C1499" s="2987" t="s">
        <v>4994</v>
      </c>
      <c r="D1499" s="2987" t="s">
        <v>3594</v>
      </c>
      <c r="E1499" s="2987" t="s">
        <v>4997</v>
      </c>
      <c r="F1499" s="2987"/>
      <c r="G1499" s="2987">
        <v>303</v>
      </c>
      <c r="H1499" s="2987" t="s">
        <v>5048</v>
      </c>
      <c r="I1499" s="2987" t="s">
        <v>3486</v>
      </c>
      <c r="J1499" s="2987" t="s">
        <v>3599</v>
      </c>
      <c r="K1499" s="2988">
        <v>96.23</v>
      </c>
    </row>
    <row r="1500" spans="2:11" ht="18" customHeight="1">
      <c r="B1500" s="2986">
        <v>1674</v>
      </c>
      <c r="C1500" s="2987" t="s">
        <v>4994</v>
      </c>
      <c r="D1500" s="2987" t="s">
        <v>3594</v>
      </c>
      <c r="E1500" s="2987" t="s">
        <v>4997</v>
      </c>
      <c r="F1500" s="2987"/>
      <c r="G1500" s="2987">
        <v>304</v>
      </c>
      <c r="H1500" s="2987" t="s">
        <v>5049</v>
      </c>
      <c r="I1500" s="2987" t="s">
        <v>3486</v>
      </c>
      <c r="J1500" s="2987" t="s">
        <v>3597</v>
      </c>
      <c r="K1500" s="2988">
        <v>128.34</v>
      </c>
    </row>
    <row r="1501" spans="2:11" ht="18" customHeight="1">
      <c r="B1501" s="2986">
        <v>1675</v>
      </c>
      <c r="C1501" s="2987" t="s">
        <v>4994</v>
      </c>
      <c r="D1501" s="2987" t="s">
        <v>3594</v>
      </c>
      <c r="E1501" s="2987" t="s">
        <v>4997</v>
      </c>
      <c r="F1501" s="2987"/>
      <c r="G1501" s="2987">
        <v>401</v>
      </c>
      <c r="H1501" s="2987" t="s">
        <v>5050</v>
      </c>
      <c r="I1501" s="2987" t="s">
        <v>3486</v>
      </c>
      <c r="J1501" s="2987" t="s">
        <v>3602</v>
      </c>
      <c r="K1501" s="2988">
        <v>111.08</v>
      </c>
    </row>
    <row r="1502" spans="2:11" ht="18" customHeight="1">
      <c r="B1502" s="2986">
        <v>1676</v>
      </c>
      <c r="C1502" s="2987" t="s">
        <v>4994</v>
      </c>
      <c r="D1502" s="2987" t="s">
        <v>3594</v>
      </c>
      <c r="E1502" s="2987" t="s">
        <v>4997</v>
      </c>
      <c r="F1502" s="2987"/>
      <c r="G1502" s="2987">
        <v>402</v>
      </c>
      <c r="H1502" s="2987" t="s">
        <v>5051</v>
      </c>
      <c r="I1502" s="2987" t="s">
        <v>3486</v>
      </c>
      <c r="J1502" s="2987" t="s">
        <v>3599</v>
      </c>
      <c r="K1502" s="2988">
        <v>96.23</v>
      </c>
    </row>
    <row r="1503" spans="2:11" ht="18" customHeight="1">
      <c r="B1503" s="2986">
        <v>1677</v>
      </c>
      <c r="C1503" s="2987" t="s">
        <v>4994</v>
      </c>
      <c r="D1503" s="2987" t="s">
        <v>3594</v>
      </c>
      <c r="E1503" s="2987" t="s">
        <v>4997</v>
      </c>
      <c r="F1503" s="2987"/>
      <c r="G1503" s="2987">
        <v>403</v>
      </c>
      <c r="H1503" s="2987" t="s">
        <v>5052</v>
      </c>
      <c r="I1503" s="2987" t="s">
        <v>3486</v>
      </c>
      <c r="J1503" s="2987" t="s">
        <v>3599</v>
      </c>
      <c r="K1503" s="2988">
        <v>96.23</v>
      </c>
    </row>
    <row r="1504" spans="2:11" ht="18" customHeight="1">
      <c r="B1504" s="2986">
        <v>1678</v>
      </c>
      <c r="C1504" s="2987" t="s">
        <v>4994</v>
      </c>
      <c r="D1504" s="2987" t="s">
        <v>3594</v>
      </c>
      <c r="E1504" s="2987" t="s">
        <v>4997</v>
      </c>
      <c r="F1504" s="2987"/>
      <c r="G1504" s="2987">
        <v>404</v>
      </c>
      <c r="H1504" s="2987" t="s">
        <v>5053</v>
      </c>
      <c r="I1504" s="2987" t="s">
        <v>3486</v>
      </c>
      <c r="J1504" s="2987" t="s">
        <v>3597</v>
      </c>
      <c r="K1504" s="2988">
        <v>128.34</v>
      </c>
    </row>
    <row r="1505" spans="2:11" ht="18" customHeight="1">
      <c r="B1505" s="2986">
        <v>1679</v>
      </c>
      <c r="C1505" s="2987" t="s">
        <v>4994</v>
      </c>
      <c r="D1505" s="2987" t="s">
        <v>3594</v>
      </c>
      <c r="E1505" s="2987" t="s">
        <v>4997</v>
      </c>
      <c r="F1505" s="2987"/>
      <c r="G1505" s="2987">
        <v>501</v>
      </c>
      <c r="H1505" s="2987" t="s">
        <v>5054</v>
      </c>
      <c r="I1505" s="2987" t="s">
        <v>3486</v>
      </c>
      <c r="J1505" s="2987" t="s">
        <v>3602</v>
      </c>
      <c r="K1505" s="2988">
        <v>111.08</v>
      </c>
    </row>
    <row r="1506" spans="2:11" ht="18" customHeight="1">
      <c r="B1506" s="2986">
        <v>1680</v>
      </c>
      <c r="C1506" s="2987" t="s">
        <v>4994</v>
      </c>
      <c r="D1506" s="2987" t="s">
        <v>3594</v>
      </c>
      <c r="E1506" s="2987" t="s">
        <v>4997</v>
      </c>
      <c r="F1506" s="2987"/>
      <c r="G1506" s="2987">
        <v>502</v>
      </c>
      <c r="H1506" s="2987" t="s">
        <v>5055</v>
      </c>
      <c r="I1506" s="2987" t="s">
        <v>3486</v>
      </c>
      <c r="J1506" s="2987" t="s">
        <v>3599</v>
      </c>
      <c r="K1506" s="2988">
        <v>96.23</v>
      </c>
    </row>
    <row r="1507" spans="2:11" ht="18" customHeight="1">
      <c r="B1507" s="2986">
        <v>1681</v>
      </c>
      <c r="C1507" s="2987" t="s">
        <v>4994</v>
      </c>
      <c r="D1507" s="2987" t="s">
        <v>3594</v>
      </c>
      <c r="E1507" s="2987" t="s">
        <v>4997</v>
      </c>
      <c r="F1507" s="2987"/>
      <c r="G1507" s="2987">
        <v>503</v>
      </c>
      <c r="H1507" s="2987" t="s">
        <v>5056</v>
      </c>
      <c r="I1507" s="2987" t="s">
        <v>3486</v>
      </c>
      <c r="J1507" s="2987" t="s">
        <v>3599</v>
      </c>
      <c r="K1507" s="2988">
        <v>96.23</v>
      </c>
    </row>
    <row r="1508" spans="2:11" ht="18" customHeight="1">
      <c r="B1508" s="2986">
        <v>1682</v>
      </c>
      <c r="C1508" s="2987" t="s">
        <v>4994</v>
      </c>
      <c r="D1508" s="2987" t="s">
        <v>3594</v>
      </c>
      <c r="E1508" s="2987" t="s">
        <v>4997</v>
      </c>
      <c r="F1508" s="2987"/>
      <c r="G1508" s="2987">
        <v>504</v>
      </c>
      <c r="H1508" s="2987" t="s">
        <v>5057</v>
      </c>
      <c r="I1508" s="2987" t="s">
        <v>3486</v>
      </c>
      <c r="J1508" s="2987" t="s">
        <v>3597</v>
      </c>
      <c r="K1508" s="2988">
        <v>128.34</v>
      </c>
    </row>
    <row r="1509" spans="2:11" ht="18" customHeight="1">
      <c r="B1509" s="2986">
        <v>1683</v>
      </c>
      <c r="C1509" s="2987" t="s">
        <v>4994</v>
      </c>
      <c r="D1509" s="2987" t="s">
        <v>3594</v>
      </c>
      <c r="E1509" s="2987" t="s">
        <v>4997</v>
      </c>
      <c r="F1509" s="2987"/>
      <c r="G1509" s="2987">
        <v>601</v>
      </c>
      <c r="H1509" s="2987" t="s">
        <v>5058</v>
      </c>
      <c r="I1509" s="2987" t="s">
        <v>3486</v>
      </c>
      <c r="J1509" s="2987" t="s">
        <v>3602</v>
      </c>
      <c r="K1509" s="2988">
        <v>111.08</v>
      </c>
    </row>
    <row r="1510" spans="2:11" ht="18" customHeight="1">
      <c r="B1510" s="2986">
        <v>1684</v>
      </c>
      <c r="C1510" s="2987" t="s">
        <v>4994</v>
      </c>
      <c r="D1510" s="2987" t="s">
        <v>3594</v>
      </c>
      <c r="E1510" s="2987" t="s">
        <v>4997</v>
      </c>
      <c r="F1510" s="2987"/>
      <c r="G1510" s="2987">
        <v>602</v>
      </c>
      <c r="H1510" s="2987" t="s">
        <v>5059</v>
      </c>
      <c r="I1510" s="2987" t="s">
        <v>3486</v>
      </c>
      <c r="J1510" s="2987" t="s">
        <v>3599</v>
      </c>
      <c r="K1510" s="2988">
        <v>96.23</v>
      </c>
    </row>
    <row r="1511" spans="2:11" ht="18" customHeight="1">
      <c r="B1511" s="2986">
        <v>1685</v>
      </c>
      <c r="C1511" s="2987" t="s">
        <v>4994</v>
      </c>
      <c r="D1511" s="2987" t="s">
        <v>3594</v>
      </c>
      <c r="E1511" s="2987" t="s">
        <v>4997</v>
      </c>
      <c r="F1511" s="2987"/>
      <c r="G1511" s="2987">
        <v>603</v>
      </c>
      <c r="H1511" s="2987" t="s">
        <v>5060</v>
      </c>
      <c r="I1511" s="2987" t="s">
        <v>3486</v>
      </c>
      <c r="J1511" s="2987" t="s">
        <v>3599</v>
      </c>
      <c r="K1511" s="2988">
        <v>96.23</v>
      </c>
    </row>
    <row r="1512" spans="2:11" ht="18" customHeight="1">
      <c r="B1512" s="2986">
        <v>1686</v>
      </c>
      <c r="C1512" s="2987" t="s">
        <v>4994</v>
      </c>
      <c r="D1512" s="2987" t="s">
        <v>3594</v>
      </c>
      <c r="E1512" s="2987" t="s">
        <v>4997</v>
      </c>
      <c r="F1512" s="2987"/>
      <c r="G1512" s="2987">
        <v>604</v>
      </c>
      <c r="H1512" s="2987" t="s">
        <v>5061</v>
      </c>
      <c r="I1512" s="2987" t="s">
        <v>3486</v>
      </c>
      <c r="J1512" s="2987" t="s">
        <v>3597</v>
      </c>
      <c r="K1512" s="2988">
        <v>128.34</v>
      </c>
    </row>
    <row r="1513" spans="2:11" ht="18" customHeight="1">
      <c r="B1513" s="2986">
        <v>1687</v>
      </c>
      <c r="C1513" s="2987" t="s">
        <v>4994</v>
      </c>
      <c r="D1513" s="2987" t="s">
        <v>3594</v>
      </c>
      <c r="E1513" s="2987" t="s">
        <v>4997</v>
      </c>
      <c r="F1513" s="2987"/>
      <c r="G1513" s="2987">
        <v>701</v>
      </c>
      <c r="H1513" s="2987" t="s">
        <v>5062</v>
      </c>
      <c r="I1513" s="2987" t="s">
        <v>3486</v>
      </c>
      <c r="J1513" s="2987" t="s">
        <v>3602</v>
      </c>
      <c r="K1513" s="2988">
        <v>111.08</v>
      </c>
    </row>
    <row r="1514" spans="2:11" ht="18" customHeight="1">
      <c r="B1514" s="2986">
        <v>1688</v>
      </c>
      <c r="C1514" s="2987" t="s">
        <v>4994</v>
      </c>
      <c r="D1514" s="2987" t="s">
        <v>3594</v>
      </c>
      <c r="E1514" s="2987" t="s">
        <v>4997</v>
      </c>
      <c r="F1514" s="2987"/>
      <c r="G1514" s="2987">
        <v>702</v>
      </c>
      <c r="H1514" s="2987" t="s">
        <v>5063</v>
      </c>
      <c r="I1514" s="2987" t="s">
        <v>3486</v>
      </c>
      <c r="J1514" s="2987" t="s">
        <v>3599</v>
      </c>
      <c r="K1514" s="2988">
        <v>96.23</v>
      </c>
    </row>
    <row r="1515" spans="2:11" ht="18" customHeight="1">
      <c r="B1515" s="2986">
        <v>1689</v>
      </c>
      <c r="C1515" s="2987" t="s">
        <v>4994</v>
      </c>
      <c r="D1515" s="2987" t="s">
        <v>3594</v>
      </c>
      <c r="E1515" s="2987" t="s">
        <v>4997</v>
      </c>
      <c r="F1515" s="2987"/>
      <c r="G1515" s="2987">
        <v>703</v>
      </c>
      <c r="H1515" s="2987" t="s">
        <v>5064</v>
      </c>
      <c r="I1515" s="2987" t="s">
        <v>3486</v>
      </c>
      <c r="J1515" s="2987" t="s">
        <v>3599</v>
      </c>
      <c r="K1515" s="2988">
        <v>96.23</v>
      </c>
    </row>
    <row r="1516" spans="2:11" ht="18" customHeight="1">
      <c r="B1516" s="2986">
        <v>1690</v>
      </c>
      <c r="C1516" s="2987" t="s">
        <v>4994</v>
      </c>
      <c r="D1516" s="2987" t="s">
        <v>3594</v>
      </c>
      <c r="E1516" s="2987" t="s">
        <v>4997</v>
      </c>
      <c r="F1516" s="2987"/>
      <c r="G1516" s="2987">
        <v>704</v>
      </c>
      <c r="H1516" s="2987" t="s">
        <v>5065</v>
      </c>
      <c r="I1516" s="2987" t="s">
        <v>3486</v>
      </c>
      <c r="J1516" s="2987" t="s">
        <v>3597</v>
      </c>
      <c r="K1516" s="2988">
        <v>128.34</v>
      </c>
    </row>
    <row r="1517" spans="2:11" ht="18" customHeight="1">
      <c r="B1517" s="2986">
        <v>1691</v>
      </c>
      <c r="C1517" s="2987" t="s">
        <v>4994</v>
      </c>
      <c r="D1517" s="2987" t="s">
        <v>3594</v>
      </c>
      <c r="E1517" s="2987" t="s">
        <v>4997</v>
      </c>
      <c r="F1517" s="2987"/>
      <c r="G1517" s="2987">
        <v>801</v>
      </c>
      <c r="H1517" s="2987" t="s">
        <v>5066</v>
      </c>
      <c r="I1517" s="2987" t="s">
        <v>3486</v>
      </c>
      <c r="J1517" s="2987" t="s">
        <v>3602</v>
      </c>
      <c r="K1517" s="2988">
        <v>111.08</v>
      </c>
    </row>
    <row r="1518" spans="2:11" ht="18" customHeight="1">
      <c r="B1518" s="2986">
        <v>1692</v>
      </c>
      <c r="C1518" s="2987" t="s">
        <v>4994</v>
      </c>
      <c r="D1518" s="2987" t="s">
        <v>3594</v>
      </c>
      <c r="E1518" s="2987" t="s">
        <v>4997</v>
      </c>
      <c r="F1518" s="2987"/>
      <c r="G1518" s="2987">
        <v>802</v>
      </c>
      <c r="H1518" s="2987" t="s">
        <v>5067</v>
      </c>
      <c r="I1518" s="2987" t="s">
        <v>3486</v>
      </c>
      <c r="J1518" s="2987" t="s">
        <v>3599</v>
      </c>
      <c r="K1518" s="2988">
        <v>96.23</v>
      </c>
    </row>
    <row r="1519" spans="2:11" ht="18" customHeight="1">
      <c r="B1519" s="2986">
        <v>1693</v>
      </c>
      <c r="C1519" s="2987" t="s">
        <v>4994</v>
      </c>
      <c r="D1519" s="2987" t="s">
        <v>3594</v>
      </c>
      <c r="E1519" s="2987" t="s">
        <v>4997</v>
      </c>
      <c r="F1519" s="2987"/>
      <c r="G1519" s="2987">
        <v>803</v>
      </c>
      <c r="H1519" s="2987" t="s">
        <v>5068</v>
      </c>
      <c r="I1519" s="2987" t="s">
        <v>3486</v>
      </c>
      <c r="J1519" s="2987" t="s">
        <v>3599</v>
      </c>
      <c r="K1519" s="2988">
        <v>96.23</v>
      </c>
    </row>
    <row r="1520" spans="2:11" ht="18" customHeight="1">
      <c r="B1520" s="2986">
        <v>1694</v>
      </c>
      <c r="C1520" s="2987" t="s">
        <v>4994</v>
      </c>
      <c r="D1520" s="2987" t="s">
        <v>3594</v>
      </c>
      <c r="E1520" s="2987" t="s">
        <v>4997</v>
      </c>
      <c r="F1520" s="2987"/>
      <c r="G1520" s="2987">
        <v>804</v>
      </c>
      <c r="H1520" s="2987" t="s">
        <v>5069</v>
      </c>
      <c r="I1520" s="2987" t="s">
        <v>3486</v>
      </c>
      <c r="J1520" s="2987" t="s">
        <v>3597</v>
      </c>
      <c r="K1520" s="2988">
        <v>128.34</v>
      </c>
    </row>
    <row r="1521" spans="2:11" ht="18" customHeight="1">
      <c r="B1521" s="2986">
        <v>1695</v>
      </c>
      <c r="C1521" s="2987" t="s">
        <v>4994</v>
      </c>
      <c r="D1521" s="2987" t="s">
        <v>3594</v>
      </c>
      <c r="E1521" s="2987" t="s">
        <v>4997</v>
      </c>
      <c r="F1521" s="2987"/>
      <c r="G1521" s="2987">
        <v>901</v>
      </c>
      <c r="H1521" s="2987" t="s">
        <v>5070</v>
      </c>
      <c r="I1521" s="2987" t="s">
        <v>3486</v>
      </c>
      <c r="J1521" s="2987" t="s">
        <v>3602</v>
      </c>
      <c r="K1521" s="2988">
        <v>111.08</v>
      </c>
    </row>
    <row r="1522" spans="2:11" ht="18" customHeight="1">
      <c r="B1522" s="2986">
        <v>1696</v>
      </c>
      <c r="C1522" s="2987" t="s">
        <v>4994</v>
      </c>
      <c r="D1522" s="2987" t="s">
        <v>3594</v>
      </c>
      <c r="E1522" s="2987" t="s">
        <v>4997</v>
      </c>
      <c r="F1522" s="2987"/>
      <c r="G1522" s="2987">
        <v>902</v>
      </c>
      <c r="H1522" s="2987" t="s">
        <v>5071</v>
      </c>
      <c r="I1522" s="2987" t="s">
        <v>3486</v>
      </c>
      <c r="J1522" s="2987" t="s">
        <v>3599</v>
      </c>
      <c r="K1522" s="2988">
        <v>96.23</v>
      </c>
    </row>
    <row r="1523" spans="2:11" ht="18" customHeight="1">
      <c r="B1523" s="2986">
        <v>1697</v>
      </c>
      <c r="C1523" s="2987" t="s">
        <v>4994</v>
      </c>
      <c r="D1523" s="2987" t="s">
        <v>3594</v>
      </c>
      <c r="E1523" s="2987" t="s">
        <v>4997</v>
      </c>
      <c r="F1523" s="2987"/>
      <c r="G1523" s="2987">
        <v>903</v>
      </c>
      <c r="H1523" s="2987" t="s">
        <v>5072</v>
      </c>
      <c r="I1523" s="2987" t="s">
        <v>3486</v>
      </c>
      <c r="J1523" s="2987" t="s">
        <v>3599</v>
      </c>
      <c r="K1523" s="2988">
        <v>96.23</v>
      </c>
    </row>
    <row r="1524" spans="2:11" ht="18" customHeight="1">
      <c r="B1524" s="2986">
        <v>1698</v>
      </c>
      <c r="C1524" s="2987" t="s">
        <v>4994</v>
      </c>
      <c r="D1524" s="2987" t="s">
        <v>3594</v>
      </c>
      <c r="E1524" s="2987" t="s">
        <v>4997</v>
      </c>
      <c r="F1524" s="2987"/>
      <c r="G1524" s="2987">
        <v>904</v>
      </c>
      <c r="H1524" s="2987" t="s">
        <v>5073</v>
      </c>
      <c r="I1524" s="2987" t="s">
        <v>3486</v>
      </c>
      <c r="J1524" s="2987" t="s">
        <v>3597</v>
      </c>
      <c r="K1524" s="2988">
        <v>128.34</v>
      </c>
    </row>
    <row r="1525" spans="2:11" s="3021" customFormat="1" ht="18" customHeight="1">
      <c r="B1525" s="3018"/>
      <c r="C1525" s="3019"/>
      <c r="D1525" s="3019"/>
      <c r="E1525" s="3019"/>
      <c r="F1525" s="3019"/>
      <c r="G1525" s="3019"/>
      <c r="H1525" s="3019"/>
      <c r="I1525" s="3019"/>
      <c r="J1525" s="3019"/>
      <c r="K1525" s="3020">
        <f>SUM(K1449:K1524)</f>
        <v>8205.7199999999921</v>
      </c>
    </row>
    <row r="1526" spans="2:11" ht="18" customHeight="1">
      <c r="B1526" s="2986">
        <v>1699</v>
      </c>
      <c r="C1526" s="2987" t="s">
        <v>4994</v>
      </c>
      <c r="D1526" s="2987" t="s">
        <v>3594</v>
      </c>
      <c r="E1526" s="2987" t="s">
        <v>5074</v>
      </c>
      <c r="F1526" s="2987"/>
      <c r="G1526" s="2987">
        <v>1001</v>
      </c>
      <c r="H1526" s="2987" t="s">
        <v>5075</v>
      </c>
      <c r="I1526" s="2987" t="s">
        <v>3486</v>
      </c>
      <c r="J1526" s="2987" t="s">
        <v>3597</v>
      </c>
      <c r="K1526" s="2988">
        <v>128.26</v>
      </c>
    </row>
    <row r="1527" spans="2:11" ht="18" customHeight="1">
      <c r="B1527" s="2986">
        <v>1700</v>
      </c>
      <c r="C1527" s="2987" t="s">
        <v>4994</v>
      </c>
      <c r="D1527" s="2987" t="s">
        <v>3594</v>
      </c>
      <c r="E1527" s="2987" t="s">
        <v>5074</v>
      </c>
      <c r="F1527" s="2987"/>
      <c r="G1527" s="2987">
        <v>1002</v>
      </c>
      <c r="H1527" s="2987" t="s">
        <v>5076</v>
      </c>
      <c r="I1527" s="2987" t="s">
        <v>3486</v>
      </c>
      <c r="J1527" s="2987" t="s">
        <v>3599</v>
      </c>
      <c r="K1527" s="2988">
        <v>96.17</v>
      </c>
    </row>
    <row r="1528" spans="2:11" ht="18" customHeight="1">
      <c r="B1528" s="2986">
        <v>1701</v>
      </c>
      <c r="C1528" s="2987" t="s">
        <v>4994</v>
      </c>
      <c r="D1528" s="2987" t="s">
        <v>3594</v>
      </c>
      <c r="E1528" s="2987" t="s">
        <v>5074</v>
      </c>
      <c r="F1528" s="2987"/>
      <c r="G1528" s="2987">
        <v>1003</v>
      </c>
      <c r="H1528" s="2987" t="s">
        <v>5077</v>
      </c>
      <c r="I1528" s="2987" t="s">
        <v>3486</v>
      </c>
      <c r="J1528" s="2987" t="s">
        <v>3599</v>
      </c>
      <c r="K1528" s="2988">
        <v>96.17</v>
      </c>
    </row>
    <row r="1529" spans="2:11" ht="18" customHeight="1">
      <c r="B1529" s="2986">
        <v>1702</v>
      </c>
      <c r="C1529" s="2987" t="s">
        <v>4994</v>
      </c>
      <c r="D1529" s="2987" t="s">
        <v>3594</v>
      </c>
      <c r="E1529" s="2987" t="s">
        <v>5074</v>
      </c>
      <c r="F1529" s="2987"/>
      <c r="G1529" s="2987">
        <v>1004</v>
      </c>
      <c r="H1529" s="2987" t="s">
        <v>5078</v>
      </c>
      <c r="I1529" s="2987" t="s">
        <v>3486</v>
      </c>
      <c r="J1529" s="2987" t="s">
        <v>3602</v>
      </c>
      <c r="K1529" s="2988">
        <v>111.02</v>
      </c>
    </row>
    <row r="1530" spans="2:11" ht="18" customHeight="1">
      <c r="B1530" s="2986">
        <v>1703</v>
      </c>
      <c r="C1530" s="2987" t="s">
        <v>4994</v>
      </c>
      <c r="D1530" s="2987" t="s">
        <v>3594</v>
      </c>
      <c r="E1530" s="2987" t="s">
        <v>5074</v>
      </c>
      <c r="F1530" s="2987"/>
      <c r="G1530" s="2987">
        <v>101</v>
      </c>
      <c r="H1530" s="2987" t="s">
        <v>5079</v>
      </c>
      <c r="I1530" s="2987" t="s">
        <v>3486</v>
      </c>
      <c r="J1530" s="2987" t="s">
        <v>3597</v>
      </c>
      <c r="K1530" s="2988">
        <v>128.26</v>
      </c>
    </row>
    <row r="1531" spans="2:11" ht="18" customHeight="1">
      <c r="B1531" s="2986">
        <v>1704</v>
      </c>
      <c r="C1531" s="2987" t="s">
        <v>4994</v>
      </c>
      <c r="D1531" s="2987" t="s">
        <v>3594</v>
      </c>
      <c r="E1531" s="2987" t="s">
        <v>5074</v>
      </c>
      <c r="F1531" s="2987"/>
      <c r="G1531" s="2987">
        <v>102</v>
      </c>
      <c r="H1531" s="2987" t="s">
        <v>5080</v>
      </c>
      <c r="I1531" s="2987" t="s">
        <v>3486</v>
      </c>
      <c r="J1531" s="2987" t="s">
        <v>3599</v>
      </c>
      <c r="K1531" s="2988">
        <v>96.17</v>
      </c>
    </row>
    <row r="1532" spans="2:11" ht="18" customHeight="1">
      <c r="B1532" s="2986">
        <v>1705</v>
      </c>
      <c r="C1532" s="2987" t="s">
        <v>4994</v>
      </c>
      <c r="D1532" s="2987" t="s">
        <v>3594</v>
      </c>
      <c r="E1532" s="2987" t="s">
        <v>5074</v>
      </c>
      <c r="F1532" s="2987"/>
      <c r="G1532" s="2987">
        <v>103</v>
      </c>
      <c r="H1532" s="2987" t="s">
        <v>5081</v>
      </c>
      <c r="I1532" s="2987" t="s">
        <v>3486</v>
      </c>
      <c r="J1532" s="2987" t="s">
        <v>3599</v>
      </c>
      <c r="K1532" s="2988">
        <v>96.17</v>
      </c>
    </row>
    <row r="1533" spans="2:11" ht="18" customHeight="1">
      <c r="B1533" s="2986">
        <v>1706</v>
      </c>
      <c r="C1533" s="2987" t="s">
        <v>4994</v>
      </c>
      <c r="D1533" s="2987" t="s">
        <v>3594</v>
      </c>
      <c r="E1533" s="2987" t="s">
        <v>5074</v>
      </c>
      <c r="F1533" s="2987"/>
      <c r="G1533" s="2987">
        <v>104</v>
      </c>
      <c r="H1533" s="2987" t="s">
        <v>5082</v>
      </c>
      <c r="I1533" s="2987" t="s">
        <v>3486</v>
      </c>
      <c r="J1533" s="2987" t="s">
        <v>3602</v>
      </c>
      <c r="K1533" s="2988">
        <v>111.02</v>
      </c>
    </row>
    <row r="1534" spans="2:11" ht="18" customHeight="1">
      <c r="B1534" s="2986">
        <v>1707</v>
      </c>
      <c r="C1534" s="2987" t="s">
        <v>4994</v>
      </c>
      <c r="D1534" s="2987" t="s">
        <v>3594</v>
      </c>
      <c r="E1534" s="2987" t="s">
        <v>5074</v>
      </c>
      <c r="F1534" s="2987"/>
      <c r="G1534" s="2987">
        <v>1101</v>
      </c>
      <c r="H1534" s="2987" t="s">
        <v>5083</v>
      </c>
      <c r="I1534" s="2987" t="s">
        <v>3486</v>
      </c>
      <c r="J1534" s="2987" t="s">
        <v>3597</v>
      </c>
      <c r="K1534" s="2988">
        <v>128.26</v>
      </c>
    </row>
    <row r="1535" spans="2:11" ht="18" customHeight="1">
      <c r="B1535" s="2986">
        <v>1708</v>
      </c>
      <c r="C1535" s="2987" t="s">
        <v>4994</v>
      </c>
      <c r="D1535" s="2987" t="s">
        <v>3594</v>
      </c>
      <c r="E1535" s="2987" t="s">
        <v>5074</v>
      </c>
      <c r="F1535" s="2987"/>
      <c r="G1535" s="2987">
        <v>1102</v>
      </c>
      <c r="H1535" s="2987" t="s">
        <v>5084</v>
      </c>
      <c r="I1535" s="2987" t="s">
        <v>3486</v>
      </c>
      <c r="J1535" s="2987" t="s">
        <v>3599</v>
      </c>
      <c r="K1535" s="2988">
        <v>96.17</v>
      </c>
    </row>
    <row r="1536" spans="2:11" ht="18" customHeight="1">
      <c r="B1536" s="2986">
        <v>1709</v>
      </c>
      <c r="C1536" s="2987" t="s">
        <v>4994</v>
      </c>
      <c r="D1536" s="2987" t="s">
        <v>3594</v>
      </c>
      <c r="E1536" s="2987" t="s">
        <v>5074</v>
      </c>
      <c r="F1536" s="2987"/>
      <c r="G1536" s="2987">
        <v>1103</v>
      </c>
      <c r="H1536" s="2987" t="s">
        <v>5085</v>
      </c>
      <c r="I1536" s="2987" t="s">
        <v>3486</v>
      </c>
      <c r="J1536" s="2987" t="s">
        <v>3599</v>
      </c>
      <c r="K1536" s="2988">
        <v>96.17</v>
      </c>
    </row>
    <row r="1537" spans="2:11" ht="18" customHeight="1">
      <c r="B1537" s="2986">
        <v>1710</v>
      </c>
      <c r="C1537" s="2987" t="s">
        <v>4994</v>
      </c>
      <c r="D1537" s="2987" t="s">
        <v>3594</v>
      </c>
      <c r="E1537" s="2987" t="s">
        <v>5074</v>
      </c>
      <c r="F1537" s="2987"/>
      <c r="G1537" s="2987">
        <v>1104</v>
      </c>
      <c r="H1537" s="2987" t="s">
        <v>5086</v>
      </c>
      <c r="I1537" s="2987" t="s">
        <v>3486</v>
      </c>
      <c r="J1537" s="2987" t="s">
        <v>3602</v>
      </c>
      <c r="K1537" s="2988">
        <v>111.02</v>
      </c>
    </row>
    <row r="1538" spans="2:11" ht="18" customHeight="1">
      <c r="B1538" s="2986">
        <v>1711</v>
      </c>
      <c r="C1538" s="2987" t="s">
        <v>4994</v>
      </c>
      <c r="D1538" s="2987" t="s">
        <v>3594</v>
      </c>
      <c r="E1538" s="2987" t="s">
        <v>5074</v>
      </c>
      <c r="F1538" s="2987"/>
      <c r="G1538" s="2987">
        <v>1201</v>
      </c>
      <c r="H1538" s="2987" t="s">
        <v>5087</v>
      </c>
      <c r="I1538" s="2987" t="s">
        <v>3486</v>
      </c>
      <c r="J1538" s="2987" t="s">
        <v>3597</v>
      </c>
      <c r="K1538" s="2988">
        <v>128.26</v>
      </c>
    </row>
    <row r="1539" spans="2:11" ht="18" customHeight="1">
      <c r="B1539" s="2986">
        <v>1712</v>
      </c>
      <c r="C1539" s="2987" t="s">
        <v>4994</v>
      </c>
      <c r="D1539" s="2987" t="s">
        <v>3594</v>
      </c>
      <c r="E1539" s="2987" t="s">
        <v>5074</v>
      </c>
      <c r="F1539" s="2987"/>
      <c r="G1539" s="2987">
        <v>1202</v>
      </c>
      <c r="H1539" s="2987" t="s">
        <v>5088</v>
      </c>
      <c r="I1539" s="2987" t="s">
        <v>3486</v>
      </c>
      <c r="J1539" s="2987" t="s">
        <v>3599</v>
      </c>
      <c r="K1539" s="2988">
        <v>96.17</v>
      </c>
    </row>
    <row r="1540" spans="2:11" ht="18" customHeight="1">
      <c r="B1540" s="2986">
        <v>1713</v>
      </c>
      <c r="C1540" s="2987" t="s">
        <v>4994</v>
      </c>
      <c r="D1540" s="2987" t="s">
        <v>3594</v>
      </c>
      <c r="E1540" s="2987" t="s">
        <v>5074</v>
      </c>
      <c r="F1540" s="2987"/>
      <c r="G1540" s="2987">
        <v>1203</v>
      </c>
      <c r="H1540" s="2987" t="s">
        <v>5089</v>
      </c>
      <c r="I1540" s="2987" t="s">
        <v>3486</v>
      </c>
      <c r="J1540" s="2987" t="s">
        <v>3599</v>
      </c>
      <c r="K1540" s="2988">
        <v>96.17</v>
      </c>
    </row>
    <row r="1541" spans="2:11" ht="18" customHeight="1">
      <c r="B1541" s="2986">
        <v>1714</v>
      </c>
      <c r="C1541" s="2987" t="s">
        <v>4994</v>
      </c>
      <c r="D1541" s="2987" t="s">
        <v>3594</v>
      </c>
      <c r="E1541" s="2987" t="s">
        <v>5074</v>
      </c>
      <c r="F1541" s="2987"/>
      <c r="G1541" s="2987">
        <v>1204</v>
      </c>
      <c r="H1541" s="2987" t="s">
        <v>5090</v>
      </c>
      <c r="I1541" s="2987" t="s">
        <v>3486</v>
      </c>
      <c r="J1541" s="2987" t="s">
        <v>3602</v>
      </c>
      <c r="K1541" s="2988">
        <v>111.02</v>
      </c>
    </row>
    <row r="1542" spans="2:11" ht="18" customHeight="1">
      <c r="B1542" s="2986">
        <v>1715</v>
      </c>
      <c r="C1542" s="2987" t="s">
        <v>4994</v>
      </c>
      <c r="D1542" s="2987" t="s">
        <v>3594</v>
      </c>
      <c r="E1542" s="2987" t="s">
        <v>5074</v>
      </c>
      <c r="F1542" s="2987"/>
      <c r="G1542" s="2987">
        <v>1301</v>
      </c>
      <c r="H1542" s="2987" t="s">
        <v>5091</v>
      </c>
      <c r="I1542" s="2987" t="s">
        <v>3486</v>
      </c>
      <c r="J1542" s="2987" t="s">
        <v>3597</v>
      </c>
      <c r="K1542" s="2988">
        <v>128.26</v>
      </c>
    </row>
    <row r="1543" spans="2:11" ht="18" customHeight="1">
      <c r="B1543" s="2986">
        <v>1716</v>
      </c>
      <c r="C1543" s="2987" t="s">
        <v>4994</v>
      </c>
      <c r="D1543" s="2987" t="s">
        <v>3594</v>
      </c>
      <c r="E1543" s="2987" t="s">
        <v>5074</v>
      </c>
      <c r="F1543" s="2987"/>
      <c r="G1543" s="2987">
        <v>1302</v>
      </c>
      <c r="H1543" s="2987" t="s">
        <v>5092</v>
      </c>
      <c r="I1543" s="2987" t="s">
        <v>3486</v>
      </c>
      <c r="J1543" s="2987" t="s">
        <v>3599</v>
      </c>
      <c r="K1543" s="2988">
        <v>96.17</v>
      </c>
    </row>
    <row r="1544" spans="2:11" ht="18" customHeight="1">
      <c r="B1544" s="2986">
        <v>1717</v>
      </c>
      <c r="C1544" s="2987" t="s">
        <v>4994</v>
      </c>
      <c r="D1544" s="2987" t="s">
        <v>3594</v>
      </c>
      <c r="E1544" s="2987" t="s">
        <v>5074</v>
      </c>
      <c r="F1544" s="2987"/>
      <c r="G1544" s="2987">
        <v>1303</v>
      </c>
      <c r="H1544" s="2987" t="s">
        <v>5093</v>
      </c>
      <c r="I1544" s="2987" t="s">
        <v>3486</v>
      </c>
      <c r="J1544" s="2987" t="s">
        <v>3599</v>
      </c>
      <c r="K1544" s="2988">
        <v>96.17</v>
      </c>
    </row>
    <row r="1545" spans="2:11" ht="18" customHeight="1">
      <c r="B1545" s="2986">
        <v>1718</v>
      </c>
      <c r="C1545" s="2987" t="s">
        <v>4994</v>
      </c>
      <c r="D1545" s="2987" t="s">
        <v>3594</v>
      </c>
      <c r="E1545" s="2987" t="s">
        <v>5074</v>
      </c>
      <c r="F1545" s="2987"/>
      <c r="G1545" s="2987">
        <v>1304</v>
      </c>
      <c r="H1545" s="2987" t="s">
        <v>5094</v>
      </c>
      <c r="I1545" s="2987" t="s">
        <v>3486</v>
      </c>
      <c r="J1545" s="2987" t="s">
        <v>3602</v>
      </c>
      <c r="K1545" s="2988">
        <v>111.02</v>
      </c>
    </row>
    <row r="1546" spans="2:11" ht="18" customHeight="1">
      <c r="B1546" s="2986">
        <v>1719</v>
      </c>
      <c r="C1546" s="2987" t="s">
        <v>4994</v>
      </c>
      <c r="D1546" s="2987" t="s">
        <v>3594</v>
      </c>
      <c r="E1546" s="2987" t="s">
        <v>5074</v>
      </c>
      <c r="F1546" s="2987"/>
      <c r="G1546" s="2987">
        <v>1401</v>
      </c>
      <c r="H1546" s="2987" t="s">
        <v>5095</v>
      </c>
      <c r="I1546" s="2987" t="s">
        <v>3486</v>
      </c>
      <c r="J1546" s="2987" t="s">
        <v>3597</v>
      </c>
      <c r="K1546" s="2988">
        <v>128.26</v>
      </c>
    </row>
    <row r="1547" spans="2:11" ht="18" customHeight="1">
      <c r="B1547" s="2986">
        <v>1720</v>
      </c>
      <c r="C1547" s="2987" t="s">
        <v>4994</v>
      </c>
      <c r="D1547" s="2987" t="s">
        <v>3594</v>
      </c>
      <c r="E1547" s="2987" t="s">
        <v>5074</v>
      </c>
      <c r="F1547" s="2987"/>
      <c r="G1547" s="2987">
        <v>1402</v>
      </c>
      <c r="H1547" s="2987" t="s">
        <v>5096</v>
      </c>
      <c r="I1547" s="2987" t="s">
        <v>3486</v>
      </c>
      <c r="J1547" s="2987" t="s">
        <v>3599</v>
      </c>
      <c r="K1547" s="2988">
        <v>96.17</v>
      </c>
    </row>
    <row r="1548" spans="2:11" ht="18" customHeight="1">
      <c r="B1548" s="2986">
        <v>1721</v>
      </c>
      <c r="C1548" s="2987" t="s">
        <v>4994</v>
      </c>
      <c r="D1548" s="2987" t="s">
        <v>3594</v>
      </c>
      <c r="E1548" s="2987" t="s">
        <v>5074</v>
      </c>
      <c r="F1548" s="2987"/>
      <c r="G1548" s="2987">
        <v>1403</v>
      </c>
      <c r="H1548" s="2987" t="s">
        <v>5097</v>
      </c>
      <c r="I1548" s="2987" t="s">
        <v>3486</v>
      </c>
      <c r="J1548" s="2987" t="s">
        <v>3599</v>
      </c>
      <c r="K1548" s="2988">
        <v>96.17</v>
      </c>
    </row>
    <row r="1549" spans="2:11" ht="18" customHeight="1">
      <c r="B1549" s="2986">
        <v>1722</v>
      </c>
      <c r="C1549" s="2987" t="s">
        <v>4994</v>
      </c>
      <c r="D1549" s="2987" t="s">
        <v>3594</v>
      </c>
      <c r="E1549" s="2987" t="s">
        <v>5074</v>
      </c>
      <c r="F1549" s="2987"/>
      <c r="G1549" s="2987">
        <v>1404</v>
      </c>
      <c r="H1549" s="2987" t="s">
        <v>5098</v>
      </c>
      <c r="I1549" s="2987" t="s">
        <v>3486</v>
      </c>
      <c r="J1549" s="2987" t="s">
        <v>3602</v>
      </c>
      <c r="K1549" s="2988">
        <v>111.02</v>
      </c>
    </row>
    <row r="1550" spans="2:11" ht="18" customHeight="1">
      <c r="B1550" s="2986">
        <v>1723</v>
      </c>
      <c r="C1550" s="2987" t="s">
        <v>4994</v>
      </c>
      <c r="D1550" s="2987" t="s">
        <v>3594</v>
      </c>
      <c r="E1550" s="2987" t="s">
        <v>5074</v>
      </c>
      <c r="F1550" s="2987"/>
      <c r="G1550" s="2987">
        <v>1501</v>
      </c>
      <c r="H1550" s="2987" t="s">
        <v>5099</v>
      </c>
      <c r="I1550" s="2987" t="s">
        <v>3486</v>
      </c>
      <c r="J1550" s="2987" t="s">
        <v>3597</v>
      </c>
      <c r="K1550" s="2988">
        <v>128.26</v>
      </c>
    </row>
    <row r="1551" spans="2:11" ht="18" customHeight="1">
      <c r="B1551" s="2986">
        <v>1724</v>
      </c>
      <c r="C1551" s="2987" t="s">
        <v>4994</v>
      </c>
      <c r="D1551" s="2987" t="s">
        <v>3594</v>
      </c>
      <c r="E1551" s="2987" t="s">
        <v>5074</v>
      </c>
      <c r="F1551" s="2987"/>
      <c r="G1551" s="2987">
        <v>1502</v>
      </c>
      <c r="H1551" s="2987" t="s">
        <v>5100</v>
      </c>
      <c r="I1551" s="2987" t="s">
        <v>3486</v>
      </c>
      <c r="J1551" s="2987" t="s">
        <v>3599</v>
      </c>
      <c r="K1551" s="2988">
        <v>96.17</v>
      </c>
    </row>
    <row r="1552" spans="2:11" ht="18" customHeight="1">
      <c r="B1552" s="2986">
        <v>1725</v>
      </c>
      <c r="C1552" s="2987" t="s">
        <v>4994</v>
      </c>
      <c r="D1552" s="2987" t="s">
        <v>3594</v>
      </c>
      <c r="E1552" s="2987" t="s">
        <v>5074</v>
      </c>
      <c r="F1552" s="2987"/>
      <c r="G1552" s="2987">
        <v>1503</v>
      </c>
      <c r="H1552" s="2987" t="s">
        <v>5101</v>
      </c>
      <c r="I1552" s="2987" t="s">
        <v>3486</v>
      </c>
      <c r="J1552" s="2987" t="s">
        <v>3599</v>
      </c>
      <c r="K1552" s="2988">
        <v>96.17</v>
      </c>
    </row>
    <row r="1553" spans="2:11" ht="18" customHeight="1">
      <c r="B1553" s="2986">
        <v>1726</v>
      </c>
      <c r="C1553" s="2987" t="s">
        <v>4994</v>
      </c>
      <c r="D1553" s="2987" t="s">
        <v>3594</v>
      </c>
      <c r="E1553" s="2987" t="s">
        <v>5074</v>
      </c>
      <c r="F1553" s="2987"/>
      <c r="G1553" s="2987">
        <v>1504</v>
      </c>
      <c r="H1553" s="2987" t="s">
        <v>5102</v>
      </c>
      <c r="I1553" s="2987" t="s">
        <v>3486</v>
      </c>
      <c r="J1553" s="2987" t="s">
        <v>3602</v>
      </c>
      <c r="K1553" s="2988">
        <v>111.02</v>
      </c>
    </row>
    <row r="1554" spans="2:11" ht="18" customHeight="1">
      <c r="B1554" s="2986">
        <v>1727</v>
      </c>
      <c r="C1554" s="2987" t="s">
        <v>4994</v>
      </c>
      <c r="D1554" s="2987" t="s">
        <v>3594</v>
      </c>
      <c r="E1554" s="2987" t="s">
        <v>5074</v>
      </c>
      <c r="F1554" s="2987"/>
      <c r="G1554" s="2987">
        <v>1601</v>
      </c>
      <c r="H1554" s="2987" t="s">
        <v>5103</v>
      </c>
      <c r="I1554" s="2987" t="s">
        <v>3486</v>
      </c>
      <c r="J1554" s="2987" t="s">
        <v>3597</v>
      </c>
      <c r="K1554" s="2988">
        <v>128.26</v>
      </c>
    </row>
    <row r="1555" spans="2:11" ht="18" customHeight="1">
      <c r="B1555" s="2986">
        <v>1728</v>
      </c>
      <c r="C1555" s="2987" t="s">
        <v>4994</v>
      </c>
      <c r="D1555" s="2987" t="s">
        <v>3594</v>
      </c>
      <c r="E1555" s="2987" t="s">
        <v>5074</v>
      </c>
      <c r="F1555" s="2987"/>
      <c r="G1555" s="2987">
        <v>1602</v>
      </c>
      <c r="H1555" s="2987" t="s">
        <v>5104</v>
      </c>
      <c r="I1555" s="2987" t="s">
        <v>3486</v>
      </c>
      <c r="J1555" s="2987" t="s">
        <v>3599</v>
      </c>
      <c r="K1555" s="2988">
        <v>96.17</v>
      </c>
    </row>
    <row r="1556" spans="2:11" ht="18" customHeight="1">
      <c r="B1556" s="2986">
        <v>1729</v>
      </c>
      <c r="C1556" s="2987" t="s">
        <v>4994</v>
      </c>
      <c r="D1556" s="2987" t="s">
        <v>3594</v>
      </c>
      <c r="E1556" s="2987" t="s">
        <v>5074</v>
      </c>
      <c r="F1556" s="2987"/>
      <c r="G1556" s="2987">
        <v>1603</v>
      </c>
      <c r="H1556" s="2987" t="s">
        <v>5105</v>
      </c>
      <c r="I1556" s="2987" t="s">
        <v>3486</v>
      </c>
      <c r="J1556" s="2987" t="s">
        <v>3599</v>
      </c>
      <c r="K1556" s="2988">
        <v>96.17</v>
      </c>
    </row>
    <row r="1557" spans="2:11" ht="18" customHeight="1">
      <c r="B1557" s="2986">
        <v>1730</v>
      </c>
      <c r="C1557" s="2987" t="s">
        <v>4994</v>
      </c>
      <c r="D1557" s="2987" t="s">
        <v>3594</v>
      </c>
      <c r="E1557" s="2987" t="s">
        <v>5074</v>
      </c>
      <c r="F1557" s="2987"/>
      <c r="G1557" s="2987">
        <v>1604</v>
      </c>
      <c r="H1557" s="2987" t="s">
        <v>5106</v>
      </c>
      <c r="I1557" s="2987" t="s">
        <v>3486</v>
      </c>
      <c r="J1557" s="2987" t="s">
        <v>3602</v>
      </c>
      <c r="K1557" s="2988">
        <v>111.02</v>
      </c>
    </row>
    <row r="1558" spans="2:11" ht="18" customHeight="1">
      <c r="B1558" s="2986">
        <v>1731</v>
      </c>
      <c r="C1558" s="2987" t="s">
        <v>4994</v>
      </c>
      <c r="D1558" s="2987" t="s">
        <v>3594</v>
      </c>
      <c r="E1558" s="2987" t="s">
        <v>5074</v>
      </c>
      <c r="F1558" s="2987"/>
      <c r="G1558" s="2987">
        <v>1701</v>
      </c>
      <c r="H1558" s="2987" t="s">
        <v>5107</v>
      </c>
      <c r="I1558" s="2987" t="s">
        <v>3486</v>
      </c>
      <c r="J1558" s="2987" t="s">
        <v>3597</v>
      </c>
      <c r="K1558" s="2988">
        <v>128.26</v>
      </c>
    </row>
    <row r="1559" spans="2:11" ht="18" customHeight="1">
      <c r="B1559" s="2986">
        <v>1732</v>
      </c>
      <c r="C1559" s="2987" t="s">
        <v>4994</v>
      </c>
      <c r="D1559" s="2987" t="s">
        <v>3594</v>
      </c>
      <c r="E1559" s="2987" t="s">
        <v>5074</v>
      </c>
      <c r="F1559" s="2987"/>
      <c r="G1559" s="2987">
        <v>1702</v>
      </c>
      <c r="H1559" s="2987" t="s">
        <v>5108</v>
      </c>
      <c r="I1559" s="2987" t="s">
        <v>3486</v>
      </c>
      <c r="J1559" s="2987" t="s">
        <v>3599</v>
      </c>
      <c r="K1559" s="2988">
        <v>96.17</v>
      </c>
    </row>
    <row r="1560" spans="2:11" ht="18" customHeight="1">
      <c r="B1560" s="2986">
        <v>1733</v>
      </c>
      <c r="C1560" s="2987" t="s">
        <v>4994</v>
      </c>
      <c r="D1560" s="2987" t="s">
        <v>3594</v>
      </c>
      <c r="E1560" s="2987" t="s">
        <v>5074</v>
      </c>
      <c r="F1560" s="2987"/>
      <c r="G1560" s="2987">
        <v>1703</v>
      </c>
      <c r="H1560" s="2987" t="s">
        <v>5109</v>
      </c>
      <c r="I1560" s="2987" t="s">
        <v>3486</v>
      </c>
      <c r="J1560" s="2987" t="s">
        <v>3599</v>
      </c>
      <c r="K1560" s="2988">
        <v>96.17</v>
      </c>
    </row>
    <row r="1561" spans="2:11" ht="18" customHeight="1">
      <c r="B1561" s="2986">
        <v>1734</v>
      </c>
      <c r="C1561" s="2987" t="s">
        <v>4994</v>
      </c>
      <c r="D1561" s="2987" t="s">
        <v>3594</v>
      </c>
      <c r="E1561" s="2987" t="s">
        <v>5074</v>
      </c>
      <c r="F1561" s="2987"/>
      <c r="G1561" s="2987">
        <v>1704</v>
      </c>
      <c r="H1561" s="2987" t="s">
        <v>5110</v>
      </c>
      <c r="I1561" s="2987" t="s">
        <v>3486</v>
      </c>
      <c r="J1561" s="2987" t="s">
        <v>3602</v>
      </c>
      <c r="K1561" s="2988">
        <v>111.02</v>
      </c>
    </row>
    <row r="1562" spans="2:11" ht="18" customHeight="1">
      <c r="B1562" s="2986">
        <v>1735</v>
      </c>
      <c r="C1562" s="2987" t="s">
        <v>4994</v>
      </c>
      <c r="D1562" s="2987" t="s">
        <v>3594</v>
      </c>
      <c r="E1562" s="2987" t="s">
        <v>5074</v>
      </c>
      <c r="F1562" s="2987"/>
      <c r="G1562" s="2987">
        <v>1801</v>
      </c>
      <c r="H1562" s="2987" t="s">
        <v>5111</v>
      </c>
      <c r="I1562" s="2987" t="s">
        <v>3486</v>
      </c>
      <c r="J1562" s="2987" t="s">
        <v>3597</v>
      </c>
      <c r="K1562" s="2988">
        <v>128.26</v>
      </c>
    </row>
    <row r="1563" spans="2:11" ht="18" customHeight="1">
      <c r="B1563" s="2986">
        <v>1736</v>
      </c>
      <c r="C1563" s="2987" t="s">
        <v>4994</v>
      </c>
      <c r="D1563" s="2987" t="s">
        <v>3594</v>
      </c>
      <c r="E1563" s="2987" t="s">
        <v>5074</v>
      </c>
      <c r="F1563" s="2987"/>
      <c r="G1563" s="2987">
        <v>1802</v>
      </c>
      <c r="H1563" s="2987" t="s">
        <v>5112</v>
      </c>
      <c r="I1563" s="2987" t="s">
        <v>3486</v>
      </c>
      <c r="J1563" s="2987" t="s">
        <v>3599</v>
      </c>
      <c r="K1563" s="2988">
        <v>96.17</v>
      </c>
    </row>
    <row r="1564" spans="2:11" ht="18" customHeight="1">
      <c r="B1564" s="2986">
        <v>1737</v>
      </c>
      <c r="C1564" s="2987" t="s">
        <v>4994</v>
      </c>
      <c r="D1564" s="2987" t="s">
        <v>3594</v>
      </c>
      <c r="E1564" s="2987" t="s">
        <v>5074</v>
      </c>
      <c r="F1564" s="2987"/>
      <c r="G1564" s="2987">
        <v>1803</v>
      </c>
      <c r="H1564" s="2987" t="s">
        <v>5113</v>
      </c>
      <c r="I1564" s="2987" t="s">
        <v>3486</v>
      </c>
      <c r="J1564" s="2987" t="s">
        <v>3599</v>
      </c>
      <c r="K1564" s="2988">
        <v>96.17</v>
      </c>
    </row>
    <row r="1565" spans="2:11" ht="18" customHeight="1">
      <c r="B1565" s="2986">
        <v>1738</v>
      </c>
      <c r="C1565" s="2987" t="s">
        <v>4994</v>
      </c>
      <c r="D1565" s="2987" t="s">
        <v>3594</v>
      </c>
      <c r="E1565" s="2987" t="s">
        <v>5074</v>
      </c>
      <c r="F1565" s="2987"/>
      <c r="G1565" s="2987">
        <v>1804</v>
      </c>
      <c r="H1565" s="2987" t="s">
        <v>5114</v>
      </c>
      <c r="I1565" s="2987" t="s">
        <v>3486</v>
      </c>
      <c r="J1565" s="2987" t="s">
        <v>3602</v>
      </c>
      <c r="K1565" s="2988">
        <v>111.02</v>
      </c>
    </row>
    <row r="1566" spans="2:11" ht="18" customHeight="1">
      <c r="B1566" s="2986">
        <v>1739</v>
      </c>
      <c r="C1566" s="2987" t="s">
        <v>4994</v>
      </c>
      <c r="D1566" s="2987" t="s">
        <v>3594</v>
      </c>
      <c r="E1566" s="2987" t="s">
        <v>5074</v>
      </c>
      <c r="F1566" s="2987"/>
      <c r="G1566" s="2987">
        <v>1901</v>
      </c>
      <c r="H1566" s="2987" t="s">
        <v>5115</v>
      </c>
      <c r="I1566" s="2987" t="s">
        <v>3486</v>
      </c>
      <c r="J1566" s="2987" t="s">
        <v>3597</v>
      </c>
      <c r="K1566" s="2988">
        <v>128.26</v>
      </c>
    </row>
    <row r="1567" spans="2:11" ht="18" customHeight="1">
      <c r="B1567" s="2986">
        <v>1740</v>
      </c>
      <c r="C1567" s="2987" t="s">
        <v>4994</v>
      </c>
      <c r="D1567" s="2987" t="s">
        <v>3594</v>
      </c>
      <c r="E1567" s="2987" t="s">
        <v>5074</v>
      </c>
      <c r="F1567" s="2987"/>
      <c r="G1567" s="2987">
        <v>1902</v>
      </c>
      <c r="H1567" s="2987" t="s">
        <v>5116</v>
      </c>
      <c r="I1567" s="2987" t="s">
        <v>3486</v>
      </c>
      <c r="J1567" s="2987" t="s">
        <v>3599</v>
      </c>
      <c r="K1567" s="2988">
        <v>96.17</v>
      </c>
    </row>
    <row r="1568" spans="2:11" ht="18" customHeight="1">
      <c r="B1568" s="2986">
        <v>1741</v>
      </c>
      <c r="C1568" s="2987" t="s">
        <v>4994</v>
      </c>
      <c r="D1568" s="2987" t="s">
        <v>3594</v>
      </c>
      <c r="E1568" s="2987" t="s">
        <v>5074</v>
      </c>
      <c r="F1568" s="2987"/>
      <c r="G1568" s="2987">
        <v>1903</v>
      </c>
      <c r="H1568" s="2987" t="s">
        <v>5117</v>
      </c>
      <c r="I1568" s="2987" t="s">
        <v>3486</v>
      </c>
      <c r="J1568" s="2987" t="s">
        <v>3599</v>
      </c>
      <c r="K1568" s="2988">
        <v>96.17</v>
      </c>
    </row>
    <row r="1569" spans="2:11" ht="18" customHeight="1">
      <c r="B1569" s="2986">
        <v>1742</v>
      </c>
      <c r="C1569" s="2987" t="s">
        <v>4994</v>
      </c>
      <c r="D1569" s="2987" t="s">
        <v>3594</v>
      </c>
      <c r="E1569" s="2987" t="s">
        <v>5074</v>
      </c>
      <c r="F1569" s="2987"/>
      <c r="G1569" s="2987">
        <v>1904</v>
      </c>
      <c r="H1569" s="2987" t="s">
        <v>5118</v>
      </c>
      <c r="I1569" s="2987" t="s">
        <v>3486</v>
      </c>
      <c r="J1569" s="2987" t="s">
        <v>3602</v>
      </c>
      <c r="K1569" s="2988">
        <v>111.02</v>
      </c>
    </row>
    <row r="1570" spans="2:11" ht="18" customHeight="1">
      <c r="B1570" s="2986">
        <v>1743</v>
      </c>
      <c r="C1570" s="2987" t="s">
        <v>4994</v>
      </c>
      <c r="D1570" s="2987" t="s">
        <v>3594</v>
      </c>
      <c r="E1570" s="2987" t="s">
        <v>5074</v>
      </c>
      <c r="F1570" s="2987"/>
      <c r="G1570" s="2987">
        <v>2001</v>
      </c>
      <c r="H1570" s="2987" t="s">
        <v>5119</v>
      </c>
      <c r="I1570" s="2987" t="s">
        <v>3486</v>
      </c>
      <c r="J1570" s="2987" t="s">
        <v>3597</v>
      </c>
      <c r="K1570" s="2988">
        <v>128.26</v>
      </c>
    </row>
    <row r="1571" spans="2:11" ht="18" customHeight="1">
      <c r="B1571" s="2986">
        <v>1744</v>
      </c>
      <c r="C1571" s="2987" t="s">
        <v>4994</v>
      </c>
      <c r="D1571" s="2987" t="s">
        <v>3594</v>
      </c>
      <c r="E1571" s="2987" t="s">
        <v>5074</v>
      </c>
      <c r="F1571" s="2987"/>
      <c r="G1571" s="2987">
        <v>2002</v>
      </c>
      <c r="H1571" s="2987" t="s">
        <v>5120</v>
      </c>
      <c r="I1571" s="2987" t="s">
        <v>3486</v>
      </c>
      <c r="J1571" s="2987" t="s">
        <v>3599</v>
      </c>
      <c r="K1571" s="2988">
        <v>96.17</v>
      </c>
    </row>
    <row r="1572" spans="2:11" ht="18" customHeight="1">
      <c r="B1572" s="2986">
        <v>1745</v>
      </c>
      <c r="C1572" s="2987" t="s">
        <v>4994</v>
      </c>
      <c r="D1572" s="2987" t="s">
        <v>3594</v>
      </c>
      <c r="E1572" s="2987" t="s">
        <v>5074</v>
      </c>
      <c r="F1572" s="2987"/>
      <c r="G1572" s="2987">
        <v>2003</v>
      </c>
      <c r="H1572" s="2987" t="s">
        <v>5121</v>
      </c>
      <c r="I1572" s="2987" t="s">
        <v>3486</v>
      </c>
      <c r="J1572" s="2987" t="s">
        <v>3599</v>
      </c>
      <c r="K1572" s="2988">
        <v>96.17</v>
      </c>
    </row>
    <row r="1573" spans="2:11" ht="18" customHeight="1">
      <c r="B1573" s="2986">
        <v>1746</v>
      </c>
      <c r="C1573" s="2987" t="s">
        <v>4994</v>
      </c>
      <c r="D1573" s="2987" t="s">
        <v>3594</v>
      </c>
      <c r="E1573" s="2987" t="s">
        <v>5074</v>
      </c>
      <c r="F1573" s="2987"/>
      <c r="G1573" s="2987">
        <v>2004</v>
      </c>
      <c r="H1573" s="2987" t="s">
        <v>5122</v>
      </c>
      <c r="I1573" s="2987" t="s">
        <v>3486</v>
      </c>
      <c r="J1573" s="2987" t="s">
        <v>3602</v>
      </c>
      <c r="K1573" s="2988">
        <v>111.02</v>
      </c>
    </row>
    <row r="1574" spans="2:11" ht="18" customHeight="1">
      <c r="B1574" s="2986">
        <v>1747</v>
      </c>
      <c r="C1574" s="2987" t="s">
        <v>4994</v>
      </c>
      <c r="D1574" s="2987" t="s">
        <v>3594</v>
      </c>
      <c r="E1574" s="2987" t="s">
        <v>5074</v>
      </c>
      <c r="F1574" s="2987"/>
      <c r="G1574" s="2987">
        <v>201</v>
      </c>
      <c r="H1574" s="2987" t="s">
        <v>5123</v>
      </c>
      <c r="I1574" s="2987" t="s">
        <v>3486</v>
      </c>
      <c r="J1574" s="2987" t="s">
        <v>3597</v>
      </c>
      <c r="K1574" s="2988">
        <v>128.26</v>
      </c>
    </row>
    <row r="1575" spans="2:11" ht="18" customHeight="1">
      <c r="B1575" s="2986">
        <v>1748</v>
      </c>
      <c r="C1575" s="2987" t="s">
        <v>4994</v>
      </c>
      <c r="D1575" s="2987" t="s">
        <v>3594</v>
      </c>
      <c r="E1575" s="2987" t="s">
        <v>5074</v>
      </c>
      <c r="F1575" s="2987"/>
      <c r="G1575" s="2987">
        <v>202</v>
      </c>
      <c r="H1575" s="2987" t="s">
        <v>5124</v>
      </c>
      <c r="I1575" s="2987" t="s">
        <v>3486</v>
      </c>
      <c r="J1575" s="2987" t="s">
        <v>3599</v>
      </c>
      <c r="K1575" s="2988">
        <v>96.17</v>
      </c>
    </row>
    <row r="1576" spans="2:11" ht="18" customHeight="1">
      <c r="B1576" s="2986">
        <v>1749</v>
      </c>
      <c r="C1576" s="2987" t="s">
        <v>4994</v>
      </c>
      <c r="D1576" s="2987" t="s">
        <v>3594</v>
      </c>
      <c r="E1576" s="2987" t="s">
        <v>5074</v>
      </c>
      <c r="F1576" s="2987"/>
      <c r="G1576" s="2987">
        <v>203</v>
      </c>
      <c r="H1576" s="2987" t="s">
        <v>5125</v>
      </c>
      <c r="I1576" s="2987" t="s">
        <v>3486</v>
      </c>
      <c r="J1576" s="2987" t="s">
        <v>3599</v>
      </c>
      <c r="K1576" s="2988">
        <v>96.17</v>
      </c>
    </row>
    <row r="1577" spans="2:11" ht="18" customHeight="1">
      <c r="B1577" s="2986">
        <v>1750</v>
      </c>
      <c r="C1577" s="2987" t="s">
        <v>4994</v>
      </c>
      <c r="D1577" s="2987" t="s">
        <v>3594</v>
      </c>
      <c r="E1577" s="2987" t="s">
        <v>5074</v>
      </c>
      <c r="F1577" s="2987"/>
      <c r="G1577" s="2987">
        <v>204</v>
      </c>
      <c r="H1577" s="2987" t="s">
        <v>5126</v>
      </c>
      <c r="I1577" s="2987" t="s">
        <v>3486</v>
      </c>
      <c r="J1577" s="2987" t="s">
        <v>3602</v>
      </c>
      <c r="K1577" s="2988">
        <v>111.02</v>
      </c>
    </row>
    <row r="1578" spans="2:11" ht="18" customHeight="1">
      <c r="B1578" s="2986">
        <v>1751</v>
      </c>
      <c r="C1578" s="2987" t="s">
        <v>4994</v>
      </c>
      <c r="D1578" s="2987" t="s">
        <v>3594</v>
      </c>
      <c r="E1578" s="2987" t="s">
        <v>5074</v>
      </c>
      <c r="F1578" s="2987"/>
      <c r="G1578" s="2987">
        <v>2101</v>
      </c>
      <c r="H1578" s="2987" t="s">
        <v>5127</v>
      </c>
      <c r="I1578" s="2987" t="s">
        <v>3486</v>
      </c>
      <c r="J1578" s="2987" t="s">
        <v>3597</v>
      </c>
      <c r="K1578" s="2988">
        <v>128.26</v>
      </c>
    </row>
    <row r="1579" spans="2:11" ht="18" customHeight="1">
      <c r="B1579" s="2986">
        <v>1752</v>
      </c>
      <c r="C1579" s="2987" t="s">
        <v>4994</v>
      </c>
      <c r="D1579" s="2987" t="s">
        <v>3594</v>
      </c>
      <c r="E1579" s="2987" t="s">
        <v>5074</v>
      </c>
      <c r="F1579" s="2987"/>
      <c r="G1579" s="2987">
        <v>2102</v>
      </c>
      <c r="H1579" s="2987" t="s">
        <v>5128</v>
      </c>
      <c r="I1579" s="2987" t="s">
        <v>3486</v>
      </c>
      <c r="J1579" s="2987" t="s">
        <v>3599</v>
      </c>
      <c r="K1579" s="2988">
        <v>96.17</v>
      </c>
    </row>
    <row r="1580" spans="2:11" ht="18" customHeight="1">
      <c r="B1580" s="2986">
        <v>1753</v>
      </c>
      <c r="C1580" s="2987" t="s">
        <v>4994</v>
      </c>
      <c r="D1580" s="2987" t="s">
        <v>3594</v>
      </c>
      <c r="E1580" s="2987" t="s">
        <v>5074</v>
      </c>
      <c r="F1580" s="2987"/>
      <c r="G1580" s="2987">
        <v>2103</v>
      </c>
      <c r="H1580" s="2987" t="s">
        <v>5129</v>
      </c>
      <c r="I1580" s="2987" t="s">
        <v>3486</v>
      </c>
      <c r="J1580" s="2987" t="s">
        <v>3599</v>
      </c>
      <c r="K1580" s="2988">
        <v>96.17</v>
      </c>
    </row>
    <row r="1581" spans="2:11" ht="18" customHeight="1">
      <c r="B1581" s="2986">
        <v>1754</v>
      </c>
      <c r="C1581" s="2987" t="s">
        <v>4994</v>
      </c>
      <c r="D1581" s="2987" t="s">
        <v>3594</v>
      </c>
      <c r="E1581" s="2987" t="s">
        <v>5074</v>
      </c>
      <c r="F1581" s="2987"/>
      <c r="G1581" s="2987">
        <v>2104</v>
      </c>
      <c r="H1581" s="2987" t="s">
        <v>5130</v>
      </c>
      <c r="I1581" s="2987" t="s">
        <v>3486</v>
      </c>
      <c r="J1581" s="2987" t="s">
        <v>3602</v>
      </c>
      <c r="K1581" s="2988">
        <v>111.02</v>
      </c>
    </row>
    <row r="1582" spans="2:11" ht="18" customHeight="1">
      <c r="B1582" s="2986">
        <v>1755</v>
      </c>
      <c r="C1582" s="2987" t="s">
        <v>4994</v>
      </c>
      <c r="D1582" s="2987" t="s">
        <v>3594</v>
      </c>
      <c r="E1582" s="2987" t="s">
        <v>5074</v>
      </c>
      <c r="F1582" s="2987"/>
      <c r="G1582" s="2987">
        <v>301</v>
      </c>
      <c r="H1582" s="2987" t="s">
        <v>5131</v>
      </c>
      <c r="I1582" s="2987" t="s">
        <v>3486</v>
      </c>
      <c r="J1582" s="2987" t="s">
        <v>3597</v>
      </c>
      <c r="K1582" s="2988">
        <v>128.26</v>
      </c>
    </row>
    <row r="1583" spans="2:11" ht="18" customHeight="1">
      <c r="B1583" s="2986">
        <v>1756</v>
      </c>
      <c r="C1583" s="2987" t="s">
        <v>4994</v>
      </c>
      <c r="D1583" s="2987" t="s">
        <v>3594</v>
      </c>
      <c r="E1583" s="2987" t="s">
        <v>5074</v>
      </c>
      <c r="F1583" s="2987"/>
      <c r="G1583" s="2987">
        <v>302</v>
      </c>
      <c r="H1583" s="2987" t="s">
        <v>5132</v>
      </c>
      <c r="I1583" s="2987" t="s">
        <v>3486</v>
      </c>
      <c r="J1583" s="2987" t="s">
        <v>3599</v>
      </c>
      <c r="K1583" s="2988">
        <v>96.17</v>
      </c>
    </row>
    <row r="1584" spans="2:11" ht="18" customHeight="1">
      <c r="B1584" s="2986">
        <v>1757</v>
      </c>
      <c r="C1584" s="2987" t="s">
        <v>4994</v>
      </c>
      <c r="D1584" s="2987" t="s">
        <v>3594</v>
      </c>
      <c r="E1584" s="2987" t="s">
        <v>5074</v>
      </c>
      <c r="F1584" s="2987"/>
      <c r="G1584" s="2987">
        <v>303</v>
      </c>
      <c r="H1584" s="2987" t="s">
        <v>5133</v>
      </c>
      <c r="I1584" s="2987" t="s">
        <v>3486</v>
      </c>
      <c r="J1584" s="2987" t="s">
        <v>3599</v>
      </c>
      <c r="K1584" s="2988">
        <v>96.17</v>
      </c>
    </row>
    <row r="1585" spans="2:11" ht="18" customHeight="1">
      <c r="B1585" s="2986">
        <v>1758</v>
      </c>
      <c r="C1585" s="2987" t="s">
        <v>4994</v>
      </c>
      <c r="D1585" s="2987" t="s">
        <v>3594</v>
      </c>
      <c r="E1585" s="2987" t="s">
        <v>5074</v>
      </c>
      <c r="F1585" s="2987"/>
      <c r="G1585" s="2987">
        <v>304</v>
      </c>
      <c r="H1585" s="2987" t="s">
        <v>5134</v>
      </c>
      <c r="I1585" s="2987" t="s">
        <v>3486</v>
      </c>
      <c r="J1585" s="2987" t="s">
        <v>3602</v>
      </c>
      <c r="K1585" s="2988">
        <v>111.02</v>
      </c>
    </row>
    <row r="1586" spans="2:11" ht="18" customHeight="1">
      <c r="B1586" s="2986">
        <v>1759</v>
      </c>
      <c r="C1586" s="2987" t="s">
        <v>4994</v>
      </c>
      <c r="D1586" s="2987" t="s">
        <v>3594</v>
      </c>
      <c r="E1586" s="2987" t="s">
        <v>5074</v>
      </c>
      <c r="F1586" s="2987"/>
      <c r="G1586" s="2987">
        <v>401</v>
      </c>
      <c r="H1586" s="2987" t="s">
        <v>5135</v>
      </c>
      <c r="I1586" s="2987" t="s">
        <v>3486</v>
      </c>
      <c r="J1586" s="2987" t="s">
        <v>3597</v>
      </c>
      <c r="K1586" s="2988">
        <v>128.26</v>
      </c>
    </row>
    <row r="1587" spans="2:11" ht="18" customHeight="1">
      <c r="B1587" s="2986">
        <v>1760</v>
      </c>
      <c r="C1587" s="2987" t="s">
        <v>4994</v>
      </c>
      <c r="D1587" s="2987" t="s">
        <v>3594</v>
      </c>
      <c r="E1587" s="2987" t="s">
        <v>5074</v>
      </c>
      <c r="F1587" s="2987"/>
      <c r="G1587" s="2987">
        <v>402</v>
      </c>
      <c r="H1587" s="2987" t="s">
        <v>5136</v>
      </c>
      <c r="I1587" s="2987" t="s">
        <v>3486</v>
      </c>
      <c r="J1587" s="2987" t="s">
        <v>3599</v>
      </c>
      <c r="K1587" s="2988">
        <v>96.17</v>
      </c>
    </row>
    <row r="1588" spans="2:11" ht="18" customHeight="1">
      <c r="B1588" s="2986">
        <v>1761</v>
      </c>
      <c r="C1588" s="2987" t="s">
        <v>4994</v>
      </c>
      <c r="D1588" s="2987" t="s">
        <v>3594</v>
      </c>
      <c r="E1588" s="2987" t="s">
        <v>5074</v>
      </c>
      <c r="F1588" s="2987"/>
      <c r="G1588" s="2987">
        <v>403</v>
      </c>
      <c r="H1588" s="2987" t="s">
        <v>5137</v>
      </c>
      <c r="I1588" s="2987" t="s">
        <v>3486</v>
      </c>
      <c r="J1588" s="2987" t="s">
        <v>3599</v>
      </c>
      <c r="K1588" s="2988">
        <v>96.17</v>
      </c>
    </row>
    <row r="1589" spans="2:11" ht="18" customHeight="1">
      <c r="B1589" s="2986">
        <v>1762</v>
      </c>
      <c r="C1589" s="2987" t="s">
        <v>4994</v>
      </c>
      <c r="D1589" s="2987" t="s">
        <v>3594</v>
      </c>
      <c r="E1589" s="2987" t="s">
        <v>5074</v>
      </c>
      <c r="F1589" s="2987"/>
      <c r="G1589" s="2987">
        <v>404</v>
      </c>
      <c r="H1589" s="2987" t="s">
        <v>5138</v>
      </c>
      <c r="I1589" s="2987" t="s">
        <v>3486</v>
      </c>
      <c r="J1589" s="2987" t="s">
        <v>3602</v>
      </c>
      <c r="K1589" s="2988">
        <v>111.02</v>
      </c>
    </row>
    <row r="1590" spans="2:11" ht="18" customHeight="1">
      <c r="B1590" s="2986">
        <v>1763</v>
      </c>
      <c r="C1590" s="2987" t="s">
        <v>4994</v>
      </c>
      <c r="D1590" s="2987" t="s">
        <v>3594</v>
      </c>
      <c r="E1590" s="2987" t="s">
        <v>5074</v>
      </c>
      <c r="F1590" s="2987"/>
      <c r="G1590" s="2987">
        <v>501</v>
      </c>
      <c r="H1590" s="2987" t="s">
        <v>5139</v>
      </c>
      <c r="I1590" s="2987" t="s">
        <v>3486</v>
      </c>
      <c r="J1590" s="2987" t="s">
        <v>3597</v>
      </c>
      <c r="K1590" s="2988">
        <v>128.26</v>
      </c>
    </row>
    <row r="1591" spans="2:11" ht="18" customHeight="1">
      <c r="B1591" s="2986">
        <v>1764</v>
      </c>
      <c r="C1591" s="2987" t="s">
        <v>4994</v>
      </c>
      <c r="D1591" s="2987" t="s">
        <v>3594</v>
      </c>
      <c r="E1591" s="2987" t="s">
        <v>5074</v>
      </c>
      <c r="F1591" s="2987"/>
      <c r="G1591" s="2987">
        <v>502</v>
      </c>
      <c r="H1591" s="2987" t="s">
        <v>5140</v>
      </c>
      <c r="I1591" s="2987" t="s">
        <v>3486</v>
      </c>
      <c r="J1591" s="2987" t="s">
        <v>3599</v>
      </c>
      <c r="K1591" s="2988">
        <v>96.17</v>
      </c>
    </row>
    <row r="1592" spans="2:11" ht="18" customHeight="1">
      <c r="B1592" s="2986">
        <v>1765</v>
      </c>
      <c r="C1592" s="2987" t="s">
        <v>4994</v>
      </c>
      <c r="D1592" s="2987" t="s">
        <v>3594</v>
      </c>
      <c r="E1592" s="2987" t="s">
        <v>5074</v>
      </c>
      <c r="F1592" s="2987"/>
      <c r="G1592" s="2987">
        <v>503</v>
      </c>
      <c r="H1592" s="2987" t="s">
        <v>5141</v>
      </c>
      <c r="I1592" s="2987" t="s">
        <v>3486</v>
      </c>
      <c r="J1592" s="2987" t="s">
        <v>3599</v>
      </c>
      <c r="K1592" s="2988">
        <v>96.17</v>
      </c>
    </row>
    <row r="1593" spans="2:11" ht="18" customHeight="1">
      <c r="B1593" s="2986">
        <v>1766</v>
      </c>
      <c r="C1593" s="2987" t="s">
        <v>4994</v>
      </c>
      <c r="D1593" s="2987" t="s">
        <v>3594</v>
      </c>
      <c r="E1593" s="2987" t="s">
        <v>5074</v>
      </c>
      <c r="F1593" s="2987"/>
      <c r="G1593" s="2987">
        <v>504</v>
      </c>
      <c r="H1593" s="2987" t="s">
        <v>5142</v>
      </c>
      <c r="I1593" s="2987" t="s">
        <v>3486</v>
      </c>
      <c r="J1593" s="2987" t="s">
        <v>3602</v>
      </c>
      <c r="K1593" s="2988">
        <v>111.02</v>
      </c>
    </row>
    <row r="1594" spans="2:11" ht="18" customHeight="1">
      <c r="B1594" s="2986">
        <v>1767</v>
      </c>
      <c r="C1594" s="2987" t="s">
        <v>4994</v>
      </c>
      <c r="D1594" s="2987" t="s">
        <v>3594</v>
      </c>
      <c r="E1594" s="2987" t="s">
        <v>5074</v>
      </c>
      <c r="F1594" s="2987"/>
      <c r="G1594" s="2987">
        <v>601</v>
      </c>
      <c r="H1594" s="2987" t="s">
        <v>5143</v>
      </c>
      <c r="I1594" s="2987" t="s">
        <v>3486</v>
      </c>
      <c r="J1594" s="2987" t="s">
        <v>3597</v>
      </c>
      <c r="K1594" s="2988">
        <v>128.26</v>
      </c>
    </row>
    <row r="1595" spans="2:11" ht="18" customHeight="1">
      <c r="B1595" s="2986">
        <v>1768</v>
      </c>
      <c r="C1595" s="2987" t="s">
        <v>4994</v>
      </c>
      <c r="D1595" s="2987" t="s">
        <v>3594</v>
      </c>
      <c r="E1595" s="2987" t="s">
        <v>5074</v>
      </c>
      <c r="F1595" s="2987"/>
      <c r="G1595" s="2987">
        <v>602</v>
      </c>
      <c r="H1595" s="2987" t="s">
        <v>5144</v>
      </c>
      <c r="I1595" s="2987" t="s">
        <v>3486</v>
      </c>
      <c r="J1595" s="2987" t="s">
        <v>3599</v>
      </c>
      <c r="K1595" s="2988">
        <v>96.17</v>
      </c>
    </row>
    <row r="1596" spans="2:11" ht="18" customHeight="1">
      <c r="B1596" s="2986">
        <v>1769</v>
      </c>
      <c r="C1596" s="2987" t="s">
        <v>4994</v>
      </c>
      <c r="D1596" s="2987" t="s">
        <v>3594</v>
      </c>
      <c r="E1596" s="2987" t="s">
        <v>5074</v>
      </c>
      <c r="F1596" s="2987"/>
      <c r="G1596" s="2987">
        <v>603</v>
      </c>
      <c r="H1596" s="2987" t="s">
        <v>5145</v>
      </c>
      <c r="I1596" s="2987" t="s">
        <v>3486</v>
      </c>
      <c r="J1596" s="2987" t="s">
        <v>3599</v>
      </c>
      <c r="K1596" s="2988">
        <v>96.17</v>
      </c>
    </row>
    <row r="1597" spans="2:11" ht="18" customHeight="1">
      <c r="B1597" s="2986">
        <v>1770</v>
      </c>
      <c r="C1597" s="2987" t="s">
        <v>4994</v>
      </c>
      <c r="D1597" s="2987" t="s">
        <v>3594</v>
      </c>
      <c r="E1597" s="2987" t="s">
        <v>5074</v>
      </c>
      <c r="F1597" s="2987"/>
      <c r="G1597" s="2987">
        <v>604</v>
      </c>
      <c r="H1597" s="2987" t="s">
        <v>5146</v>
      </c>
      <c r="I1597" s="2987" t="s">
        <v>3486</v>
      </c>
      <c r="J1597" s="2987" t="s">
        <v>3602</v>
      </c>
      <c r="K1597" s="2988">
        <v>111.02</v>
      </c>
    </row>
    <row r="1598" spans="2:11" ht="18" customHeight="1">
      <c r="B1598" s="2986">
        <v>1771</v>
      </c>
      <c r="C1598" s="2987" t="s">
        <v>4994</v>
      </c>
      <c r="D1598" s="2987" t="s">
        <v>3594</v>
      </c>
      <c r="E1598" s="2987" t="s">
        <v>5074</v>
      </c>
      <c r="F1598" s="2987"/>
      <c r="G1598" s="2987">
        <v>701</v>
      </c>
      <c r="H1598" s="2987" t="s">
        <v>5147</v>
      </c>
      <c r="I1598" s="2987" t="s">
        <v>3486</v>
      </c>
      <c r="J1598" s="2987" t="s">
        <v>3597</v>
      </c>
      <c r="K1598" s="2988">
        <v>128.26</v>
      </c>
    </row>
    <row r="1599" spans="2:11" ht="18" customHeight="1">
      <c r="B1599" s="2986">
        <v>1772</v>
      </c>
      <c r="C1599" s="2987" t="s">
        <v>4994</v>
      </c>
      <c r="D1599" s="2987" t="s">
        <v>3594</v>
      </c>
      <c r="E1599" s="2987" t="s">
        <v>5074</v>
      </c>
      <c r="F1599" s="2987"/>
      <c r="G1599" s="2987">
        <v>702</v>
      </c>
      <c r="H1599" s="2987" t="s">
        <v>5148</v>
      </c>
      <c r="I1599" s="2987" t="s">
        <v>3486</v>
      </c>
      <c r="J1599" s="2987" t="s">
        <v>3599</v>
      </c>
      <c r="K1599" s="2988">
        <v>96.17</v>
      </c>
    </row>
    <row r="1600" spans="2:11" ht="18" customHeight="1">
      <c r="B1600" s="2986">
        <v>1773</v>
      </c>
      <c r="C1600" s="2987" t="s">
        <v>4994</v>
      </c>
      <c r="D1600" s="2987" t="s">
        <v>3594</v>
      </c>
      <c r="E1600" s="2987" t="s">
        <v>5074</v>
      </c>
      <c r="F1600" s="2987"/>
      <c r="G1600" s="2987">
        <v>703</v>
      </c>
      <c r="H1600" s="2987" t="s">
        <v>5149</v>
      </c>
      <c r="I1600" s="2987" t="s">
        <v>3486</v>
      </c>
      <c r="J1600" s="2987" t="s">
        <v>3599</v>
      </c>
      <c r="K1600" s="2988">
        <v>96.17</v>
      </c>
    </row>
    <row r="1601" spans="2:11" ht="18" customHeight="1">
      <c r="B1601" s="2986">
        <v>1774</v>
      </c>
      <c r="C1601" s="2987" t="s">
        <v>4994</v>
      </c>
      <c r="D1601" s="2987" t="s">
        <v>3594</v>
      </c>
      <c r="E1601" s="2987" t="s">
        <v>5074</v>
      </c>
      <c r="F1601" s="2987"/>
      <c r="G1601" s="2987">
        <v>704</v>
      </c>
      <c r="H1601" s="2987" t="s">
        <v>5150</v>
      </c>
      <c r="I1601" s="2987" t="s">
        <v>3486</v>
      </c>
      <c r="J1601" s="2987" t="s">
        <v>3602</v>
      </c>
      <c r="K1601" s="2988">
        <v>111.02</v>
      </c>
    </row>
    <row r="1602" spans="2:11" ht="18" customHeight="1">
      <c r="B1602" s="2986">
        <v>1775</v>
      </c>
      <c r="C1602" s="2987" t="s">
        <v>4994</v>
      </c>
      <c r="D1602" s="2987" t="s">
        <v>3594</v>
      </c>
      <c r="E1602" s="2987" t="s">
        <v>5074</v>
      </c>
      <c r="F1602" s="2987"/>
      <c r="G1602" s="2987">
        <v>801</v>
      </c>
      <c r="H1602" s="2987" t="s">
        <v>5151</v>
      </c>
      <c r="I1602" s="2987" t="s">
        <v>3486</v>
      </c>
      <c r="J1602" s="2987" t="s">
        <v>3597</v>
      </c>
      <c r="K1602" s="2988">
        <v>128.26</v>
      </c>
    </row>
    <row r="1603" spans="2:11" ht="18" customHeight="1">
      <c r="B1603" s="2986">
        <v>1776</v>
      </c>
      <c r="C1603" s="2987" t="s">
        <v>4994</v>
      </c>
      <c r="D1603" s="2987" t="s">
        <v>3594</v>
      </c>
      <c r="E1603" s="2987" t="s">
        <v>5074</v>
      </c>
      <c r="F1603" s="2987"/>
      <c r="G1603" s="2987">
        <v>802</v>
      </c>
      <c r="H1603" s="2987" t="s">
        <v>5152</v>
      </c>
      <c r="I1603" s="2987" t="s">
        <v>3486</v>
      </c>
      <c r="J1603" s="2987" t="s">
        <v>3599</v>
      </c>
      <c r="K1603" s="2988">
        <v>96.17</v>
      </c>
    </row>
    <row r="1604" spans="2:11" ht="18" customHeight="1">
      <c r="B1604" s="2986">
        <v>1777</v>
      </c>
      <c r="C1604" s="2987" t="s">
        <v>4994</v>
      </c>
      <c r="D1604" s="2987" t="s">
        <v>3594</v>
      </c>
      <c r="E1604" s="2987" t="s">
        <v>5074</v>
      </c>
      <c r="F1604" s="2987"/>
      <c r="G1604" s="2987">
        <v>803</v>
      </c>
      <c r="H1604" s="2987" t="s">
        <v>5153</v>
      </c>
      <c r="I1604" s="2987" t="s">
        <v>3486</v>
      </c>
      <c r="J1604" s="2987" t="s">
        <v>3599</v>
      </c>
      <c r="K1604" s="2988">
        <v>96.17</v>
      </c>
    </row>
    <row r="1605" spans="2:11" ht="18" customHeight="1">
      <c r="B1605" s="2986">
        <v>1778</v>
      </c>
      <c r="C1605" s="2987" t="s">
        <v>4994</v>
      </c>
      <c r="D1605" s="2987" t="s">
        <v>3594</v>
      </c>
      <c r="E1605" s="2987" t="s">
        <v>5074</v>
      </c>
      <c r="F1605" s="2987"/>
      <c r="G1605" s="2987">
        <v>804</v>
      </c>
      <c r="H1605" s="2987" t="s">
        <v>5154</v>
      </c>
      <c r="I1605" s="2987" t="s">
        <v>3486</v>
      </c>
      <c r="J1605" s="2987" t="s">
        <v>3602</v>
      </c>
      <c r="K1605" s="2988">
        <v>111.02</v>
      </c>
    </row>
    <row r="1606" spans="2:11" ht="18" customHeight="1">
      <c r="B1606" s="2986">
        <v>1779</v>
      </c>
      <c r="C1606" s="2987" t="s">
        <v>4994</v>
      </c>
      <c r="D1606" s="2987" t="s">
        <v>3594</v>
      </c>
      <c r="E1606" s="2987" t="s">
        <v>5074</v>
      </c>
      <c r="F1606" s="2987"/>
      <c r="G1606" s="2987">
        <v>901</v>
      </c>
      <c r="H1606" s="2987" t="s">
        <v>5155</v>
      </c>
      <c r="I1606" s="2987" t="s">
        <v>3486</v>
      </c>
      <c r="J1606" s="2987" t="s">
        <v>3597</v>
      </c>
      <c r="K1606" s="2988">
        <v>128.26</v>
      </c>
    </row>
    <row r="1607" spans="2:11" ht="18" customHeight="1">
      <c r="B1607" s="2986">
        <v>1780</v>
      </c>
      <c r="C1607" s="2987" t="s">
        <v>4994</v>
      </c>
      <c r="D1607" s="2987" t="s">
        <v>3594</v>
      </c>
      <c r="E1607" s="2987" t="s">
        <v>5074</v>
      </c>
      <c r="F1607" s="2987"/>
      <c r="G1607" s="2987">
        <v>902</v>
      </c>
      <c r="H1607" s="2987" t="s">
        <v>5156</v>
      </c>
      <c r="I1607" s="2987" t="s">
        <v>3486</v>
      </c>
      <c r="J1607" s="2987" t="s">
        <v>3599</v>
      </c>
      <c r="K1607" s="2988">
        <v>96.17</v>
      </c>
    </row>
    <row r="1608" spans="2:11" ht="18" customHeight="1">
      <c r="B1608" s="2986">
        <v>1781</v>
      </c>
      <c r="C1608" s="2987" t="s">
        <v>4994</v>
      </c>
      <c r="D1608" s="2987" t="s">
        <v>3594</v>
      </c>
      <c r="E1608" s="2987" t="s">
        <v>5074</v>
      </c>
      <c r="F1608" s="2987"/>
      <c r="G1608" s="2987">
        <v>903</v>
      </c>
      <c r="H1608" s="2987" t="s">
        <v>5157</v>
      </c>
      <c r="I1608" s="2987" t="s">
        <v>3486</v>
      </c>
      <c r="J1608" s="2987" t="s">
        <v>3599</v>
      </c>
      <c r="K1608" s="2988">
        <v>96.17</v>
      </c>
    </row>
    <row r="1609" spans="2:11" ht="18" customHeight="1">
      <c r="B1609" s="2986">
        <v>1782</v>
      </c>
      <c r="C1609" s="2987" t="s">
        <v>4994</v>
      </c>
      <c r="D1609" s="2987" t="s">
        <v>3594</v>
      </c>
      <c r="E1609" s="2987" t="s">
        <v>5074</v>
      </c>
      <c r="F1609" s="2987"/>
      <c r="G1609" s="2987">
        <v>904</v>
      </c>
      <c r="H1609" s="2987" t="s">
        <v>5158</v>
      </c>
      <c r="I1609" s="2987" t="s">
        <v>3486</v>
      </c>
      <c r="J1609" s="2987" t="s">
        <v>3602</v>
      </c>
      <c r="K1609" s="2988">
        <v>111.02</v>
      </c>
    </row>
    <row r="1610" spans="2:11" s="3021" customFormat="1" ht="18" customHeight="1">
      <c r="B1610" s="3018"/>
      <c r="C1610" s="3019"/>
      <c r="D1610" s="3019"/>
      <c r="E1610" s="3019"/>
      <c r="F1610" s="3019"/>
      <c r="G1610" s="3019"/>
      <c r="H1610" s="3019"/>
      <c r="I1610" s="3019"/>
      <c r="J1610" s="3019"/>
      <c r="K1610" s="3020">
        <f>SUM(K1526:K1609)</f>
        <v>9064.0200000000095</v>
      </c>
    </row>
    <row r="1611" spans="2:11" ht="18" customHeight="1">
      <c r="B1611" s="2986">
        <v>1783</v>
      </c>
      <c r="C1611" s="2987" t="s">
        <v>4994</v>
      </c>
      <c r="D1611" s="2987" t="s">
        <v>3594</v>
      </c>
      <c r="E1611" s="2987" t="s">
        <v>5159</v>
      </c>
      <c r="F1611" s="2987"/>
      <c r="G1611" s="2987">
        <v>1001</v>
      </c>
      <c r="H1611" s="2987" t="s">
        <v>5160</v>
      </c>
      <c r="I1611" s="2987" t="s">
        <v>3486</v>
      </c>
      <c r="J1611" s="2987" t="s">
        <v>3597</v>
      </c>
      <c r="K1611" s="2988">
        <v>128.26</v>
      </c>
    </row>
    <row r="1612" spans="2:11" ht="18" customHeight="1">
      <c r="B1612" s="2986">
        <v>1784</v>
      </c>
      <c r="C1612" s="2987" t="s">
        <v>4994</v>
      </c>
      <c r="D1612" s="2987" t="s">
        <v>3594</v>
      </c>
      <c r="E1612" s="2987" t="s">
        <v>5159</v>
      </c>
      <c r="F1612" s="2987"/>
      <c r="G1612" s="2987">
        <v>1002</v>
      </c>
      <c r="H1612" s="2987" t="s">
        <v>5161</v>
      </c>
      <c r="I1612" s="2987" t="s">
        <v>3486</v>
      </c>
      <c r="J1612" s="2987" t="s">
        <v>3599</v>
      </c>
      <c r="K1612" s="2988">
        <v>96.17</v>
      </c>
    </row>
    <row r="1613" spans="2:11" ht="18" customHeight="1">
      <c r="B1613" s="2986">
        <v>1785</v>
      </c>
      <c r="C1613" s="2987" t="s">
        <v>4994</v>
      </c>
      <c r="D1613" s="2987" t="s">
        <v>3594</v>
      </c>
      <c r="E1613" s="2987" t="s">
        <v>5159</v>
      </c>
      <c r="F1613" s="2987"/>
      <c r="G1613" s="2987">
        <v>1003</v>
      </c>
      <c r="H1613" s="2987" t="s">
        <v>5162</v>
      </c>
      <c r="I1613" s="2987" t="s">
        <v>3486</v>
      </c>
      <c r="J1613" s="2987" t="s">
        <v>3599</v>
      </c>
      <c r="K1613" s="2988">
        <v>96.17</v>
      </c>
    </row>
    <row r="1614" spans="2:11" ht="18" customHeight="1">
      <c r="B1614" s="2986">
        <v>1786</v>
      </c>
      <c r="C1614" s="2987" t="s">
        <v>4994</v>
      </c>
      <c r="D1614" s="2987" t="s">
        <v>3594</v>
      </c>
      <c r="E1614" s="2987" t="s">
        <v>5159</v>
      </c>
      <c r="F1614" s="2987"/>
      <c r="G1614" s="2987">
        <v>1004</v>
      </c>
      <c r="H1614" s="2987" t="s">
        <v>5163</v>
      </c>
      <c r="I1614" s="2987" t="s">
        <v>3486</v>
      </c>
      <c r="J1614" s="2987" t="s">
        <v>3602</v>
      </c>
      <c r="K1614" s="2988">
        <v>111.02</v>
      </c>
    </row>
    <row r="1615" spans="2:11" ht="18" customHeight="1">
      <c r="B1615" s="2986">
        <v>1787</v>
      </c>
      <c r="C1615" s="2987" t="s">
        <v>4994</v>
      </c>
      <c r="D1615" s="2987" t="s">
        <v>3594</v>
      </c>
      <c r="E1615" s="2987" t="s">
        <v>5159</v>
      </c>
      <c r="F1615" s="2987"/>
      <c r="G1615" s="2987">
        <v>101</v>
      </c>
      <c r="H1615" s="2987" t="s">
        <v>5164</v>
      </c>
      <c r="I1615" s="2987" t="s">
        <v>3486</v>
      </c>
      <c r="J1615" s="2987" t="s">
        <v>3597</v>
      </c>
      <c r="K1615" s="2988">
        <v>128.26</v>
      </c>
    </row>
    <row r="1616" spans="2:11" ht="18" customHeight="1">
      <c r="B1616" s="2986">
        <v>1788</v>
      </c>
      <c r="C1616" s="2987" t="s">
        <v>4994</v>
      </c>
      <c r="D1616" s="2987" t="s">
        <v>3594</v>
      </c>
      <c r="E1616" s="2987" t="s">
        <v>5159</v>
      </c>
      <c r="F1616" s="2987"/>
      <c r="G1616" s="2987">
        <v>102</v>
      </c>
      <c r="H1616" s="2987" t="s">
        <v>5165</v>
      </c>
      <c r="I1616" s="2987" t="s">
        <v>3486</v>
      </c>
      <c r="J1616" s="2987" t="s">
        <v>3599</v>
      </c>
      <c r="K1616" s="2988">
        <v>96.17</v>
      </c>
    </row>
    <row r="1617" spans="2:11" ht="18" customHeight="1">
      <c r="B1617" s="2986">
        <v>1789</v>
      </c>
      <c r="C1617" s="2987" t="s">
        <v>4994</v>
      </c>
      <c r="D1617" s="2987" t="s">
        <v>3594</v>
      </c>
      <c r="E1617" s="2987" t="s">
        <v>5159</v>
      </c>
      <c r="F1617" s="2987"/>
      <c r="G1617" s="2987">
        <v>103</v>
      </c>
      <c r="H1617" s="2987" t="s">
        <v>5166</v>
      </c>
      <c r="I1617" s="2987" t="s">
        <v>3486</v>
      </c>
      <c r="J1617" s="2987" t="s">
        <v>3599</v>
      </c>
      <c r="K1617" s="2988">
        <v>96.17</v>
      </c>
    </row>
    <row r="1618" spans="2:11" ht="18" customHeight="1">
      <c r="B1618" s="2986">
        <v>1790</v>
      </c>
      <c r="C1618" s="2987" t="s">
        <v>4994</v>
      </c>
      <c r="D1618" s="2987" t="s">
        <v>3594</v>
      </c>
      <c r="E1618" s="2987" t="s">
        <v>5159</v>
      </c>
      <c r="F1618" s="2987"/>
      <c r="G1618" s="2987">
        <v>104</v>
      </c>
      <c r="H1618" s="2987" t="s">
        <v>5167</v>
      </c>
      <c r="I1618" s="2987" t="s">
        <v>3486</v>
      </c>
      <c r="J1618" s="2987" t="s">
        <v>3602</v>
      </c>
      <c r="K1618" s="2988">
        <v>111.02</v>
      </c>
    </row>
    <row r="1619" spans="2:11" ht="18" customHeight="1">
      <c r="B1619" s="2986">
        <v>1791</v>
      </c>
      <c r="C1619" s="2987" t="s">
        <v>4994</v>
      </c>
      <c r="D1619" s="2987" t="s">
        <v>3594</v>
      </c>
      <c r="E1619" s="2987" t="s">
        <v>5159</v>
      </c>
      <c r="F1619" s="2987"/>
      <c r="G1619" s="2987">
        <v>1101</v>
      </c>
      <c r="H1619" s="2987" t="s">
        <v>5168</v>
      </c>
      <c r="I1619" s="2987" t="s">
        <v>3486</v>
      </c>
      <c r="J1619" s="2987" t="s">
        <v>3597</v>
      </c>
      <c r="K1619" s="2988">
        <v>128.26</v>
      </c>
    </row>
    <row r="1620" spans="2:11" ht="18" customHeight="1">
      <c r="B1620" s="2986">
        <v>1792</v>
      </c>
      <c r="C1620" s="2987" t="s">
        <v>4994</v>
      </c>
      <c r="D1620" s="2987" t="s">
        <v>3594</v>
      </c>
      <c r="E1620" s="2987" t="s">
        <v>5159</v>
      </c>
      <c r="F1620" s="2987"/>
      <c r="G1620" s="2987">
        <v>1102</v>
      </c>
      <c r="H1620" s="2987" t="s">
        <v>5169</v>
      </c>
      <c r="I1620" s="2987" t="s">
        <v>3486</v>
      </c>
      <c r="J1620" s="2987" t="s">
        <v>3599</v>
      </c>
      <c r="K1620" s="2988">
        <v>96.17</v>
      </c>
    </row>
    <row r="1621" spans="2:11" ht="18" customHeight="1">
      <c r="B1621" s="2986">
        <v>1793</v>
      </c>
      <c r="C1621" s="2987" t="s">
        <v>4994</v>
      </c>
      <c r="D1621" s="2987" t="s">
        <v>3594</v>
      </c>
      <c r="E1621" s="2987" t="s">
        <v>5159</v>
      </c>
      <c r="F1621" s="2987"/>
      <c r="G1621" s="2987">
        <v>1103</v>
      </c>
      <c r="H1621" s="2987" t="s">
        <v>5170</v>
      </c>
      <c r="I1621" s="2987" t="s">
        <v>3486</v>
      </c>
      <c r="J1621" s="2987" t="s">
        <v>3599</v>
      </c>
      <c r="K1621" s="2988">
        <v>96.17</v>
      </c>
    </row>
    <row r="1622" spans="2:11" ht="18" customHeight="1">
      <c r="B1622" s="2986">
        <v>1794</v>
      </c>
      <c r="C1622" s="2987" t="s">
        <v>4994</v>
      </c>
      <c r="D1622" s="2987" t="s">
        <v>3594</v>
      </c>
      <c r="E1622" s="2987" t="s">
        <v>5159</v>
      </c>
      <c r="F1622" s="2987"/>
      <c r="G1622" s="2987">
        <v>1104</v>
      </c>
      <c r="H1622" s="2987" t="s">
        <v>5171</v>
      </c>
      <c r="I1622" s="2987" t="s">
        <v>3486</v>
      </c>
      <c r="J1622" s="2987" t="s">
        <v>3602</v>
      </c>
      <c r="K1622" s="2988">
        <v>111.02</v>
      </c>
    </row>
    <row r="1623" spans="2:11" ht="18" customHeight="1">
      <c r="B1623" s="2986">
        <v>1795</v>
      </c>
      <c r="C1623" s="2987" t="s">
        <v>4994</v>
      </c>
      <c r="D1623" s="2987" t="s">
        <v>3594</v>
      </c>
      <c r="E1623" s="2987" t="s">
        <v>5159</v>
      </c>
      <c r="F1623" s="2987"/>
      <c r="G1623" s="2987">
        <v>1201</v>
      </c>
      <c r="H1623" s="2987" t="s">
        <v>5172</v>
      </c>
      <c r="I1623" s="2987" t="s">
        <v>3486</v>
      </c>
      <c r="J1623" s="2987" t="s">
        <v>3597</v>
      </c>
      <c r="K1623" s="2988">
        <v>128.26</v>
      </c>
    </row>
    <row r="1624" spans="2:11" ht="18" customHeight="1">
      <c r="B1624" s="2986">
        <v>1796</v>
      </c>
      <c r="C1624" s="2987" t="s">
        <v>4994</v>
      </c>
      <c r="D1624" s="2987" t="s">
        <v>3594</v>
      </c>
      <c r="E1624" s="2987" t="s">
        <v>5159</v>
      </c>
      <c r="F1624" s="2987"/>
      <c r="G1624" s="2987">
        <v>1202</v>
      </c>
      <c r="H1624" s="2987" t="s">
        <v>5173</v>
      </c>
      <c r="I1624" s="2987" t="s">
        <v>3486</v>
      </c>
      <c r="J1624" s="2987" t="s">
        <v>3599</v>
      </c>
      <c r="K1624" s="2988">
        <v>96.17</v>
      </c>
    </row>
    <row r="1625" spans="2:11" ht="18" customHeight="1">
      <c r="B1625" s="2986">
        <v>1797</v>
      </c>
      <c r="C1625" s="2987" t="s">
        <v>4994</v>
      </c>
      <c r="D1625" s="2987" t="s">
        <v>3594</v>
      </c>
      <c r="E1625" s="2987" t="s">
        <v>5159</v>
      </c>
      <c r="F1625" s="2987"/>
      <c r="G1625" s="2987">
        <v>1203</v>
      </c>
      <c r="H1625" s="2987" t="s">
        <v>5174</v>
      </c>
      <c r="I1625" s="2987" t="s">
        <v>3486</v>
      </c>
      <c r="J1625" s="2987" t="s">
        <v>3599</v>
      </c>
      <c r="K1625" s="2988">
        <v>96.17</v>
      </c>
    </row>
    <row r="1626" spans="2:11" ht="18" customHeight="1">
      <c r="B1626" s="2986">
        <v>1798</v>
      </c>
      <c r="C1626" s="2987" t="s">
        <v>4994</v>
      </c>
      <c r="D1626" s="2987" t="s">
        <v>3594</v>
      </c>
      <c r="E1626" s="2987" t="s">
        <v>5159</v>
      </c>
      <c r="F1626" s="2987"/>
      <c r="G1626" s="2987">
        <v>1204</v>
      </c>
      <c r="H1626" s="2987" t="s">
        <v>5175</v>
      </c>
      <c r="I1626" s="2987" t="s">
        <v>3486</v>
      </c>
      <c r="J1626" s="2987" t="s">
        <v>3602</v>
      </c>
      <c r="K1626" s="2988">
        <v>111.02</v>
      </c>
    </row>
    <row r="1627" spans="2:11" ht="18" customHeight="1">
      <c r="B1627" s="2986">
        <v>1799</v>
      </c>
      <c r="C1627" s="2987" t="s">
        <v>4994</v>
      </c>
      <c r="D1627" s="2987" t="s">
        <v>3594</v>
      </c>
      <c r="E1627" s="2987" t="s">
        <v>5159</v>
      </c>
      <c r="F1627" s="2987"/>
      <c r="G1627" s="2987">
        <v>1301</v>
      </c>
      <c r="H1627" s="2987" t="s">
        <v>5176</v>
      </c>
      <c r="I1627" s="2987" t="s">
        <v>3486</v>
      </c>
      <c r="J1627" s="2987" t="s">
        <v>3597</v>
      </c>
      <c r="K1627" s="2988">
        <v>128.26</v>
      </c>
    </row>
    <row r="1628" spans="2:11" ht="18" customHeight="1">
      <c r="B1628" s="2986">
        <v>1800</v>
      </c>
      <c r="C1628" s="2987" t="s">
        <v>4994</v>
      </c>
      <c r="D1628" s="2987" t="s">
        <v>3594</v>
      </c>
      <c r="E1628" s="2987" t="s">
        <v>5159</v>
      </c>
      <c r="F1628" s="2987"/>
      <c r="G1628" s="2987">
        <v>1302</v>
      </c>
      <c r="H1628" s="2987" t="s">
        <v>5177</v>
      </c>
      <c r="I1628" s="2987" t="s">
        <v>3486</v>
      </c>
      <c r="J1628" s="2987" t="s">
        <v>3599</v>
      </c>
      <c r="K1628" s="2988">
        <v>96.17</v>
      </c>
    </row>
    <row r="1629" spans="2:11" ht="18" customHeight="1">
      <c r="B1629" s="2986">
        <v>1801</v>
      </c>
      <c r="C1629" s="2987" t="s">
        <v>4994</v>
      </c>
      <c r="D1629" s="2987" t="s">
        <v>3594</v>
      </c>
      <c r="E1629" s="2987" t="s">
        <v>5159</v>
      </c>
      <c r="F1629" s="2987"/>
      <c r="G1629" s="2987">
        <v>1303</v>
      </c>
      <c r="H1629" s="2987" t="s">
        <v>5178</v>
      </c>
      <c r="I1629" s="2987" t="s">
        <v>3486</v>
      </c>
      <c r="J1629" s="2987" t="s">
        <v>3599</v>
      </c>
      <c r="K1629" s="2988">
        <v>96.17</v>
      </c>
    </row>
    <row r="1630" spans="2:11" ht="18" customHeight="1">
      <c r="B1630" s="2986">
        <v>1802</v>
      </c>
      <c r="C1630" s="2987" t="s">
        <v>4994</v>
      </c>
      <c r="D1630" s="2987" t="s">
        <v>3594</v>
      </c>
      <c r="E1630" s="2987" t="s">
        <v>5159</v>
      </c>
      <c r="F1630" s="2987"/>
      <c r="G1630" s="2987">
        <v>1304</v>
      </c>
      <c r="H1630" s="2987" t="s">
        <v>5179</v>
      </c>
      <c r="I1630" s="2987" t="s">
        <v>3486</v>
      </c>
      <c r="J1630" s="2987" t="s">
        <v>3602</v>
      </c>
      <c r="K1630" s="2988">
        <v>111.02</v>
      </c>
    </row>
    <row r="1631" spans="2:11" ht="18" customHeight="1">
      <c r="B1631" s="2986">
        <v>1803</v>
      </c>
      <c r="C1631" s="2987" t="s">
        <v>4994</v>
      </c>
      <c r="D1631" s="2987" t="s">
        <v>3594</v>
      </c>
      <c r="E1631" s="2987" t="s">
        <v>5159</v>
      </c>
      <c r="F1631" s="2987"/>
      <c r="G1631" s="2987">
        <v>1401</v>
      </c>
      <c r="H1631" s="2987" t="s">
        <v>5180</v>
      </c>
      <c r="I1631" s="2987" t="s">
        <v>3486</v>
      </c>
      <c r="J1631" s="2987" t="s">
        <v>3597</v>
      </c>
      <c r="K1631" s="2988">
        <v>128.26</v>
      </c>
    </row>
    <row r="1632" spans="2:11" ht="18" customHeight="1">
      <c r="B1632" s="2986">
        <v>1804</v>
      </c>
      <c r="C1632" s="2987" t="s">
        <v>4994</v>
      </c>
      <c r="D1632" s="2987" t="s">
        <v>3594</v>
      </c>
      <c r="E1632" s="2987" t="s">
        <v>5159</v>
      </c>
      <c r="F1632" s="2987"/>
      <c r="G1632" s="2987">
        <v>1402</v>
      </c>
      <c r="H1632" s="2987" t="s">
        <v>5181</v>
      </c>
      <c r="I1632" s="2987" t="s">
        <v>3486</v>
      </c>
      <c r="J1632" s="2987" t="s">
        <v>3599</v>
      </c>
      <c r="K1632" s="2988">
        <v>96.17</v>
      </c>
    </row>
    <row r="1633" spans="2:11" ht="18" customHeight="1">
      <c r="B1633" s="2986">
        <v>1805</v>
      </c>
      <c r="C1633" s="2987" t="s">
        <v>4994</v>
      </c>
      <c r="D1633" s="2987" t="s">
        <v>3594</v>
      </c>
      <c r="E1633" s="2987" t="s">
        <v>5159</v>
      </c>
      <c r="F1633" s="2987"/>
      <c r="G1633" s="2987">
        <v>1403</v>
      </c>
      <c r="H1633" s="2987" t="s">
        <v>5182</v>
      </c>
      <c r="I1633" s="2987" t="s">
        <v>3486</v>
      </c>
      <c r="J1633" s="2987" t="s">
        <v>3599</v>
      </c>
      <c r="K1633" s="2988">
        <v>96.17</v>
      </c>
    </row>
    <row r="1634" spans="2:11" ht="18" customHeight="1">
      <c r="B1634" s="2986">
        <v>1806</v>
      </c>
      <c r="C1634" s="2987" t="s">
        <v>4994</v>
      </c>
      <c r="D1634" s="2987" t="s">
        <v>3594</v>
      </c>
      <c r="E1634" s="2987" t="s">
        <v>5159</v>
      </c>
      <c r="F1634" s="2987"/>
      <c r="G1634" s="2987">
        <v>1404</v>
      </c>
      <c r="H1634" s="2987" t="s">
        <v>5183</v>
      </c>
      <c r="I1634" s="2987" t="s">
        <v>3486</v>
      </c>
      <c r="J1634" s="2987" t="s">
        <v>3602</v>
      </c>
      <c r="K1634" s="2988">
        <v>111.02</v>
      </c>
    </row>
    <row r="1635" spans="2:11" ht="18" customHeight="1">
      <c r="B1635" s="2986">
        <v>1807</v>
      </c>
      <c r="C1635" s="2987" t="s">
        <v>4994</v>
      </c>
      <c r="D1635" s="2987" t="s">
        <v>3594</v>
      </c>
      <c r="E1635" s="2987" t="s">
        <v>5159</v>
      </c>
      <c r="F1635" s="2987"/>
      <c r="G1635" s="2987">
        <v>1501</v>
      </c>
      <c r="H1635" s="2987" t="s">
        <v>5184</v>
      </c>
      <c r="I1635" s="2987" t="s">
        <v>3486</v>
      </c>
      <c r="J1635" s="2987" t="s">
        <v>3597</v>
      </c>
      <c r="K1635" s="2988">
        <v>128.26</v>
      </c>
    </row>
    <row r="1636" spans="2:11" ht="18" customHeight="1">
      <c r="B1636" s="2986">
        <v>1808</v>
      </c>
      <c r="C1636" s="2987" t="s">
        <v>4994</v>
      </c>
      <c r="D1636" s="2987" t="s">
        <v>3594</v>
      </c>
      <c r="E1636" s="2987" t="s">
        <v>5159</v>
      </c>
      <c r="F1636" s="2987"/>
      <c r="G1636" s="2987">
        <v>1502</v>
      </c>
      <c r="H1636" s="2987" t="s">
        <v>5185</v>
      </c>
      <c r="I1636" s="2987" t="s">
        <v>3486</v>
      </c>
      <c r="J1636" s="2987" t="s">
        <v>3599</v>
      </c>
      <c r="K1636" s="2988">
        <v>96.17</v>
      </c>
    </row>
    <row r="1637" spans="2:11" ht="18" customHeight="1">
      <c r="B1637" s="2986">
        <v>1809</v>
      </c>
      <c r="C1637" s="2987" t="s">
        <v>4994</v>
      </c>
      <c r="D1637" s="2987" t="s">
        <v>3594</v>
      </c>
      <c r="E1637" s="2987" t="s">
        <v>5159</v>
      </c>
      <c r="F1637" s="2987"/>
      <c r="G1637" s="2987">
        <v>1503</v>
      </c>
      <c r="H1637" s="2987" t="s">
        <v>5186</v>
      </c>
      <c r="I1637" s="2987" t="s">
        <v>3486</v>
      </c>
      <c r="J1637" s="2987" t="s">
        <v>3599</v>
      </c>
      <c r="K1637" s="2988">
        <v>96.17</v>
      </c>
    </row>
    <row r="1638" spans="2:11" ht="18" customHeight="1">
      <c r="B1638" s="2986">
        <v>1810</v>
      </c>
      <c r="C1638" s="2987" t="s">
        <v>4994</v>
      </c>
      <c r="D1638" s="2987" t="s">
        <v>3594</v>
      </c>
      <c r="E1638" s="2987" t="s">
        <v>5159</v>
      </c>
      <c r="F1638" s="2987"/>
      <c r="G1638" s="2987">
        <v>1504</v>
      </c>
      <c r="H1638" s="2987" t="s">
        <v>5187</v>
      </c>
      <c r="I1638" s="2987" t="s">
        <v>3486</v>
      </c>
      <c r="J1638" s="2987" t="s">
        <v>3602</v>
      </c>
      <c r="K1638" s="2988">
        <v>111.02</v>
      </c>
    </row>
    <row r="1639" spans="2:11" ht="18" customHeight="1">
      <c r="B1639" s="2986">
        <v>1811</v>
      </c>
      <c r="C1639" s="2987" t="s">
        <v>4994</v>
      </c>
      <c r="D1639" s="2987" t="s">
        <v>3594</v>
      </c>
      <c r="E1639" s="2987" t="s">
        <v>5159</v>
      </c>
      <c r="F1639" s="2987"/>
      <c r="G1639" s="2987">
        <v>1601</v>
      </c>
      <c r="H1639" s="2987" t="s">
        <v>5188</v>
      </c>
      <c r="I1639" s="2987" t="s">
        <v>3486</v>
      </c>
      <c r="J1639" s="2987" t="s">
        <v>3597</v>
      </c>
      <c r="K1639" s="2988">
        <v>128.26</v>
      </c>
    </row>
    <row r="1640" spans="2:11" ht="18" customHeight="1">
      <c r="B1640" s="2986">
        <v>1812</v>
      </c>
      <c r="C1640" s="2987" t="s">
        <v>4994</v>
      </c>
      <c r="D1640" s="2987" t="s">
        <v>3594</v>
      </c>
      <c r="E1640" s="2987" t="s">
        <v>5159</v>
      </c>
      <c r="F1640" s="2987"/>
      <c r="G1640" s="2987">
        <v>1602</v>
      </c>
      <c r="H1640" s="2987" t="s">
        <v>5189</v>
      </c>
      <c r="I1640" s="2987" t="s">
        <v>3486</v>
      </c>
      <c r="J1640" s="2987" t="s">
        <v>3599</v>
      </c>
      <c r="K1640" s="2988">
        <v>96.17</v>
      </c>
    </row>
    <row r="1641" spans="2:11" ht="18" customHeight="1">
      <c r="B1641" s="2986">
        <v>1813</v>
      </c>
      <c r="C1641" s="2987" t="s">
        <v>4994</v>
      </c>
      <c r="D1641" s="2987" t="s">
        <v>3594</v>
      </c>
      <c r="E1641" s="2987" t="s">
        <v>5159</v>
      </c>
      <c r="F1641" s="2987"/>
      <c r="G1641" s="2987">
        <v>1603</v>
      </c>
      <c r="H1641" s="2987" t="s">
        <v>5190</v>
      </c>
      <c r="I1641" s="2987" t="s">
        <v>3486</v>
      </c>
      <c r="J1641" s="2987" t="s">
        <v>3599</v>
      </c>
      <c r="K1641" s="2988">
        <v>96.17</v>
      </c>
    </row>
    <row r="1642" spans="2:11" ht="18" customHeight="1">
      <c r="B1642" s="2986">
        <v>1814</v>
      </c>
      <c r="C1642" s="2987" t="s">
        <v>4994</v>
      </c>
      <c r="D1642" s="2987" t="s">
        <v>3594</v>
      </c>
      <c r="E1642" s="2987" t="s">
        <v>5159</v>
      </c>
      <c r="F1642" s="2987"/>
      <c r="G1642" s="2987">
        <v>1604</v>
      </c>
      <c r="H1642" s="2987" t="s">
        <v>5191</v>
      </c>
      <c r="I1642" s="2987" t="s">
        <v>3486</v>
      </c>
      <c r="J1642" s="2987" t="s">
        <v>3602</v>
      </c>
      <c r="K1642" s="2988">
        <v>111.02</v>
      </c>
    </row>
    <row r="1643" spans="2:11" ht="18" customHeight="1">
      <c r="B1643" s="2986">
        <v>1815</v>
      </c>
      <c r="C1643" s="2987" t="s">
        <v>4994</v>
      </c>
      <c r="D1643" s="2987" t="s">
        <v>3594</v>
      </c>
      <c r="E1643" s="2987" t="s">
        <v>5159</v>
      </c>
      <c r="F1643" s="2987"/>
      <c r="G1643" s="2987">
        <v>1701</v>
      </c>
      <c r="H1643" s="2987" t="s">
        <v>5192</v>
      </c>
      <c r="I1643" s="2987" t="s">
        <v>3486</v>
      </c>
      <c r="J1643" s="2987" t="s">
        <v>3597</v>
      </c>
      <c r="K1643" s="2988">
        <v>128.26</v>
      </c>
    </row>
    <row r="1644" spans="2:11" ht="18" customHeight="1">
      <c r="B1644" s="2986">
        <v>1816</v>
      </c>
      <c r="C1644" s="2987" t="s">
        <v>4994</v>
      </c>
      <c r="D1644" s="2987" t="s">
        <v>3594</v>
      </c>
      <c r="E1644" s="2987" t="s">
        <v>5159</v>
      </c>
      <c r="F1644" s="2987"/>
      <c r="G1644" s="2987">
        <v>1702</v>
      </c>
      <c r="H1644" s="2987" t="s">
        <v>5193</v>
      </c>
      <c r="I1644" s="2987" t="s">
        <v>3486</v>
      </c>
      <c r="J1644" s="2987" t="s">
        <v>3599</v>
      </c>
      <c r="K1644" s="2988">
        <v>96.17</v>
      </c>
    </row>
    <row r="1645" spans="2:11" ht="18" customHeight="1">
      <c r="B1645" s="2986">
        <v>1817</v>
      </c>
      <c r="C1645" s="2987" t="s">
        <v>4994</v>
      </c>
      <c r="D1645" s="2987" t="s">
        <v>3594</v>
      </c>
      <c r="E1645" s="2987" t="s">
        <v>5159</v>
      </c>
      <c r="F1645" s="2987"/>
      <c r="G1645" s="2987">
        <v>1703</v>
      </c>
      <c r="H1645" s="2987" t="s">
        <v>5194</v>
      </c>
      <c r="I1645" s="2987" t="s">
        <v>3486</v>
      </c>
      <c r="J1645" s="2987" t="s">
        <v>3599</v>
      </c>
      <c r="K1645" s="2988">
        <v>96.17</v>
      </c>
    </row>
    <row r="1646" spans="2:11" ht="18" customHeight="1">
      <c r="B1646" s="2986">
        <v>1818</v>
      </c>
      <c r="C1646" s="2987" t="s">
        <v>4994</v>
      </c>
      <c r="D1646" s="2987" t="s">
        <v>3594</v>
      </c>
      <c r="E1646" s="2987" t="s">
        <v>5159</v>
      </c>
      <c r="F1646" s="2987"/>
      <c r="G1646" s="2987">
        <v>1704</v>
      </c>
      <c r="H1646" s="2987" t="s">
        <v>5195</v>
      </c>
      <c r="I1646" s="2987" t="s">
        <v>3486</v>
      </c>
      <c r="J1646" s="2987" t="s">
        <v>3602</v>
      </c>
      <c r="K1646" s="2988">
        <v>111.02</v>
      </c>
    </row>
    <row r="1647" spans="2:11" ht="18" customHeight="1">
      <c r="B1647" s="2986">
        <v>1819</v>
      </c>
      <c r="C1647" s="2987" t="s">
        <v>4994</v>
      </c>
      <c r="D1647" s="2987" t="s">
        <v>3594</v>
      </c>
      <c r="E1647" s="2987" t="s">
        <v>5159</v>
      </c>
      <c r="F1647" s="2987"/>
      <c r="G1647" s="2987">
        <v>1801</v>
      </c>
      <c r="H1647" s="2987" t="s">
        <v>5196</v>
      </c>
      <c r="I1647" s="2987" t="s">
        <v>3486</v>
      </c>
      <c r="J1647" s="2987" t="s">
        <v>3597</v>
      </c>
      <c r="K1647" s="2988">
        <v>128.26</v>
      </c>
    </row>
    <row r="1648" spans="2:11" ht="18" customHeight="1">
      <c r="B1648" s="2986">
        <v>1820</v>
      </c>
      <c r="C1648" s="2987" t="s">
        <v>4994</v>
      </c>
      <c r="D1648" s="2987" t="s">
        <v>3594</v>
      </c>
      <c r="E1648" s="2987" t="s">
        <v>5159</v>
      </c>
      <c r="F1648" s="2987"/>
      <c r="G1648" s="2987">
        <v>1802</v>
      </c>
      <c r="H1648" s="2987" t="s">
        <v>5197</v>
      </c>
      <c r="I1648" s="2987" t="s">
        <v>3486</v>
      </c>
      <c r="J1648" s="2987" t="s">
        <v>3599</v>
      </c>
      <c r="K1648" s="2988">
        <v>96.17</v>
      </c>
    </row>
    <row r="1649" spans="2:11" ht="18" customHeight="1">
      <c r="B1649" s="2986">
        <v>1821</v>
      </c>
      <c r="C1649" s="2987" t="s">
        <v>4994</v>
      </c>
      <c r="D1649" s="2987" t="s">
        <v>3594</v>
      </c>
      <c r="E1649" s="2987" t="s">
        <v>5159</v>
      </c>
      <c r="F1649" s="2987"/>
      <c r="G1649" s="2987">
        <v>1803</v>
      </c>
      <c r="H1649" s="2987" t="s">
        <v>5198</v>
      </c>
      <c r="I1649" s="2987" t="s">
        <v>3486</v>
      </c>
      <c r="J1649" s="2987" t="s">
        <v>3599</v>
      </c>
      <c r="K1649" s="2988">
        <v>96.17</v>
      </c>
    </row>
    <row r="1650" spans="2:11" ht="18" customHeight="1">
      <c r="B1650" s="2986">
        <v>1822</v>
      </c>
      <c r="C1650" s="2987" t="s">
        <v>4994</v>
      </c>
      <c r="D1650" s="2987" t="s">
        <v>3594</v>
      </c>
      <c r="E1650" s="2987" t="s">
        <v>5159</v>
      </c>
      <c r="F1650" s="2987"/>
      <c r="G1650" s="2987">
        <v>1804</v>
      </c>
      <c r="H1650" s="2987" t="s">
        <v>5199</v>
      </c>
      <c r="I1650" s="2987" t="s">
        <v>3486</v>
      </c>
      <c r="J1650" s="2987" t="s">
        <v>3602</v>
      </c>
      <c r="K1650" s="2988">
        <v>111.02</v>
      </c>
    </row>
    <row r="1651" spans="2:11" ht="18" customHeight="1">
      <c r="B1651" s="2986">
        <v>1823</v>
      </c>
      <c r="C1651" s="2987" t="s">
        <v>4994</v>
      </c>
      <c r="D1651" s="2987" t="s">
        <v>3594</v>
      </c>
      <c r="E1651" s="2987" t="s">
        <v>5159</v>
      </c>
      <c r="F1651" s="2987"/>
      <c r="G1651" s="2987">
        <v>1901</v>
      </c>
      <c r="H1651" s="2987" t="s">
        <v>5200</v>
      </c>
      <c r="I1651" s="2987" t="s">
        <v>3486</v>
      </c>
      <c r="J1651" s="2987" t="s">
        <v>3597</v>
      </c>
      <c r="K1651" s="2988">
        <v>128.26</v>
      </c>
    </row>
    <row r="1652" spans="2:11" ht="18" customHeight="1">
      <c r="B1652" s="2986">
        <v>1824</v>
      </c>
      <c r="C1652" s="2987" t="s">
        <v>4994</v>
      </c>
      <c r="D1652" s="2987" t="s">
        <v>3594</v>
      </c>
      <c r="E1652" s="2987" t="s">
        <v>5159</v>
      </c>
      <c r="F1652" s="2987"/>
      <c r="G1652" s="2987">
        <v>1902</v>
      </c>
      <c r="H1652" s="2987" t="s">
        <v>5201</v>
      </c>
      <c r="I1652" s="2987" t="s">
        <v>3486</v>
      </c>
      <c r="J1652" s="2987" t="s">
        <v>3599</v>
      </c>
      <c r="K1652" s="2988">
        <v>96.17</v>
      </c>
    </row>
    <row r="1653" spans="2:11" ht="18" customHeight="1">
      <c r="B1653" s="2986">
        <v>1825</v>
      </c>
      <c r="C1653" s="2987" t="s">
        <v>4994</v>
      </c>
      <c r="D1653" s="2987" t="s">
        <v>3594</v>
      </c>
      <c r="E1653" s="2987" t="s">
        <v>5159</v>
      </c>
      <c r="F1653" s="2987"/>
      <c r="G1653" s="2987">
        <v>1903</v>
      </c>
      <c r="H1653" s="2987" t="s">
        <v>5202</v>
      </c>
      <c r="I1653" s="2987" t="s">
        <v>3486</v>
      </c>
      <c r="J1653" s="2987" t="s">
        <v>3599</v>
      </c>
      <c r="K1653" s="2988">
        <v>96.17</v>
      </c>
    </row>
    <row r="1654" spans="2:11" ht="18" customHeight="1">
      <c r="B1654" s="2986">
        <v>1826</v>
      </c>
      <c r="C1654" s="2987" t="s">
        <v>4994</v>
      </c>
      <c r="D1654" s="2987" t="s">
        <v>3594</v>
      </c>
      <c r="E1654" s="2987" t="s">
        <v>5159</v>
      </c>
      <c r="F1654" s="2987"/>
      <c r="G1654" s="2987">
        <v>1904</v>
      </c>
      <c r="H1654" s="2987" t="s">
        <v>5203</v>
      </c>
      <c r="I1654" s="2987" t="s">
        <v>3486</v>
      </c>
      <c r="J1654" s="2987" t="s">
        <v>3602</v>
      </c>
      <c r="K1654" s="2988">
        <v>111.02</v>
      </c>
    </row>
    <row r="1655" spans="2:11" ht="18" customHeight="1">
      <c r="B1655" s="2986">
        <v>1827</v>
      </c>
      <c r="C1655" s="2987" t="s">
        <v>4994</v>
      </c>
      <c r="D1655" s="2987" t="s">
        <v>3594</v>
      </c>
      <c r="E1655" s="2987" t="s">
        <v>5159</v>
      </c>
      <c r="F1655" s="2987"/>
      <c r="G1655" s="2987">
        <v>2001</v>
      </c>
      <c r="H1655" s="2987" t="s">
        <v>5204</v>
      </c>
      <c r="I1655" s="2987" t="s">
        <v>3486</v>
      </c>
      <c r="J1655" s="2987" t="s">
        <v>3597</v>
      </c>
      <c r="K1655" s="2988">
        <v>128.26</v>
      </c>
    </row>
    <row r="1656" spans="2:11" ht="18" customHeight="1">
      <c r="B1656" s="2986">
        <v>1828</v>
      </c>
      <c r="C1656" s="2987" t="s">
        <v>4994</v>
      </c>
      <c r="D1656" s="2987" t="s">
        <v>3594</v>
      </c>
      <c r="E1656" s="2987" t="s">
        <v>5159</v>
      </c>
      <c r="F1656" s="2987"/>
      <c r="G1656" s="2987">
        <v>2002</v>
      </c>
      <c r="H1656" s="2987" t="s">
        <v>5205</v>
      </c>
      <c r="I1656" s="2987" t="s">
        <v>3486</v>
      </c>
      <c r="J1656" s="2987" t="s">
        <v>3599</v>
      </c>
      <c r="K1656" s="2988">
        <v>96.17</v>
      </c>
    </row>
    <row r="1657" spans="2:11" ht="18" customHeight="1">
      <c r="B1657" s="2986">
        <v>1829</v>
      </c>
      <c r="C1657" s="2987" t="s">
        <v>4994</v>
      </c>
      <c r="D1657" s="2987" t="s">
        <v>3594</v>
      </c>
      <c r="E1657" s="2987" t="s">
        <v>5159</v>
      </c>
      <c r="F1657" s="2987"/>
      <c r="G1657" s="2987">
        <v>2003</v>
      </c>
      <c r="H1657" s="2987" t="s">
        <v>5206</v>
      </c>
      <c r="I1657" s="2987" t="s">
        <v>3486</v>
      </c>
      <c r="J1657" s="2987" t="s">
        <v>3599</v>
      </c>
      <c r="K1657" s="2988">
        <v>96.17</v>
      </c>
    </row>
    <row r="1658" spans="2:11" ht="18" customHeight="1">
      <c r="B1658" s="2986">
        <v>1830</v>
      </c>
      <c r="C1658" s="2987" t="s">
        <v>4994</v>
      </c>
      <c r="D1658" s="2987" t="s">
        <v>3594</v>
      </c>
      <c r="E1658" s="2987" t="s">
        <v>5159</v>
      </c>
      <c r="F1658" s="2987"/>
      <c r="G1658" s="2987">
        <v>2004</v>
      </c>
      <c r="H1658" s="2987" t="s">
        <v>5207</v>
      </c>
      <c r="I1658" s="2987" t="s">
        <v>3486</v>
      </c>
      <c r="J1658" s="2987" t="s">
        <v>3602</v>
      </c>
      <c r="K1658" s="2988">
        <v>111.02</v>
      </c>
    </row>
    <row r="1659" spans="2:11" ht="18" customHeight="1">
      <c r="B1659" s="2986">
        <v>1831</v>
      </c>
      <c r="C1659" s="2987" t="s">
        <v>4994</v>
      </c>
      <c r="D1659" s="2987" t="s">
        <v>3594</v>
      </c>
      <c r="E1659" s="2987" t="s">
        <v>5159</v>
      </c>
      <c r="F1659" s="2987"/>
      <c r="G1659" s="2987">
        <v>201</v>
      </c>
      <c r="H1659" s="2987" t="s">
        <v>5208</v>
      </c>
      <c r="I1659" s="2987" t="s">
        <v>3486</v>
      </c>
      <c r="J1659" s="2987" t="s">
        <v>3597</v>
      </c>
      <c r="K1659" s="2988">
        <v>128.26</v>
      </c>
    </row>
    <row r="1660" spans="2:11" ht="18" customHeight="1">
      <c r="B1660" s="2986">
        <v>1832</v>
      </c>
      <c r="C1660" s="2987" t="s">
        <v>4994</v>
      </c>
      <c r="D1660" s="2987" t="s">
        <v>3594</v>
      </c>
      <c r="E1660" s="2987" t="s">
        <v>5159</v>
      </c>
      <c r="F1660" s="2987"/>
      <c r="G1660" s="2987">
        <v>202</v>
      </c>
      <c r="H1660" s="2987" t="s">
        <v>5209</v>
      </c>
      <c r="I1660" s="2987" t="s">
        <v>3486</v>
      </c>
      <c r="J1660" s="2987" t="s">
        <v>3599</v>
      </c>
      <c r="K1660" s="2988">
        <v>96.17</v>
      </c>
    </row>
    <row r="1661" spans="2:11" ht="18" customHeight="1">
      <c r="B1661" s="2986">
        <v>1833</v>
      </c>
      <c r="C1661" s="2987" t="s">
        <v>4994</v>
      </c>
      <c r="D1661" s="2987" t="s">
        <v>3594</v>
      </c>
      <c r="E1661" s="2987" t="s">
        <v>5159</v>
      </c>
      <c r="F1661" s="2987"/>
      <c r="G1661" s="2987">
        <v>203</v>
      </c>
      <c r="H1661" s="2987" t="s">
        <v>5210</v>
      </c>
      <c r="I1661" s="2987" t="s">
        <v>3486</v>
      </c>
      <c r="J1661" s="2987" t="s">
        <v>3599</v>
      </c>
      <c r="K1661" s="2988">
        <v>96.17</v>
      </c>
    </row>
    <row r="1662" spans="2:11" ht="18" customHeight="1">
      <c r="B1662" s="2986">
        <v>1834</v>
      </c>
      <c r="C1662" s="2987" t="s">
        <v>4994</v>
      </c>
      <c r="D1662" s="2987" t="s">
        <v>3594</v>
      </c>
      <c r="E1662" s="2987" t="s">
        <v>5159</v>
      </c>
      <c r="F1662" s="2987"/>
      <c r="G1662" s="2987">
        <v>204</v>
      </c>
      <c r="H1662" s="2987" t="s">
        <v>5211</v>
      </c>
      <c r="I1662" s="2987" t="s">
        <v>3486</v>
      </c>
      <c r="J1662" s="2987" t="s">
        <v>3602</v>
      </c>
      <c r="K1662" s="2988">
        <v>111.02</v>
      </c>
    </row>
    <row r="1663" spans="2:11" ht="18" customHeight="1">
      <c r="B1663" s="2986">
        <v>1835</v>
      </c>
      <c r="C1663" s="2987" t="s">
        <v>4994</v>
      </c>
      <c r="D1663" s="2987" t="s">
        <v>3594</v>
      </c>
      <c r="E1663" s="2987" t="s">
        <v>5159</v>
      </c>
      <c r="F1663" s="2987"/>
      <c r="G1663" s="2987">
        <v>2101</v>
      </c>
      <c r="H1663" s="2987" t="s">
        <v>5212</v>
      </c>
      <c r="I1663" s="2987" t="s">
        <v>3486</v>
      </c>
      <c r="J1663" s="2987" t="s">
        <v>3597</v>
      </c>
      <c r="K1663" s="2988">
        <v>128.26</v>
      </c>
    </row>
    <row r="1664" spans="2:11" ht="18" customHeight="1">
      <c r="B1664" s="2986">
        <v>1836</v>
      </c>
      <c r="C1664" s="2987" t="s">
        <v>4994</v>
      </c>
      <c r="D1664" s="2987" t="s">
        <v>3594</v>
      </c>
      <c r="E1664" s="2987" t="s">
        <v>5159</v>
      </c>
      <c r="F1664" s="2987"/>
      <c r="G1664" s="2987">
        <v>2102</v>
      </c>
      <c r="H1664" s="2987" t="s">
        <v>5213</v>
      </c>
      <c r="I1664" s="2987" t="s">
        <v>3486</v>
      </c>
      <c r="J1664" s="2987" t="s">
        <v>3599</v>
      </c>
      <c r="K1664" s="2988">
        <v>96.17</v>
      </c>
    </row>
    <row r="1665" spans="2:11" ht="18" customHeight="1">
      <c r="B1665" s="2986">
        <v>1837</v>
      </c>
      <c r="C1665" s="2987" t="s">
        <v>4994</v>
      </c>
      <c r="D1665" s="2987" t="s">
        <v>3594</v>
      </c>
      <c r="E1665" s="2987" t="s">
        <v>5159</v>
      </c>
      <c r="F1665" s="2987"/>
      <c r="G1665" s="2987">
        <v>2103</v>
      </c>
      <c r="H1665" s="2987" t="s">
        <v>5214</v>
      </c>
      <c r="I1665" s="2987" t="s">
        <v>3486</v>
      </c>
      <c r="J1665" s="2987" t="s">
        <v>3599</v>
      </c>
      <c r="K1665" s="2988">
        <v>96.17</v>
      </c>
    </row>
    <row r="1666" spans="2:11" ht="18" customHeight="1">
      <c r="B1666" s="2986">
        <v>1838</v>
      </c>
      <c r="C1666" s="2987" t="s">
        <v>4994</v>
      </c>
      <c r="D1666" s="2987" t="s">
        <v>3594</v>
      </c>
      <c r="E1666" s="2987" t="s">
        <v>5159</v>
      </c>
      <c r="F1666" s="2987"/>
      <c r="G1666" s="2987">
        <v>2104</v>
      </c>
      <c r="H1666" s="2987" t="s">
        <v>5215</v>
      </c>
      <c r="I1666" s="2987" t="s">
        <v>3486</v>
      </c>
      <c r="J1666" s="2987" t="s">
        <v>3602</v>
      </c>
      <c r="K1666" s="2988">
        <v>111.02</v>
      </c>
    </row>
    <row r="1667" spans="2:11" ht="18" customHeight="1">
      <c r="B1667" s="2986">
        <v>1839</v>
      </c>
      <c r="C1667" s="2987" t="s">
        <v>4994</v>
      </c>
      <c r="D1667" s="2987" t="s">
        <v>3594</v>
      </c>
      <c r="E1667" s="2987" t="s">
        <v>5159</v>
      </c>
      <c r="F1667" s="2987"/>
      <c r="G1667" s="2987">
        <v>301</v>
      </c>
      <c r="H1667" s="2987" t="s">
        <v>5216</v>
      </c>
      <c r="I1667" s="2987" t="s">
        <v>3486</v>
      </c>
      <c r="J1667" s="2987" t="s">
        <v>3597</v>
      </c>
      <c r="K1667" s="2988">
        <v>128.26</v>
      </c>
    </row>
    <row r="1668" spans="2:11" ht="18" customHeight="1">
      <c r="B1668" s="2986">
        <v>1840</v>
      </c>
      <c r="C1668" s="2987" t="s">
        <v>4994</v>
      </c>
      <c r="D1668" s="2987" t="s">
        <v>3594</v>
      </c>
      <c r="E1668" s="2987" t="s">
        <v>5159</v>
      </c>
      <c r="F1668" s="2987"/>
      <c r="G1668" s="2987">
        <v>302</v>
      </c>
      <c r="H1668" s="2987" t="s">
        <v>5217</v>
      </c>
      <c r="I1668" s="2987" t="s">
        <v>3486</v>
      </c>
      <c r="J1668" s="2987" t="s">
        <v>3599</v>
      </c>
      <c r="K1668" s="2988">
        <v>96.17</v>
      </c>
    </row>
    <row r="1669" spans="2:11" ht="18" customHeight="1">
      <c r="B1669" s="2986">
        <v>1841</v>
      </c>
      <c r="C1669" s="2987" t="s">
        <v>4994</v>
      </c>
      <c r="D1669" s="2987" t="s">
        <v>3594</v>
      </c>
      <c r="E1669" s="2987" t="s">
        <v>5159</v>
      </c>
      <c r="F1669" s="2987"/>
      <c r="G1669" s="2987">
        <v>303</v>
      </c>
      <c r="H1669" s="2987" t="s">
        <v>5218</v>
      </c>
      <c r="I1669" s="2987" t="s">
        <v>3486</v>
      </c>
      <c r="J1669" s="2987" t="s">
        <v>3599</v>
      </c>
      <c r="K1669" s="2988">
        <v>96.17</v>
      </c>
    </row>
    <row r="1670" spans="2:11" ht="18" customHeight="1">
      <c r="B1670" s="2986">
        <v>1842</v>
      </c>
      <c r="C1670" s="2987" t="s">
        <v>4994</v>
      </c>
      <c r="D1670" s="2987" t="s">
        <v>3594</v>
      </c>
      <c r="E1670" s="2987" t="s">
        <v>5159</v>
      </c>
      <c r="F1670" s="2987"/>
      <c r="G1670" s="2987">
        <v>304</v>
      </c>
      <c r="H1670" s="2987" t="s">
        <v>5219</v>
      </c>
      <c r="I1670" s="2987" t="s">
        <v>3486</v>
      </c>
      <c r="J1670" s="2987" t="s">
        <v>3602</v>
      </c>
      <c r="K1670" s="2988">
        <v>111.02</v>
      </c>
    </row>
    <row r="1671" spans="2:11" ht="18" customHeight="1">
      <c r="B1671" s="2986">
        <v>1843</v>
      </c>
      <c r="C1671" s="2987" t="s">
        <v>4994</v>
      </c>
      <c r="D1671" s="2987" t="s">
        <v>3594</v>
      </c>
      <c r="E1671" s="2987" t="s">
        <v>5159</v>
      </c>
      <c r="F1671" s="2987"/>
      <c r="G1671" s="2987">
        <v>401</v>
      </c>
      <c r="H1671" s="2987" t="s">
        <v>5220</v>
      </c>
      <c r="I1671" s="2987" t="s">
        <v>3486</v>
      </c>
      <c r="J1671" s="2987" t="s">
        <v>3597</v>
      </c>
      <c r="K1671" s="2988">
        <v>128.26</v>
      </c>
    </row>
    <row r="1672" spans="2:11" ht="18" customHeight="1">
      <c r="B1672" s="2986">
        <v>1844</v>
      </c>
      <c r="C1672" s="2987" t="s">
        <v>4994</v>
      </c>
      <c r="D1672" s="2987" t="s">
        <v>3594</v>
      </c>
      <c r="E1672" s="2987" t="s">
        <v>5159</v>
      </c>
      <c r="F1672" s="2987"/>
      <c r="G1672" s="2987">
        <v>402</v>
      </c>
      <c r="H1672" s="2987" t="s">
        <v>5221</v>
      </c>
      <c r="I1672" s="2987" t="s">
        <v>3486</v>
      </c>
      <c r="J1672" s="2987" t="s">
        <v>3599</v>
      </c>
      <c r="K1672" s="2988">
        <v>96.17</v>
      </c>
    </row>
    <row r="1673" spans="2:11" ht="18" customHeight="1">
      <c r="B1673" s="2986">
        <v>1845</v>
      </c>
      <c r="C1673" s="2987" t="s">
        <v>4994</v>
      </c>
      <c r="D1673" s="2987" t="s">
        <v>3594</v>
      </c>
      <c r="E1673" s="2987" t="s">
        <v>5159</v>
      </c>
      <c r="F1673" s="2987"/>
      <c r="G1673" s="2987">
        <v>403</v>
      </c>
      <c r="H1673" s="2987" t="s">
        <v>5222</v>
      </c>
      <c r="I1673" s="2987" t="s">
        <v>3486</v>
      </c>
      <c r="J1673" s="2987" t="s">
        <v>3599</v>
      </c>
      <c r="K1673" s="2988">
        <v>96.17</v>
      </c>
    </row>
    <row r="1674" spans="2:11" ht="18" customHeight="1">
      <c r="B1674" s="2986">
        <v>1846</v>
      </c>
      <c r="C1674" s="2987" t="s">
        <v>4994</v>
      </c>
      <c r="D1674" s="2987" t="s">
        <v>3594</v>
      </c>
      <c r="E1674" s="2987" t="s">
        <v>5159</v>
      </c>
      <c r="F1674" s="2987"/>
      <c r="G1674" s="2987">
        <v>404</v>
      </c>
      <c r="H1674" s="2987" t="s">
        <v>5223</v>
      </c>
      <c r="I1674" s="2987" t="s">
        <v>3486</v>
      </c>
      <c r="J1674" s="2987" t="s">
        <v>3602</v>
      </c>
      <c r="K1674" s="2988">
        <v>111.02</v>
      </c>
    </row>
    <row r="1675" spans="2:11" ht="18" customHeight="1">
      <c r="B1675" s="2986">
        <v>1847</v>
      </c>
      <c r="C1675" s="2987" t="s">
        <v>4994</v>
      </c>
      <c r="D1675" s="2987" t="s">
        <v>3594</v>
      </c>
      <c r="E1675" s="2987" t="s">
        <v>5159</v>
      </c>
      <c r="F1675" s="2987"/>
      <c r="G1675" s="2987">
        <v>501</v>
      </c>
      <c r="H1675" s="2987" t="s">
        <v>5224</v>
      </c>
      <c r="I1675" s="2987" t="s">
        <v>3486</v>
      </c>
      <c r="J1675" s="2987" t="s">
        <v>3597</v>
      </c>
      <c r="K1675" s="2988">
        <v>128.26</v>
      </c>
    </row>
    <row r="1676" spans="2:11" ht="18" customHeight="1">
      <c r="B1676" s="2986">
        <v>1848</v>
      </c>
      <c r="C1676" s="2987" t="s">
        <v>4994</v>
      </c>
      <c r="D1676" s="2987" t="s">
        <v>3594</v>
      </c>
      <c r="E1676" s="2987" t="s">
        <v>5159</v>
      </c>
      <c r="F1676" s="2987"/>
      <c r="G1676" s="2987">
        <v>502</v>
      </c>
      <c r="H1676" s="2987" t="s">
        <v>5225</v>
      </c>
      <c r="I1676" s="2987" t="s">
        <v>3486</v>
      </c>
      <c r="J1676" s="2987" t="s">
        <v>3599</v>
      </c>
      <c r="K1676" s="2988">
        <v>96.17</v>
      </c>
    </row>
    <row r="1677" spans="2:11" ht="18" customHeight="1">
      <c r="B1677" s="2986">
        <v>1849</v>
      </c>
      <c r="C1677" s="2987" t="s">
        <v>4994</v>
      </c>
      <c r="D1677" s="2987" t="s">
        <v>3594</v>
      </c>
      <c r="E1677" s="2987" t="s">
        <v>5159</v>
      </c>
      <c r="F1677" s="2987"/>
      <c r="G1677" s="2987">
        <v>503</v>
      </c>
      <c r="H1677" s="2987" t="s">
        <v>5226</v>
      </c>
      <c r="I1677" s="2987" t="s">
        <v>3486</v>
      </c>
      <c r="J1677" s="2987" t="s">
        <v>3599</v>
      </c>
      <c r="K1677" s="2988">
        <v>96.17</v>
      </c>
    </row>
    <row r="1678" spans="2:11" ht="18" customHeight="1">
      <c r="B1678" s="2986">
        <v>1850</v>
      </c>
      <c r="C1678" s="2987" t="s">
        <v>4994</v>
      </c>
      <c r="D1678" s="2987" t="s">
        <v>3594</v>
      </c>
      <c r="E1678" s="2987" t="s">
        <v>5159</v>
      </c>
      <c r="F1678" s="2987"/>
      <c r="G1678" s="2987">
        <v>504</v>
      </c>
      <c r="H1678" s="2987" t="s">
        <v>5227</v>
      </c>
      <c r="I1678" s="2987" t="s">
        <v>3486</v>
      </c>
      <c r="J1678" s="2987" t="s">
        <v>3602</v>
      </c>
      <c r="K1678" s="2988">
        <v>111.02</v>
      </c>
    </row>
    <row r="1679" spans="2:11" ht="18" customHeight="1">
      <c r="B1679" s="2986">
        <v>1851</v>
      </c>
      <c r="C1679" s="2987" t="s">
        <v>4994</v>
      </c>
      <c r="D1679" s="2987" t="s">
        <v>3594</v>
      </c>
      <c r="E1679" s="2987" t="s">
        <v>5159</v>
      </c>
      <c r="F1679" s="2987"/>
      <c r="G1679" s="2987">
        <v>601</v>
      </c>
      <c r="H1679" s="2987" t="s">
        <v>5228</v>
      </c>
      <c r="I1679" s="2987" t="s">
        <v>3486</v>
      </c>
      <c r="J1679" s="2987" t="s">
        <v>3597</v>
      </c>
      <c r="K1679" s="2988">
        <v>128.26</v>
      </c>
    </row>
    <row r="1680" spans="2:11" ht="18" customHeight="1">
      <c r="B1680" s="2986">
        <v>1852</v>
      </c>
      <c r="C1680" s="2987" t="s">
        <v>4994</v>
      </c>
      <c r="D1680" s="2987" t="s">
        <v>3594</v>
      </c>
      <c r="E1680" s="2987" t="s">
        <v>5159</v>
      </c>
      <c r="F1680" s="2987"/>
      <c r="G1680" s="2987">
        <v>602</v>
      </c>
      <c r="H1680" s="2987" t="s">
        <v>5229</v>
      </c>
      <c r="I1680" s="2987" t="s">
        <v>3486</v>
      </c>
      <c r="J1680" s="2987" t="s">
        <v>3599</v>
      </c>
      <c r="K1680" s="2988">
        <v>96.17</v>
      </c>
    </row>
    <row r="1681" spans="2:11" ht="18" customHeight="1">
      <c r="B1681" s="2986">
        <v>1853</v>
      </c>
      <c r="C1681" s="2987" t="s">
        <v>4994</v>
      </c>
      <c r="D1681" s="2987" t="s">
        <v>3594</v>
      </c>
      <c r="E1681" s="2987" t="s">
        <v>5159</v>
      </c>
      <c r="F1681" s="2987"/>
      <c r="G1681" s="2987">
        <v>603</v>
      </c>
      <c r="H1681" s="2987" t="s">
        <v>5230</v>
      </c>
      <c r="I1681" s="2987" t="s">
        <v>3486</v>
      </c>
      <c r="J1681" s="2987" t="s">
        <v>3599</v>
      </c>
      <c r="K1681" s="2988">
        <v>96.17</v>
      </c>
    </row>
    <row r="1682" spans="2:11" ht="18" customHeight="1">
      <c r="B1682" s="2986">
        <v>1854</v>
      </c>
      <c r="C1682" s="2987" t="s">
        <v>4994</v>
      </c>
      <c r="D1682" s="2987" t="s">
        <v>3594</v>
      </c>
      <c r="E1682" s="2987" t="s">
        <v>5159</v>
      </c>
      <c r="F1682" s="2987"/>
      <c r="G1682" s="2987">
        <v>604</v>
      </c>
      <c r="H1682" s="2987" t="s">
        <v>5231</v>
      </c>
      <c r="I1682" s="2987" t="s">
        <v>3486</v>
      </c>
      <c r="J1682" s="2987" t="s">
        <v>3602</v>
      </c>
      <c r="K1682" s="2988">
        <v>111.02</v>
      </c>
    </row>
    <row r="1683" spans="2:11" ht="18" customHeight="1">
      <c r="B1683" s="2986">
        <v>1855</v>
      </c>
      <c r="C1683" s="2987" t="s">
        <v>4994</v>
      </c>
      <c r="D1683" s="2987" t="s">
        <v>3594</v>
      </c>
      <c r="E1683" s="2987" t="s">
        <v>5159</v>
      </c>
      <c r="F1683" s="2987"/>
      <c r="G1683" s="2987">
        <v>701</v>
      </c>
      <c r="H1683" s="2987" t="s">
        <v>5232</v>
      </c>
      <c r="I1683" s="2987" t="s">
        <v>3486</v>
      </c>
      <c r="J1683" s="2987" t="s">
        <v>3597</v>
      </c>
      <c r="K1683" s="2988">
        <v>128.26</v>
      </c>
    </row>
    <row r="1684" spans="2:11" ht="18" customHeight="1">
      <c r="B1684" s="2986">
        <v>1856</v>
      </c>
      <c r="C1684" s="2987" t="s">
        <v>4994</v>
      </c>
      <c r="D1684" s="2987" t="s">
        <v>3594</v>
      </c>
      <c r="E1684" s="2987" t="s">
        <v>5159</v>
      </c>
      <c r="F1684" s="2987"/>
      <c r="G1684" s="2987">
        <v>702</v>
      </c>
      <c r="H1684" s="2987" t="s">
        <v>5233</v>
      </c>
      <c r="I1684" s="2987" t="s">
        <v>3486</v>
      </c>
      <c r="J1684" s="2987" t="s">
        <v>3599</v>
      </c>
      <c r="K1684" s="2988">
        <v>96.17</v>
      </c>
    </row>
    <row r="1685" spans="2:11" ht="18" customHeight="1">
      <c r="B1685" s="2986">
        <v>1857</v>
      </c>
      <c r="C1685" s="2987" t="s">
        <v>4994</v>
      </c>
      <c r="D1685" s="2987" t="s">
        <v>3594</v>
      </c>
      <c r="E1685" s="2987" t="s">
        <v>5159</v>
      </c>
      <c r="F1685" s="2987"/>
      <c r="G1685" s="2987">
        <v>703</v>
      </c>
      <c r="H1685" s="2987" t="s">
        <v>5234</v>
      </c>
      <c r="I1685" s="2987" t="s">
        <v>3486</v>
      </c>
      <c r="J1685" s="2987" t="s">
        <v>3599</v>
      </c>
      <c r="K1685" s="2988">
        <v>96.17</v>
      </c>
    </row>
    <row r="1686" spans="2:11" ht="18" customHeight="1">
      <c r="B1686" s="2986">
        <v>1858</v>
      </c>
      <c r="C1686" s="2987" t="s">
        <v>4994</v>
      </c>
      <c r="D1686" s="2987" t="s">
        <v>3594</v>
      </c>
      <c r="E1686" s="2987" t="s">
        <v>5159</v>
      </c>
      <c r="F1686" s="2987"/>
      <c r="G1686" s="2987">
        <v>704</v>
      </c>
      <c r="H1686" s="2987" t="s">
        <v>5235</v>
      </c>
      <c r="I1686" s="2987" t="s">
        <v>3486</v>
      </c>
      <c r="J1686" s="2987" t="s">
        <v>3602</v>
      </c>
      <c r="K1686" s="2988">
        <v>111.02</v>
      </c>
    </row>
    <row r="1687" spans="2:11" ht="18" customHeight="1">
      <c r="B1687" s="2986">
        <v>1859</v>
      </c>
      <c r="C1687" s="2987" t="s">
        <v>4994</v>
      </c>
      <c r="D1687" s="2987" t="s">
        <v>3594</v>
      </c>
      <c r="E1687" s="2987" t="s">
        <v>5159</v>
      </c>
      <c r="F1687" s="2987"/>
      <c r="G1687" s="2987">
        <v>801</v>
      </c>
      <c r="H1687" s="2987" t="s">
        <v>5236</v>
      </c>
      <c r="I1687" s="2987" t="s">
        <v>3486</v>
      </c>
      <c r="J1687" s="2987" t="s">
        <v>3597</v>
      </c>
      <c r="K1687" s="2988">
        <v>128.26</v>
      </c>
    </row>
    <row r="1688" spans="2:11" ht="18" customHeight="1">
      <c r="B1688" s="2986">
        <v>1860</v>
      </c>
      <c r="C1688" s="2987" t="s">
        <v>4994</v>
      </c>
      <c r="D1688" s="2987" t="s">
        <v>3594</v>
      </c>
      <c r="E1688" s="2987" t="s">
        <v>5159</v>
      </c>
      <c r="F1688" s="2987"/>
      <c r="G1688" s="2987">
        <v>802</v>
      </c>
      <c r="H1688" s="2987" t="s">
        <v>5237</v>
      </c>
      <c r="I1688" s="2987" t="s">
        <v>3486</v>
      </c>
      <c r="J1688" s="2987" t="s">
        <v>3599</v>
      </c>
      <c r="K1688" s="2988">
        <v>96.17</v>
      </c>
    </row>
    <row r="1689" spans="2:11" ht="18" customHeight="1">
      <c r="B1689" s="2986">
        <v>1861</v>
      </c>
      <c r="C1689" s="2987" t="s">
        <v>4994</v>
      </c>
      <c r="D1689" s="2987" t="s">
        <v>3594</v>
      </c>
      <c r="E1689" s="2987" t="s">
        <v>5159</v>
      </c>
      <c r="F1689" s="2987"/>
      <c r="G1689" s="2987">
        <v>803</v>
      </c>
      <c r="H1689" s="2987" t="s">
        <v>5238</v>
      </c>
      <c r="I1689" s="2987" t="s">
        <v>3486</v>
      </c>
      <c r="J1689" s="2987" t="s">
        <v>3599</v>
      </c>
      <c r="K1689" s="2988">
        <v>96.17</v>
      </c>
    </row>
    <row r="1690" spans="2:11" ht="18" customHeight="1">
      <c r="B1690" s="2986">
        <v>1862</v>
      </c>
      <c r="C1690" s="2987" t="s">
        <v>4994</v>
      </c>
      <c r="D1690" s="2987" t="s">
        <v>3594</v>
      </c>
      <c r="E1690" s="2987" t="s">
        <v>5159</v>
      </c>
      <c r="F1690" s="2987"/>
      <c r="G1690" s="2987">
        <v>804</v>
      </c>
      <c r="H1690" s="2987" t="s">
        <v>5239</v>
      </c>
      <c r="I1690" s="2987" t="s">
        <v>3486</v>
      </c>
      <c r="J1690" s="2987" t="s">
        <v>3602</v>
      </c>
      <c r="K1690" s="2988">
        <v>111.02</v>
      </c>
    </row>
    <row r="1691" spans="2:11" ht="18" customHeight="1">
      <c r="B1691" s="2986">
        <v>1863</v>
      </c>
      <c r="C1691" s="2987" t="s">
        <v>4994</v>
      </c>
      <c r="D1691" s="2987" t="s">
        <v>3594</v>
      </c>
      <c r="E1691" s="2987" t="s">
        <v>5159</v>
      </c>
      <c r="F1691" s="2987"/>
      <c r="G1691" s="2987">
        <v>901</v>
      </c>
      <c r="H1691" s="2987" t="s">
        <v>5240</v>
      </c>
      <c r="I1691" s="2987" t="s">
        <v>3486</v>
      </c>
      <c r="J1691" s="2987" t="s">
        <v>3597</v>
      </c>
      <c r="K1691" s="2988">
        <v>128.26</v>
      </c>
    </row>
    <row r="1692" spans="2:11" ht="18" customHeight="1">
      <c r="B1692" s="2986">
        <v>1864</v>
      </c>
      <c r="C1692" s="2987" t="s">
        <v>4994</v>
      </c>
      <c r="D1692" s="2987" t="s">
        <v>3594</v>
      </c>
      <c r="E1692" s="2987" t="s">
        <v>5159</v>
      </c>
      <c r="F1692" s="2987"/>
      <c r="G1692" s="2987">
        <v>902</v>
      </c>
      <c r="H1692" s="2987" t="s">
        <v>5241</v>
      </c>
      <c r="I1692" s="2987" t="s">
        <v>3486</v>
      </c>
      <c r="J1692" s="2987" t="s">
        <v>3599</v>
      </c>
      <c r="K1692" s="2988">
        <v>96.17</v>
      </c>
    </row>
    <row r="1693" spans="2:11" ht="18" customHeight="1">
      <c r="B1693" s="2986">
        <v>1865</v>
      </c>
      <c r="C1693" s="2987" t="s">
        <v>4994</v>
      </c>
      <c r="D1693" s="2987" t="s">
        <v>3594</v>
      </c>
      <c r="E1693" s="2987" t="s">
        <v>5159</v>
      </c>
      <c r="F1693" s="2987"/>
      <c r="G1693" s="2987">
        <v>903</v>
      </c>
      <c r="H1693" s="2987" t="s">
        <v>5242</v>
      </c>
      <c r="I1693" s="2987" t="s">
        <v>3486</v>
      </c>
      <c r="J1693" s="2987" t="s">
        <v>3599</v>
      </c>
      <c r="K1693" s="2988">
        <v>96.17</v>
      </c>
    </row>
    <row r="1694" spans="2:11" ht="18" customHeight="1">
      <c r="B1694" s="2986">
        <v>1866</v>
      </c>
      <c r="C1694" s="2987" t="s">
        <v>4994</v>
      </c>
      <c r="D1694" s="2987" t="s">
        <v>3594</v>
      </c>
      <c r="E1694" s="2987" t="s">
        <v>5159</v>
      </c>
      <c r="F1694" s="2987"/>
      <c r="G1694" s="2987">
        <v>904</v>
      </c>
      <c r="H1694" s="2987" t="s">
        <v>5243</v>
      </c>
      <c r="I1694" s="2987" t="s">
        <v>3486</v>
      </c>
      <c r="J1694" s="2987" t="s">
        <v>3602</v>
      </c>
      <c r="K1694" s="2988">
        <v>111.02</v>
      </c>
    </row>
    <row r="1695" spans="2:11" s="3021" customFormat="1" ht="18" customHeight="1">
      <c r="B1695" s="3018"/>
      <c r="C1695" s="3019"/>
      <c r="D1695" s="3019"/>
      <c r="E1695" s="3019"/>
      <c r="F1695" s="3019"/>
      <c r="G1695" s="3019"/>
      <c r="H1695" s="3019"/>
      <c r="I1695" s="3019"/>
      <c r="J1695" s="3019"/>
      <c r="K1695" s="3020">
        <f>SUM(K1611:K1694)</f>
        <v>9064.0200000000095</v>
      </c>
    </row>
    <row r="1696" spans="2:11" ht="18" customHeight="1">
      <c r="B1696" s="2986">
        <v>1867</v>
      </c>
      <c r="C1696" s="2987" t="s">
        <v>4994</v>
      </c>
      <c r="D1696" s="2987" t="s">
        <v>3594</v>
      </c>
      <c r="E1696" s="2987" t="s">
        <v>5244</v>
      </c>
      <c r="F1696" s="2987"/>
      <c r="G1696" s="2987">
        <v>1001</v>
      </c>
      <c r="H1696" s="2987" t="s">
        <v>5245</v>
      </c>
      <c r="I1696" s="2987" t="s">
        <v>3486</v>
      </c>
      <c r="J1696" s="2987" t="s">
        <v>3597</v>
      </c>
      <c r="K1696" s="2988">
        <v>128.26</v>
      </c>
    </row>
    <row r="1697" spans="2:11" ht="18" customHeight="1">
      <c r="B1697" s="2986">
        <v>1868</v>
      </c>
      <c r="C1697" s="2987" t="s">
        <v>4994</v>
      </c>
      <c r="D1697" s="2987" t="s">
        <v>3594</v>
      </c>
      <c r="E1697" s="2987" t="s">
        <v>5244</v>
      </c>
      <c r="F1697" s="2987"/>
      <c r="G1697" s="2987">
        <v>1002</v>
      </c>
      <c r="H1697" s="2987" t="s">
        <v>5246</v>
      </c>
      <c r="I1697" s="2987" t="s">
        <v>3486</v>
      </c>
      <c r="J1697" s="2987" t="s">
        <v>3599</v>
      </c>
      <c r="K1697" s="2988">
        <v>96.17</v>
      </c>
    </row>
    <row r="1698" spans="2:11" ht="18" customHeight="1">
      <c r="B1698" s="2986">
        <v>1869</v>
      </c>
      <c r="C1698" s="2987" t="s">
        <v>4994</v>
      </c>
      <c r="D1698" s="2987" t="s">
        <v>3594</v>
      </c>
      <c r="E1698" s="2987" t="s">
        <v>5244</v>
      </c>
      <c r="F1698" s="2987"/>
      <c r="G1698" s="2987">
        <v>1003</v>
      </c>
      <c r="H1698" s="2987" t="s">
        <v>5247</v>
      </c>
      <c r="I1698" s="2987" t="s">
        <v>3486</v>
      </c>
      <c r="J1698" s="2987" t="s">
        <v>3599</v>
      </c>
      <c r="K1698" s="2988">
        <v>96.17</v>
      </c>
    </row>
    <row r="1699" spans="2:11" ht="18" customHeight="1">
      <c r="B1699" s="2986">
        <v>1870</v>
      </c>
      <c r="C1699" s="2987" t="s">
        <v>4994</v>
      </c>
      <c r="D1699" s="2987" t="s">
        <v>3594</v>
      </c>
      <c r="E1699" s="2987" t="s">
        <v>5244</v>
      </c>
      <c r="F1699" s="2987"/>
      <c r="G1699" s="2987">
        <v>1004</v>
      </c>
      <c r="H1699" s="2987" t="s">
        <v>5248</v>
      </c>
      <c r="I1699" s="2987" t="s">
        <v>3486</v>
      </c>
      <c r="J1699" s="2987" t="s">
        <v>3602</v>
      </c>
      <c r="K1699" s="2988">
        <v>111.02</v>
      </c>
    </row>
    <row r="1700" spans="2:11" ht="18" customHeight="1">
      <c r="B1700" s="2986">
        <v>1871</v>
      </c>
      <c r="C1700" s="2987" t="s">
        <v>4994</v>
      </c>
      <c r="D1700" s="2987" t="s">
        <v>3594</v>
      </c>
      <c r="E1700" s="2987" t="s">
        <v>5244</v>
      </c>
      <c r="F1700" s="2987"/>
      <c r="G1700" s="2987">
        <v>101</v>
      </c>
      <c r="H1700" s="2987" t="s">
        <v>5249</v>
      </c>
      <c r="I1700" s="2987" t="s">
        <v>3486</v>
      </c>
      <c r="J1700" s="2987" t="s">
        <v>3597</v>
      </c>
      <c r="K1700" s="2988">
        <v>128.26</v>
      </c>
    </row>
    <row r="1701" spans="2:11" ht="18" customHeight="1">
      <c r="B1701" s="2986">
        <v>1872</v>
      </c>
      <c r="C1701" s="2987" t="s">
        <v>4994</v>
      </c>
      <c r="D1701" s="2987" t="s">
        <v>3594</v>
      </c>
      <c r="E1701" s="2987" t="s">
        <v>5244</v>
      </c>
      <c r="F1701" s="2987"/>
      <c r="G1701" s="2987">
        <v>102</v>
      </c>
      <c r="H1701" s="2987" t="s">
        <v>5250</v>
      </c>
      <c r="I1701" s="2987" t="s">
        <v>3486</v>
      </c>
      <c r="J1701" s="2987" t="s">
        <v>3599</v>
      </c>
      <c r="K1701" s="2988">
        <v>96.17</v>
      </c>
    </row>
    <row r="1702" spans="2:11" ht="18" customHeight="1">
      <c r="B1702" s="2986">
        <v>1873</v>
      </c>
      <c r="C1702" s="2987" t="s">
        <v>4994</v>
      </c>
      <c r="D1702" s="2987" t="s">
        <v>3594</v>
      </c>
      <c r="E1702" s="2987" t="s">
        <v>5244</v>
      </c>
      <c r="F1702" s="2987"/>
      <c r="G1702" s="2987">
        <v>103</v>
      </c>
      <c r="H1702" s="2987" t="s">
        <v>5251</v>
      </c>
      <c r="I1702" s="2987" t="s">
        <v>3486</v>
      </c>
      <c r="J1702" s="2987" t="s">
        <v>3599</v>
      </c>
      <c r="K1702" s="2988">
        <v>96.17</v>
      </c>
    </row>
    <row r="1703" spans="2:11" ht="18" customHeight="1">
      <c r="B1703" s="2986">
        <v>1874</v>
      </c>
      <c r="C1703" s="2987" t="s">
        <v>4994</v>
      </c>
      <c r="D1703" s="2987" t="s">
        <v>3594</v>
      </c>
      <c r="E1703" s="2987" t="s">
        <v>5244</v>
      </c>
      <c r="F1703" s="2987"/>
      <c r="G1703" s="2987">
        <v>104</v>
      </c>
      <c r="H1703" s="2987" t="s">
        <v>5252</v>
      </c>
      <c r="I1703" s="2987" t="s">
        <v>3486</v>
      </c>
      <c r="J1703" s="2987" t="s">
        <v>3602</v>
      </c>
      <c r="K1703" s="2988">
        <v>111.02</v>
      </c>
    </row>
    <row r="1704" spans="2:11" ht="18" customHeight="1">
      <c r="B1704" s="2986">
        <v>1875</v>
      </c>
      <c r="C1704" s="2987" t="s">
        <v>4994</v>
      </c>
      <c r="D1704" s="2987" t="s">
        <v>3594</v>
      </c>
      <c r="E1704" s="2987" t="s">
        <v>5244</v>
      </c>
      <c r="F1704" s="2987"/>
      <c r="G1704" s="2987">
        <v>1101</v>
      </c>
      <c r="H1704" s="2987" t="s">
        <v>5253</v>
      </c>
      <c r="I1704" s="2987" t="s">
        <v>3486</v>
      </c>
      <c r="J1704" s="2987" t="s">
        <v>3597</v>
      </c>
      <c r="K1704" s="2988">
        <v>128.26</v>
      </c>
    </row>
    <row r="1705" spans="2:11" ht="18" customHeight="1">
      <c r="B1705" s="2986">
        <v>1876</v>
      </c>
      <c r="C1705" s="2987" t="s">
        <v>4994</v>
      </c>
      <c r="D1705" s="2987" t="s">
        <v>3594</v>
      </c>
      <c r="E1705" s="2987" t="s">
        <v>5244</v>
      </c>
      <c r="F1705" s="2987"/>
      <c r="G1705" s="2987">
        <v>1102</v>
      </c>
      <c r="H1705" s="2987" t="s">
        <v>5254</v>
      </c>
      <c r="I1705" s="2987" t="s">
        <v>3486</v>
      </c>
      <c r="J1705" s="2987" t="s">
        <v>3599</v>
      </c>
      <c r="K1705" s="2988">
        <v>96.17</v>
      </c>
    </row>
    <row r="1706" spans="2:11" ht="18" customHeight="1">
      <c r="B1706" s="2986">
        <v>1877</v>
      </c>
      <c r="C1706" s="2987" t="s">
        <v>4994</v>
      </c>
      <c r="D1706" s="2987" t="s">
        <v>3594</v>
      </c>
      <c r="E1706" s="2987" t="s">
        <v>5244</v>
      </c>
      <c r="F1706" s="2987"/>
      <c r="G1706" s="2987">
        <v>1103</v>
      </c>
      <c r="H1706" s="2987" t="s">
        <v>5255</v>
      </c>
      <c r="I1706" s="2987" t="s">
        <v>3486</v>
      </c>
      <c r="J1706" s="2987" t="s">
        <v>3599</v>
      </c>
      <c r="K1706" s="2988">
        <v>96.17</v>
      </c>
    </row>
    <row r="1707" spans="2:11" ht="18" customHeight="1">
      <c r="B1707" s="2986">
        <v>1878</v>
      </c>
      <c r="C1707" s="2987" t="s">
        <v>4994</v>
      </c>
      <c r="D1707" s="2987" t="s">
        <v>3594</v>
      </c>
      <c r="E1707" s="2987" t="s">
        <v>5244</v>
      </c>
      <c r="F1707" s="2987"/>
      <c r="G1707" s="2987">
        <v>1104</v>
      </c>
      <c r="H1707" s="2987" t="s">
        <v>5256</v>
      </c>
      <c r="I1707" s="2987" t="s">
        <v>3486</v>
      </c>
      <c r="J1707" s="2987" t="s">
        <v>3602</v>
      </c>
      <c r="K1707" s="2988">
        <v>111.02</v>
      </c>
    </row>
    <row r="1708" spans="2:11" ht="18" customHeight="1">
      <c r="B1708" s="2986">
        <v>1879</v>
      </c>
      <c r="C1708" s="2987" t="s">
        <v>4994</v>
      </c>
      <c r="D1708" s="2987" t="s">
        <v>3594</v>
      </c>
      <c r="E1708" s="2987" t="s">
        <v>5244</v>
      </c>
      <c r="F1708" s="2987"/>
      <c r="G1708" s="2987">
        <v>1201</v>
      </c>
      <c r="H1708" s="2987" t="s">
        <v>5257</v>
      </c>
      <c r="I1708" s="2987" t="s">
        <v>3486</v>
      </c>
      <c r="J1708" s="2987" t="s">
        <v>3597</v>
      </c>
      <c r="K1708" s="2988">
        <v>128.26</v>
      </c>
    </row>
    <row r="1709" spans="2:11" ht="18" customHeight="1">
      <c r="B1709" s="2986">
        <v>1880</v>
      </c>
      <c r="C1709" s="2987" t="s">
        <v>4994</v>
      </c>
      <c r="D1709" s="2987" t="s">
        <v>3594</v>
      </c>
      <c r="E1709" s="2987" t="s">
        <v>5244</v>
      </c>
      <c r="F1709" s="2987"/>
      <c r="G1709" s="2987">
        <v>1202</v>
      </c>
      <c r="H1709" s="2987" t="s">
        <v>5258</v>
      </c>
      <c r="I1709" s="2987" t="s">
        <v>3486</v>
      </c>
      <c r="J1709" s="2987" t="s">
        <v>3599</v>
      </c>
      <c r="K1709" s="2988">
        <v>96.17</v>
      </c>
    </row>
    <row r="1710" spans="2:11" ht="18" customHeight="1">
      <c r="B1710" s="2986">
        <v>1881</v>
      </c>
      <c r="C1710" s="2987" t="s">
        <v>4994</v>
      </c>
      <c r="D1710" s="2987" t="s">
        <v>3594</v>
      </c>
      <c r="E1710" s="2987" t="s">
        <v>5244</v>
      </c>
      <c r="F1710" s="2987"/>
      <c r="G1710" s="2987">
        <v>1203</v>
      </c>
      <c r="H1710" s="2987" t="s">
        <v>5259</v>
      </c>
      <c r="I1710" s="2987" t="s">
        <v>3486</v>
      </c>
      <c r="J1710" s="2987" t="s">
        <v>3599</v>
      </c>
      <c r="K1710" s="2988">
        <v>96.17</v>
      </c>
    </row>
    <row r="1711" spans="2:11" ht="18" customHeight="1">
      <c r="B1711" s="2986">
        <v>1882</v>
      </c>
      <c r="C1711" s="2987" t="s">
        <v>4994</v>
      </c>
      <c r="D1711" s="2987" t="s">
        <v>3594</v>
      </c>
      <c r="E1711" s="2987" t="s">
        <v>5244</v>
      </c>
      <c r="F1711" s="2987"/>
      <c r="G1711" s="2987">
        <v>1204</v>
      </c>
      <c r="H1711" s="2987" t="s">
        <v>5260</v>
      </c>
      <c r="I1711" s="2987" t="s">
        <v>3486</v>
      </c>
      <c r="J1711" s="2987" t="s">
        <v>3602</v>
      </c>
      <c r="K1711" s="2988">
        <v>111.02</v>
      </c>
    </row>
    <row r="1712" spans="2:11" ht="18" customHeight="1">
      <c r="B1712" s="2986">
        <v>1883</v>
      </c>
      <c r="C1712" s="2987" t="s">
        <v>4994</v>
      </c>
      <c r="D1712" s="2987" t="s">
        <v>3594</v>
      </c>
      <c r="E1712" s="2987" t="s">
        <v>5244</v>
      </c>
      <c r="F1712" s="2987"/>
      <c r="G1712" s="2987">
        <v>1301</v>
      </c>
      <c r="H1712" s="2987" t="s">
        <v>5261</v>
      </c>
      <c r="I1712" s="2987" t="s">
        <v>3486</v>
      </c>
      <c r="J1712" s="2987" t="s">
        <v>3597</v>
      </c>
      <c r="K1712" s="2988">
        <v>128.26</v>
      </c>
    </row>
    <row r="1713" spans="2:11" ht="18" customHeight="1">
      <c r="B1713" s="2986">
        <v>1884</v>
      </c>
      <c r="C1713" s="2987" t="s">
        <v>4994</v>
      </c>
      <c r="D1713" s="2987" t="s">
        <v>3594</v>
      </c>
      <c r="E1713" s="2987" t="s">
        <v>5244</v>
      </c>
      <c r="F1713" s="2987"/>
      <c r="G1713" s="2987">
        <v>1302</v>
      </c>
      <c r="H1713" s="2987" t="s">
        <v>5262</v>
      </c>
      <c r="I1713" s="2987" t="s">
        <v>3486</v>
      </c>
      <c r="J1713" s="2987" t="s">
        <v>3599</v>
      </c>
      <c r="K1713" s="2988">
        <v>96.17</v>
      </c>
    </row>
    <row r="1714" spans="2:11" ht="18" customHeight="1">
      <c r="B1714" s="2986">
        <v>1885</v>
      </c>
      <c r="C1714" s="2987" t="s">
        <v>4994</v>
      </c>
      <c r="D1714" s="2987" t="s">
        <v>3594</v>
      </c>
      <c r="E1714" s="2987" t="s">
        <v>5244</v>
      </c>
      <c r="F1714" s="2987"/>
      <c r="G1714" s="2987">
        <v>1303</v>
      </c>
      <c r="H1714" s="2987" t="s">
        <v>5263</v>
      </c>
      <c r="I1714" s="2987" t="s">
        <v>3486</v>
      </c>
      <c r="J1714" s="2987" t="s">
        <v>3599</v>
      </c>
      <c r="K1714" s="2988">
        <v>96.17</v>
      </c>
    </row>
    <row r="1715" spans="2:11" ht="18" customHeight="1">
      <c r="B1715" s="2986">
        <v>1886</v>
      </c>
      <c r="C1715" s="2987" t="s">
        <v>4994</v>
      </c>
      <c r="D1715" s="2987" t="s">
        <v>3594</v>
      </c>
      <c r="E1715" s="2987" t="s">
        <v>5244</v>
      </c>
      <c r="F1715" s="2987"/>
      <c r="G1715" s="2987">
        <v>1304</v>
      </c>
      <c r="H1715" s="2987" t="s">
        <v>5264</v>
      </c>
      <c r="I1715" s="2987" t="s">
        <v>3486</v>
      </c>
      <c r="J1715" s="2987" t="s">
        <v>3602</v>
      </c>
      <c r="K1715" s="2988">
        <v>111.02</v>
      </c>
    </row>
    <row r="1716" spans="2:11" ht="18" customHeight="1">
      <c r="B1716" s="2986">
        <v>1887</v>
      </c>
      <c r="C1716" s="2987" t="s">
        <v>4994</v>
      </c>
      <c r="D1716" s="2987" t="s">
        <v>3594</v>
      </c>
      <c r="E1716" s="2987" t="s">
        <v>5244</v>
      </c>
      <c r="F1716" s="2987"/>
      <c r="G1716" s="2987">
        <v>1401</v>
      </c>
      <c r="H1716" s="2987" t="s">
        <v>5265</v>
      </c>
      <c r="I1716" s="2987" t="s">
        <v>3486</v>
      </c>
      <c r="J1716" s="2987" t="s">
        <v>3597</v>
      </c>
      <c r="K1716" s="2988">
        <v>128.26</v>
      </c>
    </row>
    <row r="1717" spans="2:11" ht="18" customHeight="1">
      <c r="B1717" s="2986">
        <v>1888</v>
      </c>
      <c r="C1717" s="2987" t="s">
        <v>4994</v>
      </c>
      <c r="D1717" s="2987" t="s">
        <v>3594</v>
      </c>
      <c r="E1717" s="2987" t="s">
        <v>5244</v>
      </c>
      <c r="F1717" s="2987"/>
      <c r="G1717" s="2987">
        <v>1402</v>
      </c>
      <c r="H1717" s="2987" t="s">
        <v>5266</v>
      </c>
      <c r="I1717" s="2987" t="s">
        <v>3486</v>
      </c>
      <c r="J1717" s="2987" t="s">
        <v>3599</v>
      </c>
      <c r="K1717" s="2988">
        <v>96.17</v>
      </c>
    </row>
    <row r="1718" spans="2:11" ht="18" customHeight="1">
      <c r="B1718" s="2986">
        <v>1889</v>
      </c>
      <c r="C1718" s="2987" t="s">
        <v>4994</v>
      </c>
      <c r="D1718" s="2987" t="s">
        <v>3594</v>
      </c>
      <c r="E1718" s="2987" t="s">
        <v>5244</v>
      </c>
      <c r="F1718" s="2987"/>
      <c r="G1718" s="2987">
        <v>1403</v>
      </c>
      <c r="H1718" s="2987" t="s">
        <v>5267</v>
      </c>
      <c r="I1718" s="2987" t="s">
        <v>3486</v>
      </c>
      <c r="J1718" s="2987" t="s">
        <v>3599</v>
      </c>
      <c r="K1718" s="2988">
        <v>96.17</v>
      </c>
    </row>
    <row r="1719" spans="2:11" ht="18" customHeight="1">
      <c r="B1719" s="2986">
        <v>1890</v>
      </c>
      <c r="C1719" s="2987" t="s">
        <v>4994</v>
      </c>
      <c r="D1719" s="2987" t="s">
        <v>3594</v>
      </c>
      <c r="E1719" s="2987" t="s">
        <v>5244</v>
      </c>
      <c r="F1719" s="2987"/>
      <c r="G1719" s="2987">
        <v>1404</v>
      </c>
      <c r="H1719" s="2987" t="s">
        <v>5268</v>
      </c>
      <c r="I1719" s="2987" t="s">
        <v>3486</v>
      </c>
      <c r="J1719" s="2987" t="s">
        <v>3602</v>
      </c>
      <c r="K1719" s="2988">
        <v>111.02</v>
      </c>
    </row>
    <row r="1720" spans="2:11" ht="18" customHeight="1">
      <c r="B1720" s="2986">
        <v>1891</v>
      </c>
      <c r="C1720" s="2987" t="s">
        <v>4994</v>
      </c>
      <c r="D1720" s="2987" t="s">
        <v>3594</v>
      </c>
      <c r="E1720" s="2987" t="s">
        <v>5244</v>
      </c>
      <c r="F1720" s="2987"/>
      <c r="G1720" s="2987">
        <v>1501</v>
      </c>
      <c r="H1720" s="2987" t="s">
        <v>5269</v>
      </c>
      <c r="I1720" s="2987" t="s">
        <v>3486</v>
      </c>
      <c r="J1720" s="2987" t="s">
        <v>3597</v>
      </c>
      <c r="K1720" s="2988">
        <v>128.26</v>
      </c>
    </row>
    <row r="1721" spans="2:11" ht="18" customHeight="1">
      <c r="B1721" s="2986">
        <v>1892</v>
      </c>
      <c r="C1721" s="2987" t="s">
        <v>4994</v>
      </c>
      <c r="D1721" s="2987" t="s">
        <v>3594</v>
      </c>
      <c r="E1721" s="2987" t="s">
        <v>5244</v>
      </c>
      <c r="F1721" s="2987"/>
      <c r="G1721" s="2987">
        <v>1502</v>
      </c>
      <c r="H1721" s="2987" t="s">
        <v>5270</v>
      </c>
      <c r="I1721" s="2987" t="s">
        <v>3486</v>
      </c>
      <c r="J1721" s="2987" t="s">
        <v>3599</v>
      </c>
      <c r="K1721" s="2988">
        <v>96.17</v>
      </c>
    </row>
    <row r="1722" spans="2:11" ht="18" customHeight="1">
      <c r="B1722" s="2986">
        <v>1893</v>
      </c>
      <c r="C1722" s="2987" t="s">
        <v>4994</v>
      </c>
      <c r="D1722" s="2987" t="s">
        <v>3594</v>
      </c>
      <c r="E1722" s="2987" t="s">
        <v>5244</v>
      </c>
      <c r="F1722" s="2987"/>
      <c r="G1722" s="2987">
        <v>1503</v>
      </c>
      <c r="H1722" s="2987" t="s">
        <v>5271</v>
      </c>
      <c r="I1722" s="2987" t="s">
        <v>3486</v>
      </c>
      <c r="J1722" s="2987" t="s">
        <v>3599</v>
      </c>
      <c r="K1722" s="2988">
        <v>96.17</v>
      </c>
    </row>
    <row r="1723" spans="2:11" ht="18" customHeight="1">
      <c r="B1723" s="2986">
        <v>1894</v>
      </c>
      <c r="C1723" s="2987" t="s">
        <v>4994</v>
      </c>
      <c r="D1723" s="2987" t="s">
        <v>3594</v>
      </c>
      <c r="E1723" s="2987" t="s">
        <v>5244</v>
      </c>
      <c r="F1723" s="2987"/>
      <c r="G1723" s="2987">
        <v>1504</v>
      </c>
      <c r="H1723" s="2987" t="s">
        <v>5272</v>
      </c>
      <c r="I1723" s="2987" t="s">
        <v>3486</v>
      </c>
      <c r="J1723" s="2987" t="s">
        <v>3602</v>
      </c>
      <c r="K1723" s="2988">
        <v>111.02</v>
      </c>
    </row>
    <row r="1724" spans="2:11" ht="18" customHeight="1">
      <c r="B1724" s="2986">
        <v>1895</v>
      </c>
      <c r="C1724" s="2987" t="s">
        <v>4994</v>
      </c>
      <c r="D1724" s="2987" t="s">
        <v>3594</v>
      </c>
      <c r="E1724" s="2987" t="s">
        <v>5244</v>
      </c>
      <c r="F1724" s="2987"/>
      <c r="G1724" s="2987">
        <v>1601</v>
      </c>
      <c r="H1724" s="2987" t="s">
        <v>5273</v>
      </c>
      <c r="I1724" s="2987" t="s">
        <v>3486</v>
      </c>
      <c r="J1724" s="2987" t="s">
        <v>3597</v>
      </c>
      <c r="K1724" s="2988">
        <v>128.26</v>
      </c>
    </row>
    <row r="1725" spans="2:11" ht="18" customHeight="1">
      <c r="B1725" s="2986">
        <v>1896</v>
      </c>
      <c r="C1725" s="2987" t="s">
        <v>4994</v>
      </c>
      <c r="D1725" s="2987" t="s">
        <v>3594</v>
      </c>
      <c r="E1725" s="2987" t="s">
        <v>5244</v>
      </c>
      <c r="F1725" s="2987"/>
      <c r="G1725" s="2987">
        <v>1602</v>
      </c>
      <c r="H1725" s="2987" t="s">
        <v>5274</v>
      </c>
      <c r="I1725" s="2987" t="s">
        <v>3486</v>
      </c>
      <c r="J1725" s="2987" t="s">
        <v>3599</v>
      </c>
      <c r="K1725" s="2988">
        <v>96.17</v>
      </c>
    </row>
    <row r="1726" spans="2:11" ht="18" customHeight="1">
      <c r="B1726" s="2986">
        <v>1897</v>
      </c>
      <c r="C1726" s="2987" t="s">
        <v>4994</v>
      </c>
      <c r="D1726" s="2987" t="s">
        <v>3594</v>
      </c>
      <c r="E1726" s="2987" t="s">
        <v>5244</v>
      </c>
      <c r="F1726" s="2987"/>
      <c r="G1726" s="2987">
        <v>1603</v>
      </c>
      <c r="H1726" s="2987" t="s">
        <v>5275</v>
      </c>
      <c r="I1726" s="2987" t="s">
        <v>3486</v>
      </c>
      <c r="J1726" s="2987" t="s">
        <v>3599</v>
      </c>
      <c r="K1726" s="2988">
        <v>96.17</v>
      </c>
    </row>
    <row r="1727" spans="2:11" ht="18" customHeight="1">
      <c r="B1727" s="2986">
        <v>1898</v>
      </c>
      <c r="C1727" s="2987" t="s">
        <v>4994</v>
      </c>
      <c r="D1727" s="2987" t="s">
        <v>3594</v>
      </c>
      <c r="E1727" s="2987" t="s">
        <v>5244</v>
      </c>
      <c r="F1727" s="2987"/>
      <c r="G1727" s="2987">
        <v>1604</v>
      </c>
      <c r="H1727" s="2987" t="s">
        <v>5276</v>
      </c>
      <c r="I1727" s="2987" t="s">
        <v>3486</v>
      </c>
      <c r="J1727" s="2987" t="s">
        <v>3602</v>
      </c>
      <c r="K1727" s="2988">
        <v>111.02</v>
      </c>
    </row>
    <row r="1728" spans="2:11" ht="18" customHeight="1">
      <c r="B1728" s="2986">
        <v>1899</v>
      </c>
      <c r="C1728" s="2987" t="s">
        <v>4994</v>
      </c>
      <c r="D1728" s="2987" t="s">
        <v>3594</v>
      </c>
      <c r="E1728" s="2987" t="s">
        <v>5244</v>
      </c>
      <c r="F1728" s="2987"/>
      <c r="G1728" s="2987">
        <v>1701</v>
      </c>
      <c r="H1728" s="2987" t="s">
        <v>5277</v>
      </c>
      <c r="I1728" s="2987" t="s">
        <v>3486</v>
      </c>
      <c r="J1728" s="2987" t="s">
        <v>3597</v>
      </c>
      <c r="K1728" s="2988">
        <v>128.26</v>
      </c>
    </row>
    <row r="1729" spans="2:11" ht="18" customHeight="1">
      <c r="B1729" s="2986">
        <v>1900</v>
      </c>
      <c r="C1729" s="2987" t="s">
        <v>4994</v>
      </c>
      <c r="D1729" s="2987" t="s">
        <v>3594</v>
      </c>
      <c r="E1729" s="2987" t="s">
        <v>5244</v>
      </c>
      <c r="F1729" s="2987"/>
      <c r="G1729" s="2987">
        <v>1702</v>
      </c>
      <c r="H1729" s="2987" t="s">
        <v>5278</v>
      </c>
      <c r="I1729" s="2987" t="s">
        <v>3486</v>
      </c>
      <c r="J1729" s="2987" t="s">
        <v>3599</v>
      </c>
      <c r="K1729" s="2988">
        <v>96.17</v>
      </c>
    </row>
    <row r="1730" spans="2:11" ht="18" customHeight="1">
      <c r="B1730" s="2986">
        <v>1901</v>
      </c>
      <c r="C1730" s="2987" t="s">
        <v>4994</v>
      </c>
      <c r="D1730" s="2987" t="s">
        <v>3594</v>
      </c>
      <c r="E1730" s="2987" t="s">
        <v>5244</v>
      </c>
      <c r="F1730" s="2987"/>
      <c r="G1730" s="2987">
        <v>1703</v>
      </c>
      <c r="H1730" s="2987" t="s">
        <v>5279</v>
      </c>
      <c r="I1730" s="2987" t="s">
        <v>3486</v>
      </c>
      <c r="J1730" s="2987" t="s">
        <v>3599</v>
      </c>
      <c r="K1730" s="2988">
        <v>96.17</v>
      </c>
    </row>
    <row r="1731" spans="2:11" ht="18" customHeight="1">
      <c r="B1731" s="2986">
        <v>1902</v>
      </c>
      <c r="C1731" s="2987" t="s">
        <v>4994</v>
      </c>
      <c r="D1731" s="2987" t="s">
        <v>3594</v>
      </c>
      <c r="E1731" s="2987" t="s">
        <v>5244</v>
      </c>
      <c r="F1731" s="2987"/>
      <c r="G1731" s="2987">
        <v>1704</v>
      </c>
      <c r="H1731" s="2987" t="s">
        <v>5280</v>
      </c>
      <c r="I1731" s="2987" t="s">
        <v>3486</v>
      </c>
      <c r="J1731" s="2987" t="s">
        <v>3602</v>
      </c>
      <c r="K1731" s="2988">
        <v>111.02</v>
      </c>
    </row>
    <row r="1732" spans="2:11" ht="18" customHeight="1">
      <c r="B1732" s="2986">
        <v>1903</v>
      </c>
      <c r="C1732" s="2987" t="s">
        <v>4994</v>
      </c>
      <c r="D1732" s="2987" t="s">
        <v>3594</v>
      </c>
      <c r="E1732" s="2987" t="s">
        <v>5244</v>
      </c>
      <c r="F1732" s="2987"/>
      <c r="G1732" s="2987">
        <v>1801</v>
      </c>
      <c r="H1732" s="2987" t="s">
        <v>5281</v>
      </c>
      <c r="I1732" s="2987" t="s">
        <v>3486</v>
      </c>
      <c r="J1732" s="2987" t="s">
        <v>3597</v>
      </c>
      <c r="K1732" s="2988">
        <v>128.26</v>
      </c>
    </row>
    <row r="1733" spans="2:11" ht="18" customHeight="1">
      <c r="B1733" s="2986">
        <v>1904</v>
      </c>
      <c r="C1733" s="2987" t="s">
        <v>4994</v>
      </c>
      <c r="D1733" s="2987" t="s">
        <v>3594</v>
      </c>
      <c r="E1733" s="2987" t="s">
        <v>5244</v>
      </c>
      <c r="F1733" s="2987"/>
      <c r="G1733" s="2987">
        <v>1802</v>
      </c>
      <c r="H1733" s="2987" t="s">
        <v>5282</v>
      </c>
      <c r="I1733" s="2987" t="s">
        <v>3486</v>
      </c>
      <c r="J1733" s="2987" t="s">
        <v>3599</v>
      </c>
      <c r="K1733" s="2988">
        <v>96.17</v>
      </c>
    </row>
    <row r="1734" spans="2:11" ht="18" customHeight="1">
      <c r="B1734" s="2986">
        <v>1905</v>
      </c>
      <c r="C1734" s="2987" t="s">
        <v>4994</v>
      </c>
      <c r="D1734" s="2987" t="s">
        <v>3594</v>
      </c>
      <c r="E1734" s="2987" t="s">
        <v>5244</v>
      </c>
      <c r="F1734" s="2987"/>
      <c r="G1734" s="2987">
        <v>1803</v>
      </c>
      <c r="H1734" s="2987" t="s">
        <v>5283</v>
      </c>
      <c r="I1734" s="2987" t="s">
        <v>3486</v>
      </c>
      <c r="J1734" s="2987" t="s">
        <v>3599</v>
      </c>
      <c r="K1734" s="2988">
        <v>96.17</v>
      </c>
    </row>
    <row r="1735" spans="2:11" ht="18" customHeight="1">
      <c r="B1735" s="2986">
        <v>1906</v>
      </c>
      <c r="C1735" s="2987" t="s">
        <v>4994</v>
      </c>
      <c r="D1735" s="2987" t="s">
        <v>3594</v>
      </c>
      <c r="E1735" s="2987" t="s">
        <v>5244</v>
      </c>
      <c r="F1735" s="2987"/>
      <c r="G1735" s="2987">
        <v>1804</v>
      </c>
      <c r="H1735" s="2987" t="s">
        <v>5284</v>
      </c>
      <c r="I1735" s="2987" t="s">
        <v>3486</v>
      </c>
      <c r="J1735" s="2987" t="s">
        <v>3602</v>
      </c>
      <c r="K1735" s="2988">
        <v>111.02</v>
      </c>
    </row>
    <row r="1736" spans="2:11" ht="18" customHeight="1">
      <c r="B1736" s="2986">
        <v>1907</v>
      </c>
      <c r="C1736" s="2987" t="s">
        <v>4994</v>
      </c>
      <c r="D1736" s="2987" t="s">
        <v>3594</v>
      </c>
      <c r="E1736" s="2987" t="s">
        <v>5244</v>
      </c>
      <c r="F1736" s="2987"/>
      <c r="G1736" s="2987">
        <v>1901</v>
      </c>
      <c r="H1736" s="2987" t="s">
        <v>5285</v>
      </c>
      <c r="I1736" s="2987" t="s">
        <v>3486</v>
      </c>
      <c r="J1736" s="2987" t="s">
        <v>3597</v>
      </c>
      <c r="K1736" s="2988">
        <v>128.26</v>
      </c>
    </row>
    <row r="1737" spans="2:11" ht="18" customHeight="1">
      <c r="B1737" s="2986">
        <v>1908</v>
      </c>
      <c r="C1737" s="2987" t="s">
        <v>4994</v>
      </c>
      <c r="D1737" s="2987" t="s">
        <v>3594</v>
      </c>
      <c r="E1737" s="2987" t="s">
        <v>5244</v>
      </c>
      <c r="F1737" s="2987"/>
      <c r="G1737" s="2987">
        <v>1902</v>
      </c>
      <c r="H1737" s="2987" t="s">
        <v>5286</v>
      </c>
      <c r="I1737" s="2987" t="s">
        <v>3486</v>
      </c>
      <c r="J1737" s="2987" t="s">
        <v>3599</v>
      </c>
      <c r="K1737" s="2988">
        <v>96.17</v>
      </c>
    </row>
    <row r="1738" spans="2:11" ht="18" customHeight="1">
      <c r="B1738" s="2986">
        <v>1909</v>
      </c>
      <c r="C1738" s="2987" t="s">
        <v>4994</v>
      </c>
      <c r="D1738" s="2987" t="s">
        <v>3594</v>
      </c>
      <c r="E1738" s="2987" t="s">
        <v>5244</v>
      </c>
      <c r="F1738" s="2987"/>
      <c r="G1738" s="2987">
        <v>1903</v>
      </c>
      <c r="H1738" s="2987" t="s">
        <v>5287</v>
      </c>
      <c r="I1738" s="2987" t="s">
        <v>3486</v>
      </c>
      <c r="J1738" s="2987" t="s">
        <v>3599</v>
      </c>
      <c r="K1738" s="2988">
        <v>96.17</v>
      </c>
    </row>
    <row r="1739" spans="2:11" ht="18" customHeight="1">
      <c r="B1739" s="2986">
        <v>1910</v>
      </c>
      <c r="C1739" s="2987" t="s">
        <v>4994</v>
      </c>
      <c r="D1739" s="2987" t="s">
        <v>3594</v>
      </c>
      <c r="E1739" s="2987" t="s">
        <v>5244</v>
      </c>
      <c r="F1739" s="2987"/>
      <c r="G1739" s="2987">
        <v>1904</v>
      </c>
      <c r="H1739" s="2987" t="s">
        <v>5288</v>
      </c>
      <c r="I1739" s="2987" t="s">
        <v>3486</v>
      </c>
      <c r="J1739" s="2987" t="s">
        <v>3602</v>
      </c>
      <c r="K1739" s="2988">
        <v>111.02</v>
      </c>
    </row>
    <row r="1740" spans="2:11" ht="18" customHeight="1">
      <c r="B1740" s="2986">
        <v>1911</v>
      </c>
      <c r="C1740" s="2987" t="s">
        <v>4994</v>
      </c>
      <c r="D1740" s="2987" t="s">
        <v>3594</v>
      </c>
      <c r="E1740" s="2987" t="s">
        <v>5244</v>
      </c>
      <c r="F1740" s="2987"/>
      <c r="G1740" s="2987">
        <v>2001</v>
      </c>
      <c r="H1740" s="2987" t="s">
        <v>5289</v>
      </c>
      <c r="I1740" s="2987" t="s">
        <v>3486</v>
      </c>
      <c r="J1740" s="2987" t="s">
        <v>3597</v>
      </c>
      <c r="K1740" s="2988">
        <v>128.26</v>
      </c>
    </row>
    <row r="1741" spans="2:11" ht="18" customHeight="1">
      <c r="B1741" s="2986">
        <v>1912</v>
      </c>
      <c r="C1741" s="2987" t="s">
        <v>4994</v>
      </c>
      <c r="D1741" s="2987" t="s">
        <v>3594</v>
      </c>
      <c r="E1741" s="2987" t="s">
        <v>5244</v>
      </c>
      <c r="F1741" s="2987"/>
      <c r="G1741" s="2987">
        <v>2002</v>
      </c>
      <c r="H1741" s="2987" t="s">
        <v>5290</v>
      </c>
      <c r="I1741" s="2987" t="s">
        <v>3486</v>
      </c>
      <c r="J1741" s="2987" t="s">
        <v>3599</v>
      </c>
      <c r="K1741" s="2988">
        <v>96.17</v>
      </c>
    </row>
    <row r="1742" spans="2:11" ht="18" customHeight="1">
      <c r="B1742" s="2986">
        <v>1913</v>
      </c>
      <c r="C1742" s="2987" t="s">
        <v>4994</v>
      </c>
      <c r="D1742" s="2987" t="s">
        <v>3594</v>
      </c>
      <c r="E1742" s="2987" t="s">
        <v>5244</v>
      </c>
      <c r="F1742" s="2987"/>
      <c r="G1742" s="2987">
        <v>2003</v>
      </c>
      <c r="H1742" s="2987" t="s">
        <v>5291</v>
      </c>
      <c r="I1742" s="2987" t="s">
        <v>3486</v>
      </c>
      <c r="J1742" s="2987" t="s">
        <v>3599</v>
      </c>
      <c r="K1742" s="2988">
        <v>96.17</v>
      </c>
    </row>
    <row r="1743" spans="2:11" ht="18" customHeight="1">
      <c r="B1743" s="2986">
        <v>1914</v>
      </c>
      <c r="C1743" s="2987" t="s">
        <v>4994</v>
      </c>
      <c r="D1743" s="2987" t="s">
        <v>3594</v>
      </c>
      <c r="E1743" s="2987" t="s">
        <v>5244</v>
      </c>
      <c r="F1743" s="2987"/>
      <c r="G1743" s="2987">
        <v>2004</v>
      </c>
      <c r="H1743" s="2987" t="s">
        <v>5292</v>
      </c>
      <c r="I1743" s="2987" t="s">
        <v>3486</v>
      </c>
      <c r="J1743" s="2987" t="s">
        <v>3602</v>
      </c>
      <c r="K1743" s="2988">
        <v>111.02</v>
      </c>
    </row>
    <row r="1744" spans="2:11" ht="18" customHeight="1">
      <c r="B1744" s="2986">
        <v>1915</v>
      </c>
      <c r="C1744" s="2987" t="s">
        <v>4994</v>
      </c>
      <c r="D1744" s="2987" t="s">
        <v>3594</v>
      </c>
      <c r="E1744" s="2987" t="s">
        <v>5244</v>
      </c>
      <c r="F1744" s="2987"/>
      <c r="G1744" s="2987">
        <v>201</v>
      </c>
      <c r="H1744" s="2987" t="s">
        <v>5293</v>
      </c>
      <c r="I1744" s="2987" t="s">
        <v>3486</v>
      </c>
      <c r="J1744" s="2987" t="s">
        <v>3597</v>
      </c>
      <c r="K1744" s="2988">
        <v>128.26</v>
      </c>
    </row>
    <row r="1745" spans="2:11" ht="18" customHeight="1">
      <c r="B1745" s="2986">
        <v>1916</v>
      </c>
      <c r="C1745" s="2987" t="s">
        <v>4994</v>
      </c>
      <c r="D1745" s="2987" t="s">
        <v>3594</v>
      </c>
      <c r="E1745" s="2987" t="s">
        <v>5244</v>
      </c>
      <c r="F1745" s="2987"/>
      <c r="G1745" s="2987">
        <v>202</v>
      </c>
      <c r="H1745" s="2987" t="s">
        <v>5294</v>
      </c>
      <c r="I1745" s="2987" t="s">
        <v>3486</v>
      </c>
      <c r="J1745" s="2987" t="s">
        <v>3599</v>
      </c>
      <c r="K1745" s="2988">
        <v>96.17</v>
      </c>
    </row>
    <row r="1746" spans="2:11" ht="18" customHeight="1">
      <c r="B1746" s="2986">
        <v>1917</v>
      </c>
      <c r="C1746" s="2987" t="s">
        <v>4994</v>
      </c>
      <c r="D1746" s="2987" t="s">
        <v>3594</v>
      </c>
      <c r="E1746" s="2987" t="s">
        <v>5244</v>
      </c>
      <c r="F1746" s="2987"/>
      <c r="G1746" s="2987">
        <v>203</v>
      </c>
      <c r="H1746" s="2987" t="s">
        <v>5295</v>
      </c>
      <c r="I1746" s="2987" t="s">
        <v>3486</v>
      </c>
      <c r="J1746" s="2987" t="s">
        <v>3599</v>
      </c>
      <c r="K1746" s="2988">
        <v>96.17</v>
      </c>
    </row>
    <row r="1747" spans="2:11" ht="18" customHeight="1">
      <c r="B1747" s="2986">
        <v>1918</v>
      </c>
      <c r="C1747" s="2987" t="s">
        <v>4994</v>
      </c>
      <c r="D1747" s="2987" t="s">
        <v>3594</v>
      </c>
      <c r="E1747" s="2987" t="s">
        <v>5244</v>
      </c>
      <c r="F1747" s="2987"/>
      <c r="G1747" s="2987">
        <v>204</v>
      </c>
      <c r="H1747" s="2987" t="s">
        <v>5296</v>
      </c>
      <c r="I1747" s="2987" t="s">
        <v>3486</v>
      </c>
      <c r="J1747" s="2987" t="s">
        <v>3602</v>
      </c>
      <c r="K1747" s="2988">
        <v>111.02</v>
      </c>
    </row>
    <row r="1748" spans="2:11" ht="18" customHeight="1">
      <c r="B1748" s="2986">
        <v>1919</v>
      </c>
      <c r="C1748" s="2987" t="s">
        <v>4994</v>
      </c>
      <c r="D1748" s="2987" t="s">
        <v>3594</v>
      </c>
      <c r="E1748" s="2987" t="s">
        <v>5244</v>
      </c>
      <c r="F1748" s="2987"/>
      <c r="G1748" s="2987">
        <v>2101</v>
      </c>
      <c r="H1748" s="2987" t="s">
        <v>5297</v>
      </c>
      <c r="I1748" s="2987" t="s">
        <v>3486</v>
      </c>
      <c r="J1748" s="2987" t="s">
        <v>3597</v>
      </c>
      <c r="K1748" s="2988">
        <v>128.26</v>
      </c>
    </row>
    <row r="1749" spans="2:11" ht="18" customHeight="1">
      <c r="B1749" s="2986">
        <v>1920</v>
      </c>
      <c r="C1749" s="2987" t="s">
        <v>4994</v>
      </c>
      <c r="D1749" s="2987" t="s">
        <v>3594</v>
      </c>
      <c r="E1749" s="2987" t="s">
        <v>5244</v>
      </c>
      <c r="F1749" s="2987"/>
      <c r="G1749" s="2987">
        <v>2102</v>
      </c>
      <c r="H1749" s="2987" t="s">
        <v>5298</v>
      </c>
      <c r="I1749" s="2987" t="s">
        <v>3486</v>
      </c>
      <c r="J1749" s="2987" t="s">
        <v>3599</v>
      </c>
      <c r="K1749" s="2988">
        <v>96.17</v>
      </c>
    </row>
    <row r="1750" spans="2:11" ht="18" customHeight="1">
      <c r="B1750" s="2986">
        <v>1921</v>
      </c>
      <c r="C1750" s="2987" t="s">
        <v>4994</v>
      </c>
      <c r="D1750" s="2987" t="s">
        <v>3594</v>
      </c>
      <c r="E1750" s="2987" t="s">
        <v>5244</v>
      </c>
      <c r="F1750" s="2987"/>
      <c r="G1750" s="2987">
        <v>2103</v>
      </c>
      <c r="H1750" s="2987" t="s">
        <v>5299</v>
      </c>
      <c r="I1750" s="2987" t="s">
        <v>3486</v>
      </c>
      <c r="J1750" s="2987" t="s">
        <v>3599</v>
      </c>
      <c r="K1750" s="2988">
        <v>96.17</v>
      </c>
    </row>
    <row r="1751" spans="2:11" ht="18" customHeight="1">
      <c r="B1751" s="2986">
        <v>1922</v>
      </c>
      <c r="C1751" s="2987" t="s">
        <v>4994</v>
      </c>
      <c r="D1751" s="2987" t="s">
        <v>3594</v>
      </c>
      <c r="E1751" s="2987" t="s">
        <v>5244</v>
      </c>
      <c r="F1751" s="2987"/>
      <c r="G1751" s="2987">
        <v>2104</v>
      </c>
      <c r="H1751" s="2987" t="s">
        <v>5300</v>
      </c>
      <c r="I1751" s="2987" t="s">
        <v>3486</v>
      </c>
      <c r="J1751" s="2987" t="s">
        <v>3602</v>
      </c>
      <c r="K1751" s="2988">
        <v>111.02</v>
      </c>
    </row>
    <row r="1752" spans="2:11" ht="18" customHeight="1">
      <c r="B1752" s="2986">
        <v>1923</v>
      </c>
      <c r="C1752" s="2987" t="s">
        <v>4994</v>
      </c>
      <c r="D1752" s="2987" t="s">
        <v>3594</v>
      </c>
      <c r="E1752" s="2987" t="s">
        <v>5244</v>
      </c>
      <c r="F1752" s="2987"/>
      <c r="G1752" s="2987">
        <v>301</v>
      </c>
      <c r="H1752" s="2987" t="s">
        <v>5301</v>
      </c>
      <c r="I1752" s="2987" t="s">
        <v>3486</v>
      </c>
      <c r="J1752" s="2987" t="s">
        <v>3597</v>
      </c>
      <c r="K1752" s="2988">
        <v>128.26</v>
      </c>
    </row>
    <row r="1753" spans="2:11" ht="18" customHeight="1">
      <c r="B1753" s="2986">
        <v>1924</v>
      </c>
      <c r="C1753" s="2987" t="s">
        <v>4994</v>
      </c>
      <c r="D1753" s="2987" t="s">
        <v>3594</v>
      </c>
      <c r="E1753" s="2987" t="s">
        <v>5244</v>
      </c>
      <c r="F1753" s="2987"/>
      <c r="G1753" s="2987">
        <v>302</v>
      </c>
      <c r="H1753" s="2987" t="s">
        <v>5302</v>
      </c>
      <c r="I1753" s="2987" t="s">
        <v>3486</v>
      </c>
      <c r="J1753" s="2987" t="s">
        <v>3599</v>
      </c>
      <c r="K1753" s="2988">
        <v>96.17</v>
      </c>
    </row>
    <row r="1754" spans="2:11" ht="18" customHeight="1">
      <c r="B1754" s="2986">
        <v>1925</v>
      </c>
      <c r="C1754" s="2987" t="s">
        <v>4994</v>
      </c>
      <c r="D1754" s="2987" t="s">
        <v>3594</v>
      </c>
      <c r="E1754" s="2987" t="s">
        <v>5244</v>
      </c>
      <c r="F1754" s="2987"/>
      <c r="G1754" s="2987">
        <v>303</v>
      </c>
      <c r="H1754" s="2987" t="s">
        <v>5303</v>
      </c>
      <c r="I1754" s="2987" t="s">
        <v>3486</v>
      </c>
      <c r="J1754" s="2987" t="s">
        <v>3599</v>
      </c>
      <c r="K1754" s="2988">
        <v>96.17</v>
      </c>
    </row>
    <row r="1755" spans="2:11" ht="18" customHeight="1">
      <c r="B1755" s="2986">
        <v>1926</v>
      </c>
      <c r="C1755" s="2987" t="s">
        <v>4994</v>
      </c>
      <c r="D1755" s="2987" t="s">
        <v>3594</v>
      </c>
      <c r="E1755" s="2987" t="s">
        <v>5244</v>
      </c>
      <c r="F1755" s="2987"/>
      <c r="G1755" s="2987">
        <v>304</v>
      </c>
      <c r="H1755" s="2987" t="s">
        <v>5304</v>
      </c>
      <c r="I1755" s="2987" t="s">
        <v>3486</v>
      </c>
      <c r="J1755" s="2987" t="s">
        <v>3602</v>
      </c>
      <c r="K1755" s="2988">
        <v>111.02</v>
      </c>
    </row>
    <row r="1756" spans="2:11" ht="18" customHeight="1">
      <c r="B1756" s="2986">
        <v>1927</v>
      </c>
      <c r="C1756" s="2987" t="s">
        <v>4994</v>
      </c>
      <c r="D1756" s="2987" t="s">
        <v>3594</v>
      </c>
      <c r="E1756" s="2987" t="s">
        <v>5244</v>
      </c>
      <c r="F1756" s="2987"/>
      <c r="G1756" s="2987">
        <v>401</v>
      </c>
      <c r="H1756" s="2987" t="s">
        <v>5305</v>
      </c>
      <c r="I1756" s="2987" t="s">
        <v>3486</v>
      </c>
      <c r="J1756" s="2987" t="s">
        <v>3597</v>
      </c>
      <c r="K1756" s="2988">
        <v>128.26</v>
      </c>
    </row>
    <row r="1757" spans="2:11" ht="18" customHeight="1">
      <c r="B1757" s="2986">
        <v>1928</v>
      </c>
      <c r="C1757" s="2987" t="s">
        <v>4994</v>
      </c>
      <c r="D1757" s="2987" t="s">
        <v>3594</v>
      </c>
      <c r="E1757" s="2987" t="s">
        <v>5244</v>
      </c>
      <c r="F1757" s="2987"/>
      <c r="G1757" s="2987">
        <v>402</v>
      </c>
      <c r="H1757" s="2987" t="s">
        <v>5306</v>
      </c>
      <c r="I1757" s="2987" t="s">
        <v>3486</v>
      </c>
      <c r="J1757" s="2987" t="s">
        <v>3599</v>
      </c>
      <c r="K1757" s="2988">
        <v>96.17</v>
      </c>
    </row>
    <row r="1758" spans="2:11" ht="18" customHeight="1">
      <c r="B1758" s="2986">
        <v>1929</v>
      </c>
      <c r="C1758" s="2987" t="s">
        <v>4994</v>
      </c>
      <c r="D1758" s="2987" t="s">
        <v>3594</v>
      </c>
      <c r="E1758" s="2987" t="s">
        <v>5244</v>
      </c>
      <c r="F1758" s="2987"/>
      <c r="G1758" s="2987">
        <v>403</v>
      </c>
      <c r="H1758" s="2987" t="s">
        <v>5307</v>
      </c>
      <c r="I1758" s="2987" t="s">
        <v>3486</v>
      </c>
      <c r="J1758" s="2987" t="s">
        <v>3599</v>
      </c>
      <c r="K1758" s="2988">
        <v>96.17</v>
      </c>
    </row>
    <row r="1759" spans="2:11" ht="18" customHeight="1">
      <c r="B1759" s="2986">
        <v>1930</v>
      </c>
      <c r="C1759" s="2987" t="s">
        <v>4994</v>
      </c>
      <c r="D1759" s="2987" t="s">
        <v>3594</v>
      </c>
      <c r="E1759" s="2987" t="s">
        <v>5244</v>
      </c>
      <c r="F1759" s="2987"/>
      <c r="G1759" s="2987">
        <v>404</v>
      </c>
      <c r="H1759" s="2987" t="s">
        <v>5308</v>
      </c>
      <c r="I1759" s="2987" t="s">
        <v>3486</v>
      </c>
      <c r="J1759" s="2987" t="s">
        <v>3602</v>
      </c>
      <c r="K1759" s="2988">
        <v>111.02</v>
      </c>
    </row>
    <row r="1760" spans="2:11" ht="18" customHeight="1">
      <c r="B1760" s="2986">
        <v>1931</v>
      </c>
      <c r="C1760" s="2987" t="s">
        <v>4994</v>
      </c>
      <c r="D1760" s="2987" t="s">
        <v>3594</v>
      </c>
      <c r="E1760" s="2987" t="s">
        <v>5244</v>
      </c>
      <c r="F1760" s="2987"/>
      <c r="G1760" s="2987">
        <v>501</v>
      </c>
      <c r="H1760" s="2987" t="s">
        <v>5309</v>
      </c>
      <c r="I1760" s="2987" t="s">
        <v>3486</v>
      </c>
      <c r="J1760" s="2987" t="s">
        <v>3597</v>
      </c>
      <c r="K1760" s="2988">
        <v>128.26</v>
      </c>
    </row>
    <row r="1761" spans="2:11" ht="18" customHeight="1">
      <c r="B1761" s="2986">
        <v>1932</v>
      </c>
      <c r="C1761" s="2987" t="s">
        <v>4994</v>
      </c>
      <c r="D1761" s="2987" t="s">
        <v>3594</v>
      </c>
      <c r="E1761" s="2987" t="s">
        <v>5244</v>
      </c>
      <c r="F1761" s="2987"/>
      <c r="G1761" s="2987">
        <v>502</v>
      </c>
      <c r="H1761" s="2987" t="s">
        <v>5310</v>
      </c>
      <c r="I1761" s="2987" t="s">
        <v>3486</v>
      </c>
      <c r="J1761" s="2987" t="s">
        <v>3599</v>
      </c>
      <c r="K1761" s="2988">
        <v>96.17</v>
      </c>
    </row>
    <row r="1762" spans="2:11" ht="18" customHeight="1">
      <c r="B1762" s="2986">
        <v>1933</v>
      </c>
      <c r="C1762" s="2987" t="s">
        <v>4994</v>
      </c>
      <c r="D1762" s="2987" t="s">
        <v>3594</v>
      </c>
      <c r="E1762" s="2987" t="s">
        <v>5244</v>
      </c>
      <c r="F1762" s="2987"/>
      <c r="G1762" s="2987">
        <v>503</v>
      </c>
      <c r="H1762" s="2987" t="s">
        <v>5311</v>
      </c>
      <c r="I1762" s="2987" t="s">
        <v>3486</v>
      </c>
      <c r="J1762" s="2987" t="s">
        <v>3599</v>
      </c>
      <c r="K1762" s="2988">
        <v>96.17</v>
      </c>
    </row>
    <row r="1763" spans="2:11" ht="18" customHeight="1">
      <c r="B1763" s="2986">
        <v>1934</v>
      </c>
      <c r="C1763" s="2987" t="s">
        <v>4994</v>
      </c>
      <c r="D1763" s="2987" t="s">
        <v>3594</v>
      </c>
      <c r="E1763" s="2987" t="s">
        <v>5244</v>
      </c>
      <c r="F1763" s="2987"/>
      <c r="G1763" s="2987">
        <v>504</v>
      </c>
      <c r="H1763" s="2987" t="s">
        <v>5312</v>
      </c>
      <c r="I1763" s="2987" t="s">
        <v>3486</v>
      </c>
      <c r="J1763" s="2987" t="s">
        <v>3602</v>
      </c>
      <c r="K1763" s="2988">
        <v>111.02</v>
      </c>
    </row>
    <row r="1764" spans="2:11" ht="18" customHeight="1">
      <c r="B1764" s="2986">
        <v>1935</v>
      </c>
      <c r="C1764" s="2987" t="s">
        <v>4994</v>
      </c>
      <c r="D1764" s="2987" t="s">
        <v>3594</v>
      </c>
      <c r="E1764" s="2987" t="s">
        <v>5244</v>
      </c>
      <c r="F1764" s="2987"/>
      <c r="G1764" s="2987">
        <v>601</v>
      </c>
      <c r="H1764" s="2987" t="s">
        <v>5313</v>
      </c>
      <c r="I1764" s="2987" t="s">
        <v>3486</v>
      </c>
      <c r="J1764" s="2987" t="s">
        <v>3597</v>
      </c>
      <c r="K1764" s="2988">
        <v>128.26</v>
      </c>
    </row>
    <row r="1765" spans="2:11" ht="18" customHeight="1">
      <c r="B1765" s="2986">
        <v>1936</v>
      </c>
      <c r="C1765" s="2987" t="s">
        <v>4994</v>
      </c>
      <c r="D1765" s="2987" t="s">
        <v>3594</v>
      </c>
      <c r="E1765" s="2987" t="s">
        <v>5244</v>
      </c>
      <c r="F1765" s="2987"/>
      <c r="G1765" s="2987">
        <v>602</v>
      </c>
      <c r="H1765" s="2987" t="s">
        <v>5314</v>
      </c>
      <c r="I1765" s="2987" t="s">
        <v>3486</v>
      </c>
      <c r="J1765" s="2987" t="s">
        <v>3599</v>
      </c>
      <c r="K1765" s="2988">
        <v>96.17</v>
      </c>
    </row>
    <row r="1766" spans="2:11" ht="18" customHeight="1">
      <c r="B1766" s="2986">
        <v>1937</v>
      </c>
      <c r="C1766" s="2987" t="s">
        <v>4994</v>
      </c>
      <c r="D1766" s="2987" t="s">
        <v>3594</v>
      </c>
      <c r="E1766" s="2987" t="s">
        <v>5244</v>
      </c>
      <c r="F1766" s="2987"/>
      <c r="G1766" s="2987">
        <v>603</v>
      </c>
      <c r="H1766" s="2987" t="s">
        <v>5315</v>
      </c>
      <c r="I1766" s="2987" t="s">
        <v>3486</v>
      </c>
      <c r="J1766" s="2987" t="s">
        <v>3599</v>
      </c>
      <c r="K1766" s="2988">
        <v>96.17</v>
      </c>
    </row>
    <row r="1767" spans="2:11" ht="18" customHeight="1">
      <c r="B1767" s="2986">
        <v>1938</v>
      </c>
      <c r="C1767" s="2987" t="s">
        <v>4994</v>
      </c>
      <c r="D1767" s="2987" t="s">
        <v>3594</v>
      </c>
      <c r="E1767" s="2987" t="s">
        <v>5244</v>
      </c>
      <c r="F1767" s="2987"/>
      <c r="G1767" s="2987">
        <v>604</v>
      </c>
      <c r="H1767" s="2987" t="s">
        <v>5316</v>
      </c>
      <c r="I1767" s="2987" t="s">
        <v>3486</v>
      </c>
      <c r="J1767" s="2987" t="s">
        <v>3602</v>
      </c>
      <c r="K1767" s="2988">
        <v>111.02</v>
      </c>
    </row>
    <row r="1768" spans="2:11" ht="18" customHeight="1">
      <c r="B1768" s="2986">
        <v>1939</v>
      </c>
      <c r="C1768" s="2987" t="s">
        <v>4994</v>
      </c>
      <c r="D1768" s="2987" t="s">
        <v>3594</v>
      </c>
      <c r="E1768" s="2987" t="s">
        <v>5244</v>
      </c>
      <c r="F1768" s="2987"/>
      <c r="G1768" s="2987">
        <v>701</v>
      </c>
      <c r="H1768" s="2987" t="s">
        <v>5317</v>
      </c>
      <c r="I1768" s="2987" t="s">
        <v>3486</v>
      </c>
      <c r="J1768" s="2987" t="s">
        <v>3597</v>
      </c>
      <c r="K1768" s="2988">
        <v>128.26</v>
      </c>
    </row>
    <row r="1769" spans="2:11" ht="18" customHeight="1">
      <c r="B1769" s="2986">
        <v>1940</v>
      </c>
      <c r="C1769" s="2987" t="s">
        <v>4994</v>
      </c>
      <c r="D1769" s="2987" t="s">
        <v>3594</v>
      </c>
      <c r="E1769" s="2987" t="s">
        <v>5244</v>
      </c>
      <c r="F1769" s="2987"/>
      <c r="G1769" s="2987">
        <v>702</v>
      </c>
      <c r="H1769" s="2987" t="s">
        <v>5318</v>
      </c>
      <c r="I1769" s="2987" t="s">
        <v>3486</v>
      </c>
      <c r="J1769" s="2987" t="s">
        <v>3599</v>
      </c>
      <c r="K1769" s="2988">
        <v>96.17</v>
      </c>
    </row>
    <row r="1770" spans="2:11" ht="18" customHeight="1">
      <c r="B1770" s="2986">
        <v>1941</v>
      </c>
      <c r="C1770" s="2987" t="s">
        <v>4994</v>
      </c>
      <c r="D1770" s="2987" t="s">
        <v>3594</v>
      </c>
      <c r="E1770" s="2987" t="s">
        <v>5244</v>
      </c>
      <c r="F1770" s="2987"/>
      <c r="G1770" s="2987">
        <v>703</v>
      </c>
      <c r="H1770" s="2987" t="s">
        <v>5319</v>
      </c>
      <c r="I1770" s="2987" t="s">
        <v>3486</v>
      </c>
      <c r="J1770" s="2987" t="s">
        <v>3599</v>
      </c>
      <c r="K1770" s="2988">
        <v>96.17</v>
      </c>
    </row>
    <row r="1771" spans="2:11" ht="18" customHeight="1">
      <c r="B1771" s="2986">
        <v>1942</v>
      </c>
      <c r="C1771" s="2987" t="s">
        <v>4994</v>
      </c>
      <c r="D1771" s="2987" t="s">
        <v>3594</v>
      </c>
      <c r="E1771" s="2987" t="s">
        <v>5244</v>
      </c>
      <c r="F1771" s="2987"/>
      <c r="G1771" s="2987">
        <v>704</v>
      </c>
      <c r="H1771" s="2987" t="s">
        <v>5320</v>
      </c>
      <c r="I1771" s="2987" t="s">
        <v>3486</v>
      </c>
      <c r="J1771" s="2987" t="s">
        <v>3602</v>
      </c>
      <c r="K1771" s="2988">
        <v>111.02</v>
      </c>
    </row>
    <row r="1772" spans="2:11" ht="18" customHeight="1">
      <c r="B1772" s="2986">
        <v>1943</v>
      </c>
      <c r="C1772" s="2987" t="s">
        <v>4994</v>
      </c>
      <c r="D1772" s="2987" t="s">
        <v>3594</v>
      </c>
      <c r="E1772" s="2987" t="s">
        <v>5244</v>
      </c>
      <c r="F1772" s="2987"/>
      <c r="G1772" s="2987">
        <v>801</v>
      </c>
      <c r="H1772" s="2987" t="s">
        <v>5321</v>
      </c>
      <c r="I1772" s="2987" t="s">
        <v>3486</v>
      </c>
      <c r="J1772" s="2987" t="s">
        <v>3597</v>
      </c>
      <c r="K1772" s="2988">
        <v>128.26</v>
      </c>
    </row>
    <row r="1773" spans="2:11" ht="18" customHeight="1">
      <c r="B1773" s="2986">
        <v>1944</v>
      </c>
      <c r="C1773" s="2987" t="s">
        <v>4994</v>
      </c>
      <c r="D1773" s="2987" t="s">
        <v>3594</v>
      </c>
      <c r="E1773" s="2987" t="s">
        <v>5244</v>
      </c>
      <c r="F1773" s="2987"/>
      <c r="G1773" s="2987">
        <v>802</v>
      </c>
      <c r="H1773" s="2987" t="s">
        <v>5322</v>
      </c>
      <c r="I1773" s="2987" t="s">
        <v>3486</v>
      </c>
      <c r="J1773" s="2987" t="s">
        <v>3599</v>
      </c>
      <c r="K1773" s="2988">
        <v>96.17</v>
      </c>
    </row>
    <row r="1774" spans="2:11" ht="18" customHeight="1">
      <c r="B1774" s="2986">
        <v>1945</v>
      </c>
      <c r="C1774" s="2987" t="s">
        <v>4994</v>
      </c>
      <c r="D1774" s="2987" t="s">
        <v>3594</v>
      </c>
      <c r="E1774" s="2987" t="s">
        <v>5244</v>
      </c>
      <c r="F1774" s="2987"/>
      <c r="G1774" s="2987">
        <v>803</v>
      </c>
      <c r="H1774" s="2987" t="s">
        <v>5323</v>
      </c>
      <c r="I1774" s="2987" t="s">
        <v>3486</v>
      </c>
      <c r="J1774" s="2987" t="s">
        <v>3599</v>
      </c>
      <c r="K1774" s="2988">
        <v>96.17</v>
      </c>
    </row>
    <row r="1775" spans="2:11" ht="18" customHeight="1">
      <c r="B1775" s="2986">
        <v>1946</v>
      </c>
      <c r="C1775" s="2987" t="s">
        <v>4994</v>
      </c>
      <c r="D1775" s="2987" t="s">
        <v>3594</v>
      </c>
      <c r="E1775" s="2987" t="s">
        <v>5244</v>
      </c>
      <c r="F1775" s="2987"/>
      <c r="G1775" s="2987">
        <v>804</v>
      </c>
      <c r="H1775" s="2987" t="s">
        <v>5324</v>
      </c>
      <c r="I1775" s="2987" t="s">
        <v>3486</v>
      </c>
      <c r="J1775" s="2987" t="s">
        <v>3602</v>
      </c>
      <c r="K1775" s="2988">
        <v>111.02</v>
      </c>
    </row>
    <row r="1776" spans="2:11" ht="18" customHeight="1">
      <c r="B1776" s="2986">
        <v>1947</v>
      </c>
      <c r="C1776" s="2987" t="s">
        <v>4994</v>
      </c>
      <c r="D1776" s="2987" t="s">
        <v>3594</v>
      </c>
      <c r="E1776" s="2987" t="s">
        <v>5244</v>
      </c>
      <c r="F1776" s="2987"/>
      <c r="G1776" s="2987">
        <v>901</v>
      </c>
      <c r="H1776" s="2987" t="s">
        <v>5325</v>
      </c>
      <c r="I1776" s="2987" t="s">
        <v>3486</v>
      </c>
      <c r="J1776" s="2987" t="s">
        <v>3597</v>
      </c>
      <c r="K1776" s="2988">
        <v>128.26</v>
      </c>
    </row>
    <row r="1777" spans="2:12" ht="18" customHeight="1">
      <c r="B1777" s="2986">
        <v>1948</v>
      </c>
      <c r="C1777" s="2987" t="s">
        <v>4994</v>
      </c>
      <c r="D1777" s="2987" t="s">
        <v>3594</v>
      </c>
      <c r="E1777" s="2987" t="s">
        <v>5244</v>
      </c>
      <c r="F1777" s="2987"/>
      <c r="G1777" s="2987">
        <v>902</v>
      </c>
      <c r="H1777" s="2987" t="s">
        <v>5326</v>
      </c>
      <c r="I1777" s="2987" t="s">
        <v>3486</v>
      </c>
      <c r="J1777" s="2987" t="s">
        <v>3599</v>
      </c>
      <c r="K1777" s="2988">
        <v>96.17</v>
      </c>
    </row>
    <row r="1778" spans="2:12" ht="18" customHeight="1">
      <c r="B1778" s="2986">
        <v>1949</v>
      </c>
      <c r="C1778" s="2987" t="s">
        <v>4994</v>
      </c>
      <c r="D1778" s="2987" t="s">
        <v>3594</v>
      </c>
      <c r="E1778" s="2987" t="s">
        <v>5244</v>
      </c>
      <c r="F1778" s="2987"/>
      <c r="G1778" s="2987">
        <v>903</v>
      </c>
      <c r="H1778" s="2987" t="s">
        <v>5327</v>
      </c>
      <c r="I1778" s="2987" t="s">
        <v>3486</v>
      </c>
      <c r="J1778" s="2987" t="s">
        <v>3599</v>
      </c>
      <c r="K1778" s="2988">
        <v>96.17</v>
      </c>
    </row>
    <row r="1779" spans="2:12" ht="18" customHeight="1">
      <c r="B1779" s="2986">
        <v>1950</v>
      </c>
      <c r="C1779" s="2987" t="s">
        <v>4994</v>
      </c>
      <c r="D1779" s="2987" t="s">
        <v>3594</v>
      </c>
      <c r="E1779" s="2987" t="s">
        <v>5244</v>
      </c>
      <c r="F1779" s="2987"/>
      <c r="G1779" s="2987">
        <v>904</v>
      </c>
      <c r="H1779" s="2987" t="s">
        <v>5328</v>
      </c>
      <c r="I1779" s="2987" t="s">
        <v>3486</v>
      </c>
      <c r="J1779" s="2987" t="s">
        <v>3602</v>
      </c>
      <c r="K1779" s="2988">
        <v>111.02</v>
      </c>
    </row>
    <row r="1780" spans="2:12" s="3021" customFormat="1" ht="18" customHeight="1">
      <c r="B1780" s="3018"/>
      <c r="C1780" s="3019"/>
      <c r="D1780" s="3019"/>
      <c r="E1780" s="3019"/>
      <c r="F1780" s="3019"/>
      <c r="G1780" s="3019"/>
      <c r="H1780" s="3019"/>
      <c r="I1780" s="3019"/>
      <c r="J1780" s="3019"/>
      <c r="K1780" s="3020">
        <f>SUM(K1696:K1779)</f>
        <v>9064.0200000000095</v>
      </c>
    </row>
    <row r="1781" spans="2:12" ht="18" customHeight="1">
      <c r="B1781" s="2986">
        <v>2263</v>
      </c>
      <c r="C1781" s="2987" t="s">
        <v>4994</v>
      </c>
      <c r="D1781" s="2987" t="s">
        <v>4940</v>
      </c>
      <c r="E1781" s="2987" t="s">
        <v>5341</v>
      </c>
      <c r="F1781" s="2987"/>
      <c r="G1781" s="2987" t="s">
        <v>4942</v>
      </c>
      <c r="H1781" s="2987" t="s">
        <v>5342</v>
      </c>
      <c r="I1781" s="2987" t="s">
        <v>3486</v>
      </c>
      <c r="J1781" s="2987" t="s">
        <v>4944</v>
      </c>
      <c r="K1781" s="2988">
        <v>172.36</v>
      </c>
      <c r="L1781" s="2985">
        <v>172.65</v>
      </c>
    </row>
    <row r="1782" spans="2:12" ht="18" customHeight="1">
      <c r="B1782" s="2986">
        <v>2264</v>
      </c>
      <c r="C1782" s="2987" t="s">
        <v>4994</v>
      </c>
      <c r="D1782" s="2987" t="s">
        <v>4940</v>
      </c>
      <c r="E1782" s="2987" t="s">
        <v>5341</v>
      </c>
      <c r="F1782" s="2987"/>
      <c r="G1782" s="2987" t="s">
        <v>4945</v>
      </c>
      <c r="H1782" s="2987" t="s">
        <v>5343</v>
      </c>
      <c r="I1782" s="2987" t="s">
        <v>3486</v>
      </c>
      <c r="J1782" s="2987" t="s">
        <v>4944</v>
      </c>
      <c r="K1782" s="2988">
        <v>58.42</v>
      </c>
      <c r="L1782" s="2985">
        <v>58.52</v>
      </c>
    </row>
    <row r="1783" spans="2:12" ht="18" customHeight="1">
      <c r="B1783" s="2986">
        <v>2265</v>
      </c>
      <c r="C1783" s="2987" t="s">
        <v>4994</v>
      </c>
      <c r="D1783" s="2987" t="s">
        <v>4940</v>
      </c>
      <c r="E1783" s="2987" t="s">
        <v>5341</v>
      </c>
      <c r="F1783" s="2987"/>
      <c r="G1783" s="2987" t="s">
        <v>4947</v>
      </c>
      <c r="H1783" s="2987" t="s">
        <v>5344</v>
      </c>
      <c r="I1783" s="2987" t="s">
        <v>3486</v>
      </c>
      <c r="J1783" s="2987" t="s">
        <v>4944</v>
      </c>
      <c r="K1783" s="2988">
        <v>59.8</v>
      </c>
      <c r="L1783" s="2985">
        <v>59.9</v>
      </c>
    </row>
    <row r="1784" spans="2:12" ht="18" customHeight="1">
      <c r="B1784" s="2986">
        <v>2266</v>
      </c>
      <c r="C1784" s="2987" t="s">
        <v>4994</v>
      </c>
      <c r="D1784" s="2987" t="s">
        <v>4940</v>
      </c>
      <c r="E1784" s="2987" t="s">
        <v>5341</v>
      </c>
      <c r="F1784" s="2987"/>
      <c r="G1784" s="2987" t="s">
        <v>4949</v>
      </c>
      <c r="H1784" s="2987" t="s">
        <v>5345</v>
      </c>
      <c r="I1784" s="2987" t="s">
        <v>3486</v>
      </c>
      <c r="J1784" s="2987" t="s">
        <v>4944</v>
      </c>
      <c r="K1784" s="2988">
        <v>60.09</v>
      </c>
      <c r="L1784" s="2985">
        <v>60.19</v>
      </c>
    </row>
    <row r="1785" spans="2:12" ht="18" customHeight="1">
      <c r="B1785" s="2986">
        <v>2267</v>
      </c>
      <c r="C1785" s="2987" t="s">
        <v>4994</v>
      </c>
      <c r="D1785" s="2987" t="s">
        <v>4940</v>
      </c>
      <c r="E1785" s="2987" t="s">
        <v>5341</v>
      </c>
      <c r="F1785" s="2987"/>
      <c r="G1785" s="2987" t="s">
        <v>4951</v>
      </c>
      <c r="H1785" s="2987" t="s">
        <v>5346</v>
      </c>
      <c r="I1785" s="2987" t="s">
        <v>3486</v>
      </c>
      <c r="J1785" s="2987" t="s">
        <v>4944</v>
      </c>
      <c r="K1785" s="2988">
        <v>60.09</v>
      </c>
      <c r="L1785" s="2985">
        <v>60.19</v>
      </c>
    </row>
    <row r="1786" spans="2:12" ht="18" customHeight="1">
      <c r="B1786" s="2986">
        <v>2268</v>
      </c>
      <c r="C1786" s="2987" t="s">
        <v>4994</v>
      </c>
      <c r="D1786" s="2987" t="s">
        <v>4940</v>
      </c>
      <c r="E1786" s="2987" t="s">
        <v>5341</v>
      </c>
      <c r="F1786" s="2987"/>
      <c r="G1786" s="2987" t="s">
        <v>4953</v>
      </c>
      <c r="H1786" s="2987" t="s">
        <v>5347</v>
      </c>
      <c r="I1786" s="2987" t="s">
        <v>3486</v>
      </c>
      <c r="J1786" s="2987" t="s">
        <v>4944</v>
      </c>
      <c r="K1786" s="2988">
        <v>59.8</v>
      </c>
      <c r="L1786" s="2985">
        <v>59.9</v>
      </c>
    </row>
    <row r="1787" spans="2:12" ht="18" customHeight="1">
      <c r="B1787" s="2986">
        <v>2269</v>
      </c>
      <c r="C1787" s="2987" t="s">
        <v>4994</v>
      </c>
      <c r="D1787" s="2987" t="s">
        <v>4940</v>
      </c>
      <c r="E1787" s="2987" t="s">
        <v>5341</v>
      </c>
      <c r="F1787" s="2987"/>
      <c r="G1787" s="2987" t="s">
        <v>4955</v>
      </c>
      <c r="H1787" s="2987" t="s">
        <v>5348</v>
      </c>
      <c r="I1787" s="2987" t="s">
        <v>3486</v>
      </c>
      <c r="J1787" s="2987" t="s">
        <v>4944</v>
      </c>
      <c r="K1787" s="2988">
        <v>58.42</v>
      </c>
      <c r="L1787" s="2985">
        <v>58.52</v>
      </c>
    </row>
    <row r="1788" spans="2:12" ht="18" customHeight="1">
      <c r="B1788" s="2986">
        <v>2270</v>
      </c>
      <c r="C1788" s="2987" t="s">
        <v>4994</v>
      </c>
      <c r="D1788" s="2987" t="s">
        <v>4940</v>
      </c>
      <c r="E1788" s="2987" t="s">
        <v>5341</v>
      </c>
      <c r="F1788" s="2987"/>
      <c r="G1788" s="2987" t="s">
        <v>4957</v>
      </c>
      <c r="H1788" s="2987" t="s">
        <v>5349</v>
      </c>
      <c r="I1788" s="2987" t="s">
        <v>3486</v>
      </c>
      <c r="J1788" s="2987" t="s">
        <v>4944</v>
      </c>
      <c r="K1788" s="2988">
        <v>172.36</v>
      </c>
      <c r="L1788" s="2985">
        <v>172.65</v>
      </c>
    </row>
    <row r="1789" spans="2:12" s="3021" customFormat="1" ht="18" customHeight="1">
      <c r="B1789" s="3018"/>
      <c r="C1789" s="3019"/>
      <c r="D1789" s="3019"/>
      <c r="E1789" s="3019"/>
      <c r="F1789" s="3019"/>
      <c r="G1789" s="3019"/>
      <c r="H1789" s="3019"/>
      <c r="I1789" s="3019"/>
      <c r="J1789" s="3019"/>
      <c r="K1789" s="3020">
        <f>SUM(K1781:K1788)</f>
        <v>701.34000000000015</v>
      </c>
      <c r="L1789" s="3020">
        <f>SUM(L1781:L1788)</f>
        <v>702.52</v>
      </c>
    </row>
    <row r="1790" spans="2:12" ht="18" customHeight="1">
      <c r="B1790" s="2986">
        <v>2271</v>
      </c>
      <c r="C1790" s="2987" t="s">
        <v>4994</v>
      </c>
      <c r="D1790" s="2987" t="s">
        <v>4940</v>
      </c>
      <c r="E1790" s="2987" t="s">
        <v>5350</v>
      </c>
      <c r="F1790" s="2987"/>
      <c r="G1790" s="2987" t="s">
        <v>4942</v>
      </c>
      <c r="H1790" s="2987" t="s">
        <v>5351</v>
      </c>
      <c r="I1790" s="2987" t="s">
        <v>3486</v>
      </c>
      <c r="J1790" s="2987" t="s">
        <v>4944</v>
      </c>
      <c r="K1790" s="2988">
        <v>160.24</v>
      </c>
      <c r="L1790" s="2985">
        <v>160.47999999999999</v>
      </c>
    </row>
    <row r="1791" spans="2:12" ht="18" customHeight="1">
      <c r="B1791" s="2986">
        <v>2272</v>
      </c>
      <c r="C1791" s="2987" t="s">
        <v>4994</v>
      </c>
      <c r="D1791" s="2987" t="s">
        <v>4940</v>
      </c>
      <c r="E1791" s="2987" t="s">
        <v>5350</v>
      </c>
      <c r="F1791" s="2987"/>
      <c r="G1791" s="2987" t="s">
        <v>4963</v>
      </c>
      <c r="H1791" s="2987" t="s">
        <v>5352</v>
      </c>
      <c r="I1791" s="2987" t="s">
        <v>3486</v>
      </c>
      <c r="J1791" s="2987" t="s">
        <v>4944</v>
      </c>
      <c r="K1791" s="2988">
        <v>170.67</v>
      </c>
      <c r="L1791" s="2985">
        <v>170.93</v>
      </c>
    </row>
    <row r="1792" spans="2:12" ht="18" customHeight="1">
      <c r="B1792" s="2986">
        <v>2273</v>
      </c>
      <c r="C1792" s="2987" t="s">
        <v>4994</v>
      </c>
      <c r="D1792" s="2987" t="s">
        <v>4940</v>
      </c>
      <c r="E1792" s="2987" t="s">
        <v>5350</v>
      </c>
      <c r="F1792" s="2987"/>
      <c r="G1792" s="2987" t="s">
        <v>4945</v>
      </c>
      <c r="H1792" s="2987" t="s">
        <v>5353</v>
      </c>
      <c r="I1792" s="2987" t="s">
        <v>3486</v>
      </c>
      <c r="J1792" s="2987" t="s">
        <v>4944</v>
      </c>
      <c r="K1792" s="2988">
        <v>58.04</v>
      </c>
      <c r="L1792" s="2985">
        <v>58.13</v>
      </c>
    </row>
    <row r="1793" spans="2:12" ht="18" customHeight="1">
      <c r="B1793" s="2986">
        <v>2274</v>
      </c>
      <c r="C1793" s="2987" t="s">
        <v>4994</v>
      </c>
      <c r="D1793" s="2987" t="s">
        <v>4940</v>
      </c>
      <c r="E1793" s="2987" t="s">
        <v>5350</v>
      </c>
      <c r="F1793" s="2987"/>
      <c r="G1793" s="2987" t="s">
        <v>4947</v>
      </c>
      <c r="H1793" s="2987" t="s">
        <v>5354</v>
      </c>
      <c r="I1793" s="2987" t="s">
        <v>3486</v>
      </c>
      <c r="J1793" s="2987" t="s">
        <v>4944</v>
      </c>
      <c r="K1793" s="2988">
        <v>58.04</v>
      </c>
      <c r="L1793" s="2985">
        <v>58.13</v>
      </c>
    </row>
    <row r="1794" spans="2:12" ht="18" customHeight="1">
      <c r="B1794" s="2986">
        <v>2275</v>
      </c>
      <c r="C1794" s="2987" t="s">
        <v>4994</v>
      </c>
      <c r="D1794" s="2987" t="s">
        <v>4940</v>
      </c>
      <c r="E1794" s="2987" t="s">
        <v>5350</v>
      </c>
      <c r="F1794" s="2987"/>
      <c r="G1794" s="2987" t="s">
        <v>4949</v>
      </c>
      <c r="H1794" s="2987" t="s">
        <v>5355</v>
      </c>
      <c r="I1794" s="2987" t="s">
        <v>3486</v>
      </c>
      <c r="J1794" s="2987" t="s">
        <v>4944</v>
      </c>
      <c r="K1794" s="2988">
        <v>58.04</v>
      </c>
      <c r="L1794" s="2985">
        <v>58.13</v>
      </c>
    </row>
    <row r="1795" spans="2:12" ht="18" customHeight="1">
      <c r="B1795" s="2986">
        <v>2276</v>
      </c>
      <c r="C1795" s="2987" t="s">
        <v>4994</v>
      </c>
      <c r="D1795" s="2987" t="s">
        <v>4940</v>
      </c>
      <c r="E1795" s="2987" t="s">
        <v>5350</v>
      </c>
      <c r="F1795" s="2987"/>
      <c r="G1795" s="2987" t="s">
        <v>4951</v>
      </c>
      <c r="H1795" s="2987" t="s">
        <v>5356</v>
      </c>
      <c r="I1795" s="2987" t="s">
        <v>3486</v>
      </c>
      <c r="J1795" s="2987" t="s">
        <v>4944</v>
      </c>
      <c r="K1795" s="2988">
        <v>58.04</v>
      </c>
      <c r="L1795" s="2985">
        <v>58.13</v>
      </c>
    </row>
    <row r="1796" spans="2:12" ht="18" customHeight="1">
      <c r="B1796" s="2986">
        <v>2277</v>
      </c>
      <c r="C1796" s="2987" t="s">
        <v>4994</v>
      </c>
      <c r="D1796" s="2987" t="s">
        <v>4940</v>
      </c>
      <c r="E1796" s="2987" t="s">
        <v>5350</v>
      </c>
      <c r="F1796" s="2987"/>
      <c r="G1796" s="2987" t="s">
        <v>4953</v>
      </c>
      <c r="H1796" s="2987" t="s">
        <v>5357</v>
      </c>
      <c r="I1796" s="2987" t="s">
        <v>3486</v>
      </c>
      <c r="J1796" s="2987" t="s">
        <v>4944</v>
      </c>
      <c r="K1796" s="2988">
        <v>58.04</v>
      </c>
      <c r="L1796" s="2985">
        <v>58.13</v>
      </c>
    </row>
    <row r="1797" spans="2:12" ht="18" customHeight="1">
      <c r="B1797" s="2986">
        <v>2278</v>
      </c>
      <c r="C1797" s="2987" t="s">
        <v>4994</v>
      </c>
      <c r="D1797" s="2987" t="s">
        <v>4940</v>
      </c>
      <c r="E1797" s="2987" t="s">
        <v>5350</v>
      </c>
      <c r="F1797" s="2987"/>
      <c r="G1797" s="2987" t="s">
        <v>4955</v>
      </c>
      <c r="H1797" s="2987" t="s">
        <v>5358</v>
      </c>
      <c r="I1797" s="2987" t="s">
        <v>3486</v>
      </c>
      <c r="J1797" s="2987" t="s">
        <v>4944</v>
      </c>
      <c r="K1797" s="2988">
        <v>58.04</v>
      </c>
      <c r="L1797" s="2985">
        <v>58.13</v>
      </c>
    </row>
    <row r="1798" spans="2:12" ht="18" customHeight="1">
      <c r="B1798" s="2986">
        <v>2279</v>
      </c>
      <c r="C1798" s="2987" t="s">
        <v>4994</v>
      </c>
      <c r="D1798" s="2987" t="s">
        <v>4940</v>
      </c>
      <c r="E1798" s="2987" t="s">
        <v>5350</v>
      </c>
      <c r="F1798" s="2987"/>
      <c r="G1798" s="2987" t="s">
        <v>4957</v>
      </c>
      <c r="H1798" s="2987" t="s">
        <v>5359</v>
      </c>
      <c r="I1798" s="2987" t="s">
        <v>3486</v>
      </c>
      <c r="J1798" s="2987" t="s">
        <v>4944</v>
      </c>
      <c r="K1798" s="2988">
        <v>58.04</v>
      </c>
      <c r="L1798" s="2985">
        <v>58.13</v>
      </c>
    </row>
    <row r="1799" spans="2:12" ht="18" customHeight="1">
      <c r="B1799" s="2986">
        <v>2280</v>
      </c>
      <c r="C1799" s="2987" t="s">
        <v>4994</v>
      </c>
      <c r="D1799" s="2987" t="s">
        <v>4940</v>
      </c>
      <c r="E1799" s="2987" t="s">
        <v>5350</v>
      </c>
      <c r="F1799" s="2987"/>
      <c r="G1799" s="2987" t="s">
        <v>4959</v>
      </c>
      <c r="H1799" s="2987" t="s">
        <v>5360</v>
      </c>
      <c r="I1799" s="2987" t="s">
        <v>3486</v>
      </c>
      <c r="J1799" s="2987" t="s">
        <v>4944</v>
      </c>
      <c r="K1799" s="2988">
        <v>58.04</v>
      </c>
      <c r="L1799" s="2985">
        <v>58.13</v>
      </c>
    </row>
    <row r="1800" spans="2:12" s="3021" customFormat="1" ht="18" customHeight="1">
      <c r="B1800" s="3018"/>
      <c r="C1800" s="3019"/>
      <c r="D1800" s="3019"/>
      <c r="E1800" s="3019"/>
      <c r="F1800" s="3019"/>
      <c r="G1800" s="3019"/>
      <c r="H1800" s="3019"/>
      <c r="I1800" s="3019"/>
      <c r="J1800" s="3019"/>
      <c r="K1800" s="3020">
        <f>SUM(K1790:K1799)</f>
        <v>795.2299999999999</v>
      </c>
      <c r="L1800" s="3020">
        <f>SUM(L1790:L1799)</f>
        <v>796.44999999999993</v>
      </c>
    </row>
    <row r="1801" spans="2:12" ht="18" customHeight="1">
      <c r="B1801" s="2986">
        <v>2281</v>
      </c>
      <c r="C1801" s="2987" t="s">
        <v>4994</v>
      </c>
      <c r="D1801" s="2987" t="s">
        <v>4940</v>
      </c>
      <c r="E1801" s="2987" t="s">
        <v>5361</v>
      </c>
      <c r="F1801" s="2987"/>
      <c r="G1801" s="2987" t="s">
        <v>4942</v>
      </c>
      <c r="H1801" s="2987" t="s">
        <v>5362</v>
      </c>
      <c r="I1801" s="2987" t="s">
        <v>3486</v>
      </c>
      <c r="J1801" s="2987" t="s">
        <v>4944</v>
      </c>
      <c r="K1801" s="2988">
        <v>163.44</v>
      </c>
      <c r="L1801" s="2985">
        <v>163.69999999999999</v>
      </c>
    </row>
    <row r="1802" spans="2:12" ht="18" customHeight="1">
      <c r="B1802" s="2986">
        <v>2282</v>
      </c>
      <c r="C1802" s="2987" t="s">
        <v>4994</v>
      </c>
      <c r="D1802" s="2987" t="s">
        <v>4940</v>
      </c>
      <c r="E1802" s="2987" t="s">
        <v>5361</v>
      </c>
      <c r="F1802" s="2987"/>
      <c r="G1802" s="2987" t="s">
        <v>4963</v>
      </c>
      <c r="H1802" s="2987" t="s">
        <v>5363</v>
      </c>
      <c r="I1802" s="2987" t="s">
        <v>3486</v>
      </c>
      <c r="J1802" s="2987" t="s">
        <v>4944</v>
      </c>
      <c r="K1802" s="2988">
        <v>153.43</v>
      </c>
      <c r="L1802" s="2985">
        <v>153.66999999999999</v>
      </c>
    </row>
    <row r="1803" spans="2:12" ht="18" customHeight="1">
      <c r="B1803" s="2986">
        <v>2283</v>
      </c>
      <c r="C1803" s="2987" t="s">
        <v>4994</v>
      </c>
      <c r="D1803" s="2987" t="s">
        <v>4940</v>
      </c>
      <c r="E1803" s="2987" t="s">
        <v>5361</v>
      </c>
      <c r="F1803" s="2987"/>
      <c r="G1803" s="2987" t="s">
        <v>4945</v>
      </c>
      <c r="H1803" s="2987" t="s">
        <v>5364</v>
      </c>
      <c r="I1803" s="2987" t="s">
        <v>3486</v>
      </c>
      <c r="J1803" s="2987" t="s">
        <v>4944</v>
      </c>
      <c r="K1803" s="2988">
        <v>55.63</v>
      </c>
      <c r="L1803" s="2985">
        <v>55.72</v>
      </c>
    </row>
    <row r="1804" spans="2:12" ht="18" customHeight="1">
      <c r="B1804" s="2986">
        <v>2284</v>
      </c>
      <c r="C1804" s="2987" t="s">
        <v>4994</v>
      </c>
      <c r="D1804" s="2987" t="s">
        <v>4940</v>
      </c>
      <c r="E1804" s="2987" t="s">
        <v>5361</v>
      </c>
      <c r="F1804" s="2987"/>
      <c r="G1804" s="2987" t="s">
        <v>4947</v>
      </c>
      <c r="H1804" s="2987" t="s">
        <v>5365</v>
      </c>
      <c r="I1804" s="2987" t="s">
        <v>3486</v>
      </c>
      <c r="J1804" s="2987" t="s">
        <v>4944</v>
      </c>
      <c r="K1804" s="2988">
        <v>55.63</v>
      </c>
      <c r="L1804" s="2985">
        <v>55.72</v>
      </c>
    </row>
    <row r="1805" spans="2:12" ht="18" customHeight="1">
      <c r="B1805" s="2986">
        <v>2285</v>
      </c>
      <c r="C1805" s="2987" t="s">
        <v>4994</v>
      </c>
      <c r="D1805" s="2987" t="s">
        <v>4940</v>
      </c>
      <c r="E1805" s="2987" t="s">
        <v>5361</v>
      </c>
      <c r="F1805" s="2987"/>
      <c r="G1805" s="2987" t="s">
        <v>4949</v>
      </c>
      <c r="H1805" s="2987" t="s">
        <v>5366</v>
      </c>
      <c r="I1805" s="2987" t="s">
        <v>3486</v>
      </c>
      <c r="J1805" s="2987" t="s">
        <v>4944</v>
      </c>
      <c r="K1805" s="2988">
        <v>55.63</v>
      </c>
      <c r="L1805" s="2985">
        <v>55.72</v>
      </c>
    </row>
    <row r="1806" spans="2:12" ht="18" customHeight="1">
      <c r="B1806" s="2986">
        <v>2286</v>
      </c>
      <c r="C1806" s="2987" t="s">
        <v>4994</v>
      </c>
      <c r="D1806" s="2987" t="s">
        <v>4940</v>
      </c>
      <c r="E1806" s="2987" t="s">
        <v>5361</v>
      </c>
      <c r="F1806" s="2987"/>
      <c r="G1806" s="2987" t="s">
        <v>4951</v>
      </c>
      <c r="H1806" s="2987" t="s">
        <v>5367</v>
      </c>
      <c r="I1806" s="2987" t="s">
        <v>3486</v>
      </c>
      <c r="J1806" s="2987" t="s">
        <v>4944</v>
      </c>
      <c r="K1806" s="2988">
        <v>55.63</v>
      </c>
      <c r="L1806" s="2985">
        <v>55.72</v>
      </c>
    </row>
    <row r="1807" spans="2:12" ht="18" customHeight="1">
      <c r="B1807" s="2986">
        <v>2287</v>
      </c>
      <c r="C1807" s="2987" t="s">
        <v>4994</v>
      </c>
      <c r="D1807" s="2987" t="s">
        <v>4940</v>
      </c>
      <c r="E1807" s="2987" t="s">
        <v>5361</v>
      </c>
      <c r="F1807" s="2987"/>
      <c r="G1807" s="2987" t="s">
        <v>4953</v>
      </c>
      <c r="H1807" s="2987" t="s">
        <v>5368</v>
      </c>
      <c r="I1807" s="2987" t="s">
        <v>3486</v>
      </c>
      <c r="J1807" s="2987" t="s">
        <v>4944</v>
      </c>
      <c r="K1807" s="2988">
        <v>55.63</v>
      </c>
      <c r="L1807" s="2985">
        <v>55.72</v>
      </c>
    </row>
    <row r="1808" spans="2:12" ht="18" customHeight="1">
      <c r="B1808" s="2986">
        <v>2288</v>
      </c>
      <c r="C1808" s="2987" t="s">
        <v>4994</v>
      </c>
      <c r="D1808" s="2987" t="s">
        <v>4940</v>
      </c>
      <c r="E1808" s="2987" t="s">
        <v>5361</v>
      </c>
      <c r="F1808" s="2987"/>
      <c r="G1808" s="2987" t="s">
        <v>4955</v>
      </c>
      <c r="H1808" s="2987" t="s">
        <v>5369</v>
      </c>
      <c r="I1808" s="2987" t="s">
        <v>3486</v>
      </c>
      <c r="J1808" s="2987" t="s">
        <v>4944</v>
      </c>
      <c r="K1808" s="2988">
        <v>55.63</v>
      </c>
      <c r="L1808" s="2985">
        <v>55.72</v>
      </c>
    </row>
    <row r="1809" spans="2:12" ht="18" customHeight="1">
      <c r="B1809" s="2986">
        <v>2289</v>
      </c>
      <c r="C1809" s="2987" t="s">
        <v>4994</v>
      </c>
      <c r="D1809" s="2987" t="s">
        <v>4940</v>
      </c>
      <c r="E1809" s="2987" t="s">
        <v>5361</v>
      </c>
      <c r="F1809" s="2987"/>
      <c r="G1809" s="2987" t="s">
        <v>4957</v>
      </c>
      <c r="H1809" s="2987" t="s">
        <v>5370</v>
      </c>
      <c r="I1809" s="2987" t="s">
        <v>3486</v>
      </c>
      <c r="J1809" s="2987" t="s">
        <v>4944</v>
      </c>
      <c r="K1809" s="2988">
        <v>55.63</v>
      </c>
      <c r="L1809" s="2985">
        <v>55.72</v>
      </c>
    </row>
    <row r="1810" spans="2:12" ht="18" customHeight="1">
      <c r="B1810" s="2986">
        <v>2290</v>
      </c>
      <c r="C1810" s="2987" t="s">
        <v>4994</v>
      </c>
      <c r="D1810" s="2987" t="s">
        <v>4940</v>
      </c>
      <c r="E1810" s="2987" t="s">
        <v>5361</v>
      </c>
      <c r="F1810" s="2987"/>
      <c r="G1810" s="2987" t="s">
        <v>4959</v>
      </c>
      <c r="H1810" s="2987" t="s">
        <v>5371</v>
      </c>
      <c r="I1810" s="2987" t="s">
        <v>3486</v>
      </c>
      <c r="J1810" s="2987" t="s">
        <v>4944</v>
      </c>
      <c r="K1810" s="2988">
        <v>55.63</v>
      </c>
      <c r="L1810" s="2985">
        <v>55.72</v>
      </c>
    </row>
    <row r="1811" spans="2:12" s="3021" customFormat="1" ht="18" customHeight="1">
      <c r="B1811" s="3018"/>
      <c r="C1811" s="3019"/>
      <c r="D1811" s="3019"/>
      <c r="E1811" s="3019"/>
      <c r="F1811" s="3019"/>
      <c r="G1811" s="3019"/>
      <c r="H1811" s="3019"/>
      <c r="I1811" s="3019"/>
      <c r="J1811" s="3019"/>
      <c r="K1811" s="3020">
        <f>SUM(K1801:K1810)</f>
        <v>761.91</v>
      </c>
      <c r="L1811" s="3020">
        <f>SUM(L1801:L1810)</f>
        <v>763.13000000000022</v>
      </c>
    </row>
    <row r="1812" spans="2:12" ht="18" customHeight="1">
      <c r="B1812" s="2986">
        <v>2291</v>
      </c>
      <c r="C1812" s="2987" t="s">
        <v>4994</v>
      </c>
      <c r="D1812" s="2987" t="s">
        <v>4940</v>
      </c>
      <c r="E1812" s="2987" t="s">
        <v>5372</v>
      </c>
      <c r="F1812" s="2987"/>
      <c r="G1812" s="2987" t="s">
        <v>4942</v>
      </c>
      <c r="H1812" s="2987" t="s">
        <v>5373</v>
      </c>
      <c r="I1812" s="2987" t="s">
        <v>3486</v>
      </c>
      <c r="J1812" s="2987" t="s">
        <v>4944</v>
      </c>
      <c r="K1812" s="2988">
        <v>48.13</v>
      </c>
      <c r="L1812" s="2985">
        <v>21.46</v>
      </c>
    </row>
    <row r="1813" spans="2:12" ht="18" customHeight="1">
      <c r="B1813" s="2986">
        <v>2292</v>
      </c>
      <c r="C1813" s="2987" t="s">
        <v>4994</v>
      </c>
      <c r="D1813" s="2987" t="s">
        <v>4940</v>
      </c>
      <c r="E1813" s="2987" t="s">
        <v>5372</v>
      </c>
      <c r="F1813" s="2987"/>
      <c r="G1813" s="2987" t="s">
        <v>4963</v>
      </c>
      <c r="H1813" s="2987" t="s">
        <v>5374</v>
      </c>
      <c r="I1813" s="2987" t="s">
        <v>3486</v>
      </c>
      <c r="J1813" s="2987" t="s">
        <v>4944</v>
      </c>
      <c r="K1813" s="2988">
        <v>71.22</v>
      </c>
      <c r="L1813" s="2985">
        <v>31.75</v>
      </c>
    </row>
    <row r="1814" spans="2:12" ht="18" customHeight="1">
      <c r="B1814" s="2986">
        <v>2293</v>
      </c>
      <c r="C1814" s="2987" t="s">
        <v>4994</v>
      </c>
      <c r="D1814" s="2987" t="s">
        <v>4940</v>
      </c>
      <c r="E1814" s="2987" t="s">
        <v>5372</v>
      </c>
      <c r="F1814" s="2987"/>
      <c r="G1814" s="2987" t="s">
        <v>4945</v>
      </c>
      <c r="H1814" s="2987" t="s">
        <v>5375</v>
      </c>
      <c r="I1814" s="2987" t="s">
        <v>3486</v>
      </c>
      <c r="J1814" s="2987" t="s">
        <v>4944</v>
      </c>
      <c r="K1814" s="2988">
        <v>56.11</v>
      </c>
      <c r="L1814" s="2985">
        <v>25.02</v>
      </c>
    </row>
    <row r="1815" spans="2:12" ht="18" customHeight="1">
      <c r="B1815" s="2986">
        <v>2294</v>
      </c>
      <c r="C1815" s="2987" t="s">
        <v>4994</v>
      </c>
      <c r="D1815" s="2987" t="s">
        <v>4940</v>
      </c>
      <c r="E1815" s="2987" t="s">
        <v>5372</v>
      </c>
      <c r="F1815" s="2987"/>
      <c r="G1815" s="2987" t="s">
        <v>4947</v>
      </c>
      <c r="H1815" s="2987" t="s">
        <v>5376</v>
      </c>
      <c r="I1815" s="2987" t="s">
        <v>3486</v>
      </c>
      <c r="J1815" s="2987" t="s">
        <v>4944</v>
      </c>
      <c r="K1815" s="2988">
        <v>100.41</v>
      </c>
      <c r="L1815" s="2985">
        <v>44.77</v>
      </c>
    </row>
    <row r="1816" spans="2:12" ht="18" customHeight="1">
      <c r="B1816" s="2986">
        <v>2295</v>
      </c>
      <c r="C1816" s="2987" t="s">
        <v>4994</v>
      </c>
      <c r="D1816" s="2987" t="s">
        <v>4940</v>
      </c>
      <c r="E1816" s="2987" t="s">
        <v>5372</v>
      </c>
      <c r="F1816" s="2987"/>
      <c r="G1816" s="2987" t="s">
        <v>4949</v>
      </c>
      <c r="H1816" s="2987" t="s">
        <v>5377</v>
      </c>
      <c r="I1816" s="2987" t="s">
        <v>3486</v>
      </c>
      <c r="J1816" s="2987" t="s">
        <v>4944</v>
      </c>
      <c r="K1816" s="2988">
        <v>56.96</v>
      </c>
      <c r="L1816" s="2985">
        <v>25.4</v>
      </c>
    </row>
    <row r="1817" spans="2:12" ht="18" customHeight="1">
      <c r="B1817" s="2986">
        <v>2296</v>
      </c>
      <c r="C1817" s="2987" t="s">
        <v>4994</v>
      </c>
      <c r="D1817" s="2987" t="s">
        <v>4940</v>
      </c>
      <c r="E1817" s="2987" t="s">
        <v>5372</v>
      </c>
      <c r="F1817" s="2987"/>
      <c r="G1817" s="2987" t="s">
        <v>4951</v>
      </c>
      <c r="H1817" s="2987" t="s">
        <v>5378</v>
      </c>
      <c r="I1817" s="2987" t="s">
        <v>3486</v>
      </c>
      <c r="J1817" s="2987" t="s">
        <v>4944</v>
      </c>
      <c r="K1817" s="2988">
        <v>53</v>
      </c>
      <c r="L1817" s="2985">
        <v>23.63</v>
      </c>
    </row>
    <row r="1818" spans="2:12" ht="18" customHeight="1">
      <c r="B1818" s="2986">
        <v>2297</v>
      </c>
      <c r="C1818" s="2987" t="s">
        <v>4994</v>
      </c>
      <c r="D1818" s="2987" t="s">
        <v>4940</v>
      </c>
      <c r="E1818" s="2987" t="s">
        <v>5372</v>
      </c>
      <c r="F1818" s="2987"/>
      <c r="G1818" s="2987" t="s">
        <v>4953</v>
      </c>
      <c r="H1818" s="2987" t="s">
        <v>5379</v>
      </c>
      <c r="I1818" s="2987" t="s">
        <v>3486</v>
      </c>
      <c r="J1818" s="2987" t="s">
        <v>4944</v>
      </c>
      <c r="K1818" s="2988">
        <v>130.21</v>
      </c>
      <c r="L1818" s="2985">
        <v>58.05</v>
      </c>
    </row>
    <row r="1819" spans="2:12" ht="18" customHeight="1">
      <c r="B1819" s="2986">
        <v>2298</v>
      </c>
      <c r="C1819" s="2987" t="s">
        <v>4994</v>
      </c>
      <c r="D1819" s="2987" t="s">
        <v>4940</v>
      </c>
      <c r="E1819" s="2987" t="s">
        <v>5372</v>
      </c>
      <c r="F1819" s="2987"/>
      <c r="G1819" s="2987" t="s">
        <v>4955</v>
      </c>
      <c r="H1819" s="2987" t="s">
        <v>5380</v>
      </c>
      <c r="I1819" s="2987" t="s">
        <v>3486</v>
      </c>
      <c r="J1819" s="2987" t="s">
        <v>4944</v>
      </c>
      <c r="K1819" s="2988">
        <v>120.97</v>
      </c>
      <c r="L1819" s="2985">
        <v>53.93</v>
      </c>
    </row>
    <row r="1820" spans="2:12" ht="18" customHeight="1">
      <c r="B1820" s="2986">
        <v>2299</v>
      </c>
      <c r="C1820" s="2987" t="s">
        <v>4994</v>
      </c>
      <c r="D1820" s="2987" t="s">
        <v>4940</v>
      </c>
      <c r="E1820" s="2987" t="s">
        <v>5372</v>
      </c>
      <c r="F1820" s="2987"/>
      <c r="G1820" s="2987" t="s">
        <v>4957</v>
      </c>
      <c r="H1820" s="2987" t="s">
        <v>5381</v>
      </c>
      <c r="I1820" s="2987" t="s">
        <v>3486</v>
      </c>
      <c r="J1820" s="2987" t="s">
        <v>4944</v>
      </c>
      <c r="K1820" s="2988">
        <v>39.950000000000003</v>
      </c>
      <c r="L1820" s="2985">
        <v>17.809999999999999</v>
      </c>
    </row>
    <row r="1821" spans="2:12" ht="18" customHeight="1">
      <c r="B1821" s="2986">
        <v>2300</v>
      </c>
      <c r="C1821" s="2987" t="s">
        <v>4994</v>
      </c>
      <c r="D1821" s="2987" t="s">
        <v>4940</v>
      </c>
      <c r="E1821" s="2987" t="s">
        <v>5372</v>
      </c>
      <c r="F1821" s="2987"/>
      <c r="G1821" s="2987" t="s">
        <v>4959</v>
      </c>
      <c r="H1821" s="2987" t="s">
        <v>5382</v>
      </c>
      <c r="I1821" s="2987" t="s">
        <v>3486</v>
      </c>
      <c r="J1821" s="2987" t="s">
        <v>4944</v>
      </c>
      <c r="K1821" s="2988">
        <v>56.82</v>
      </c>
      <c r="L1821" s="2985">
        <v>25.33</v>
      </c>
    </row>
    <row r="1822" spans="2:12" s="3021" customFormat="1" ht="18" customHeight="1">
      <c r="B1822" s="3018"/>
      <c r="C1822" s="3019"/>
      <c r="D1822" s="3019"/>
      <c r="E1822" s="3019"/>
      <c r="F1822" s="3019"/>
      <c r="G1822" s="3019"/>
      <c r="H1822" s="3019"/>
      <c r="I1822" s="3019"/>
      <c r="J1822" s="3019"/>
      <c r="K1822" s="3020">
        <f>SUM(K1812:K1821)</f>
        <v>733.78000000000009</v>
      </c>
      <c r="L1822" s="3020">
        <f>SUM(L1812:L1821)</f>
        <v>327.14999999999998</v>
      </c>
    </row>
    <row r="1823" spans="2:12" ht="18" customHeight="1">
      <c r="B1823" s="2986">
        <v>1433</v>
      </c>
      <c r="C1823" s="2987" t="s">
        <v>3482</v>
      </c>
      <c r="D1823" s="2987" t="s">
        <v>4940</v>
      </c>
      <c r="E1823" s="2987" t="s">
        <v>4941</v>
      </c>
      <c r="F1823" s="2987"/>
      <c r="G1823" s="2987" t="s">
        <v>4942</v>
      </c>
      <c r="H1823" s="2987" t="s">
        <v>4943</v>
      </c>
      <c r="I1823" s="2987" t="s">
        <v>3486</v>
      </c>
      <c r="J1823" s="2987" t="s">
        <v>4944</v>
      </c>
      <c r="K1823" s="2988">
        <v>56.35</v>
      </c>
      <c r="L1823" s="2985">
        <v>35.44</v>
      </c>
    </row>
    <row r="1824" spans="2:12" ht="18" customHeight="1">
      <c r="B1824" s="2986">
        <v>1434</v>
      </c>
      <c r="C1824" s="2987" t="s">
        <v>3482</v>
      </c>
      <c r="D1824" s="2987" t="s">
        <v>4940</v>
      </c>
      <c r="E1824" s="2987" t="s">
        <v>4941</v>
      </c>
      <c r="F1824" s="2987"/>
      <c r="G1824" s="2987" t="s">
        <v>4945</v>
      </c>
      <c r="H1824" s="2987" t="s">
        <v>4946</v>
      </c>
      <c r="I1824" s="2987" t="s">
        <v>3486</v>
      </c>
      <c r="J1824" s="2987" t="s">
        <v>4944</v>
      </c>
      <c r="K1824" s="2988">
        <v>50.27</v>
      </c>
      <c r="L1824" s="2985">
        <v>31.62</v>
      </c>
    </row>
    <row r="1825" spans="2:12" ht="18" customHeight="1">
      <c r="B1825" s="2986">
        <v>1435</v>
      </c>
      <c r="C1825" s="2987" t="s">
        <v>3482</v>
      </c>
      <c r="D1825" s="2987" t="s">
        <v>4940</v>
      </c>
      <c r="E1825" s="2987" t="s">
        <v>4941</v>
      </c>
      <c r="F1825" s="2987"/>
      <c r="G1825" s="2987" t="s">
        <v>4947</v>
      </c>
      <c r="H1825" s="2987" t="s">
        <v>4948</v>
      </c>
      <c r="I1825" s="2987" t="s">
        <v>3486</v>
      </c>
      <c r="J1825" s="2987" t="s">
        <v>4944</v>
      </c>
      <c r="K1825" s="2988">
        <v>50.27</v>
      </c>
      <c r="L1825" s="2985">
        <v>31.62</v>
      </c>
    </row>
    <row r="1826" spans="2:12" ht="18" customHeight="1">
      <c r="B1826" s="2986">
        <v>1436</v>
      </c>
      <c r="C1826" s="2987" t="s">
        <v>3482</v>
      </c>
      <c r="D1826" s="2987" t="s">
        <v>4940</v>
      </c>
      <c r="E1826" s="2987" t="s">
        <v>4941</v>
      </c>
      <c r="F1826" s="2987"/>
      <c r="G1826" s="2987" t="s">
        <v>4949</v>
      </c>
      <c r="H1826" s="2987" t="s">
        <v>4950</v>
      </c>
      <c r="I1826" s="2987" t="s">
        <v>3486</v>
      </c>
      <c r="J1826" s="2987" t="s">
        <v>4944</v>
      </c>
      <c r="K1826" s="2988">
        <v>50.62</v>
      </c>
      <c r="L1826" s="2985">
        <v>31.84</v>
      </c>
    </row>
    <row r="1827" spans="2:12" ht="18" customHeight="1">
      <c r="B1827" s="2986">
        <v>1437</v>
      </c>
      <c r="C1827" s="2987" t="s">
        <v>3482</v>
      </c>
      <c r="D1827" s="2987" t="s">
        <v>4940</v>
      </c>
      <c r="E1827" s="2987" t="s">
        <v>4941</v>
      </c>
      <c r="F1827" s="2987"/>
      <c r="G1827" s="2987" t="s">
        <v>4951</v>
      </c>
      <c r="H1827" s="2987" t="s">
        <v>4952</v>
      </c>
      <c r="I1827" s="2987" t="s">
        <v>3486</v>
      </c>
      <c r="J1827" s="2987" t="s">
        <v>4944</v>
      </c>
      <c r="K1827" s="2988">
        <v>78.63</v>
      </c>
      <c r="L1827" s="2985">
        <v>49.46</v>
      </c>
    </row>
    <row r="1828" spans="2:12" ht="18" customHeight="1">
      <c r="B1828" s="2986">
        <v>1438</v>
      </c>
      <c r="C1828" s="2987" t="s">
        <v>3482</v>
      </c>
      <c r="D1828" s="2987" t="s">
        <v>4940</v>
      </c>
      <c r="E1828" s="2987" t="s">
        <v>4941</v>
      </c>
      <c r="F1828" s="2987"/>
      <c r="G1828" s="2987" t="s">
        <v>4953</v>
      </c>
      <c r="H1828" s="2987" t="s">
        <v>4954</v>
      </c>
      <c r="I1828" s="2987" t="s">
        <v>3486</v>
      </c>
      <c r="J1828" s="2987" t="s">
        <v>4944</v>
      </c>
      <c r="K1828" s="2988">
        <v>36.69</v>
      </c>
      <c r="L1828" s="2985">
        <v>23.08</v>
      </c>
    </row>
    <row r="1829" spans="2:12" ht="18" customHeight="1">
      <c r="B1829" s="2986">
        <v>1439</v>
      </c>
      <c r="C1829" s="2987" t="s">
        <v>3482</v>
      </c>
      <c r="D1829" s="2987" t="s">
        <v>4940</v>
      </c>
      <c r="E1829" s="2987" t="s">
        <v>4941</v>
      </c>
      <c r="F1829" s="2987"/>
      <c r="G1829" s="2987" t="s">
        <v>4955</v>
      </c>
      <c r="H1829" s="2987" t="s">
        <v>4956</v>
      </c>
      <c r="I1829" s="2987" t="s">
        <v>3486</v>
      </c>
      <c r="J1829" s="2987" t="s">
        <v>4944</v>
      </c>
      <c r="K1829" s="2988">
        <v>41.03</v>
      </c>
      <c r="L1829" s="2985">
        <v>25.81</v>
      </c>
    </row>
    <row r="1830" spans="2:12" ht="18" customHeight="1">
      <c r="B1830" s="2986">
        <v>1440</v>
      </c>
      <c r="C1830" s="2987" t="s">
        <v>3482</v>
      </c>
      <c r="D1830" s="2987" t="s">
        <v>4940</v>
      </c>
      <c r="E1830" s="2987" t="s">
        <v>4941</v>
      </c>
      <c r="F1830" s="2987"/>
      <c r="G1830" s="2987" t="s">
        <v>4957</v>
      </c>
      <c r="H1830" s="2987" t="s">
        <v>4958</v>
      </c>
      <c r="I1830" s="2987" t="s">
        <v>3486</v>
      </c>
      <c r="J1830" s="2987" t="s">
        <v>4944</v>
      </c>
      <c r="K1830" s="2988">
        <v>41.03</v>
      </c>
      <c r="L1830" s="2985">
        <v>25.81</v>
      </c>
    </row>
    <row r="1831" spans="2:12" ht="18" customHeight="1">
      <c r="B1831" s="2986">
        <v>1441</v>
      </c>
      <c r="C1831" s="2987" t="s">
        <v>3482</v>
      </c>
      <c r="D1831" s="2987" t="s">
        <v>4940</v>
      </c>
      <c r="E1831" s="2987" t="s">
        <v>4941</v>
      </c>
      <c r="F1831" s="2987"/>
      <c r="G1831" s="2987" t="s">
        <v>4959</v>
      </c>
      <c r="H1831" s="2987" t="s">
        <v>4960</v>
      </c>
      <c r="I1831" s="2987" t="s">
        <v>3486</v>
      </c>
      <c r="J1831" s="2987" t="s">
        <v>4944</v>
      </c>
      <c r="K1831" s="2988">
        <v>60.32</v>
      </c>
      <c r="L1831" s="2985">
        <v>37.94</v>
      </c>
    </row>
    <row r="1832" spans="2:12" s="3021" customFormat="1" ht="18" customHeight="1">
      <c r="B1832" s="3018"/>
      <c r="C1832" s="3019"/>
      <c r="D1832" s="3019"/>
      <c r="E1832" s="3019"/>
      <c r="F1832" s="3019"/>
      <c r="G1832" s="3019"/>
      <c r="H1832" s="3019"/>
      <c r="I1832" s="3019"/>
      <c r="J1832" s="3019"/>
      <c r="K1832" s="3020">
        <f>SUM(K1823:K1831)</f>
        <v>465.21</v>
      </c>
      <c r="L1832" s="3020">
        <f>SUM(L1823:L1831)</f>
        <v>292.62</v>
      </c>
    </row>
    <row r="1833" spans="2:12" ht="18" customHeight="1">
      <c r="B1833" s="2986">
        <v>1442</v>
      </c>
      <c r="C1833" s="2987" t="s">
        <v>3482</v>
      </c>
      <c r="D1833" s="2987" t="s">
        <v>4940</v>
      </c>
      <c r="E1833" s="2987" t="s">
        <v>4961</v>
      </c>
      <c r="F1833" s="2987"/>
      <c r="G1833" s="2987" t="s">
        <v>4942</v>
      </c>
      <c r="H1833" s="2987" t="s">
        <v>4962</v>
      </c>
      <c r="I1833" s="2987" t="s">
        <v>3486</v>
      </c>
      <c r="J1833" s="2987" t="s">
        <v>4944</v>
      </c>
      <c r="K1833" s="2988">
        <v>45.47</v>
      </c>
      <c r="L1833" s="2985">
        <v>45.55</v>
      </c>
    </row>
    <row r="1834" spans="2:12" ht="18" customHeight="1">
      <c r="B1834" s="2986">
        <v>1443</v>
      </c>
      <c r="C1834" s="2987" t="s">
        <v>3482</v>
      </c>
      <c r="D1834" s="2987" t="s">
        <v>4940</v>
      </c>
      <c r="E1834" s="2987" t="s">
        <v>4961</v>
      </c>
      <c r="F1834" s="2987"/>
      <c r="G1834" s="2987" t="s">
        <v>4963</v>
      </c>
      <c r="H1834" s="2987" t="s">
        <v>4964</v>
      </c>
      <c r="I1834" s="2987" t="s">
        <v>3486</v>
      </c>
      <c r="J1834" s="2987" t="s">
        <v>4944</v>
      </c>
      <c r="K1834" s="2988">
        <v>48.95</v>
      </c>
      <c r="L1834" s="2985">
        <v>49.03</v>
      </c>
    </row>
    <row r="1835" spans="2:12" ht="18" customHeight="1">
      <c r="B1835" s="2986">
        <v>1444</v>
      </c>
      <c r="C1835" s="2987" t="s">
        <v>3482</v>
      </c>
      <c r="D1835" s="2987" t="s">
        <v>4940</v>
      </c>
      <c r="E1835" s="2987" t="s">
        <v>4961</v>
      </c>
      <c r="F1835" s="2987"/>
      <c r="G1835" s="2987" t="s">
        <v>4965</v>
      </c>
      <c r="H1835" s="2987" t="s">
        <v>4966</v>
      </c>
      <c r="I1835" s="2987" t="s">
        <v>3486</v>
      </c>
      <c r="J1835" s="2987" t="s">
        <v>4944</v>
      </c>
      <c r="K1835" s="2988">
        <v>48.95</v>
      </c>
      <c r="L1835" s="2985">
        <v>49.03</v>
      </c>
    </row>
    <row r="1836" spans="2:12" ht="18" customHeight="1">
      <c r="B1836" s="2986">
        <v>1445</v>
      </c>
      <c r="C1836" s="2987" t="s">
        <v>3482</v>
      </c>
      <c r="D1836" s="2987" t="s">
        <v>4940</v>
      </c>
      <c r="E1836" s="2987" t="s">
        <v>4961</v>
      </c>
      <c r="F1836" s="2987"/>
      <c r="G1836" s="2987" t="s">
        <v>4967</v>
      </c>
      <c r="H1836" s="2987" t="s">
        <v>4968</v>
      </c>
      <c r="I1836" s="2987" t="s">
        <v>3486</v>
      </c>
      <c r="J1836" s="2987" t="s">
        <v>4944</v>
      </c>
      <c r="K1836" s="2988">
        <v>48.95</v>
      </c>
      <c r="L1836" s="2985">
        <v>49.03</v>
      </c>
    </row>
    <row r="1837" spans="2:12" ht="18" customHeight="1">
      <c r="B1837" s="2986">
        <v>1446</v>
      </c>
      <c r="C1837" s="2987" t="s">
        <v>3482</v>
      </c>
      <c r="D1837" s="2987" t="s">
        <v>4940</v>
      </c>
      <c r="E1837" s="2987" t="s">
        <v>4961</v>
      </c>
      <c r="F1837" s="2987"/>
      <c r="G1837" s="2987" t="s">
        <v>4969</v>
      </c>
      <c r="H1837" s="2987" t="s">
        <v>4970</v>
      </c>
      <c r="I1837" s="2987" t="s">
        <v>3486</v>
      </c>
      <c r="J1837" s="2987" t="s">
        <v>4944</v>
      </c>
      <c r="K1837" s="2988">
        <v>48.95</v>
      </c>
      <c r="L1837" s="2985">
        <v>49.03</v>
      </c>
    </row>
    <row r="1838" spans="2:12" ht="18" customHeight="1">
      <c r="B1838" s="2986">
        <v>1447</v>
      </c>
      <c r="C1838" s="2987" t="s">
        <v>3482</v>
      </c>
      <c r="D1838" s="2987" t="s">
        <v>4940</v>
      </c>
      <c r="E1838" s="2987" t="s">
        <v>4961</v>
      </c>
      <c r="F1838" s="2987"/>
      <c r="G1838" s="2987" t="s">
        <v>4971</v>
      </c>
      <c r="H1838" s="2987" t="s">
        <v>4972</v>
      </c>
      <c r="I1838" s="2987" t="s">
        <v>3486</v>
      </c>
      <c r="J1838" s="2987" t="s">
        <v>4944</v>
      </c>
      <c r="K1838" s="2988">
        <v>51.89</v>
      </c>
      <c r="L1838" s="2985">
        <v>51.98</v>
      </c>
    </row>
    <row r="1839" spans="2:12" ht="18" customHeight="1">
      <c r="B1839" s="2986">
        <v>1448</v>
      </c>
      <c r="C1839" s="2987" t="s">
        <v>3482</v>
      </c>
      <c r="D1839" s="2987" t="s">
        <v>4940</v>
      </c>
      <c r="E1839" s="2987" t="s">
        <v>4961</v>
      </c>
      <c r="F1839" s="2987"/>
      <c r="G1839" s="2987" t="s">
        <v>4973</v>
      </c>
      <c r="H1839" s="2987" t="s">
        <v>4974</v>
      </c>
      <c r="I1839" s="2987" t="s">
        <v>3486</v>
      </c>
      <c r="J1839" s="2987" t="s">
        <v>4944</v>
      </c>
      <c r="K1839" s="2988">
        <v>28.38</v>
      </c>
      <c r="L1839" s="2985">
        <v>28.43</v>
      </c>
    </row>
    <row r="1840" spans="2:12" ht="18" customHeight="1">
      <c r="B1840" s="2986">
        <v>1449</v>
      </c>
      <c r="C1840" s="2987" t="s">
        <v>3482</v>
      </c>
      <c r="D1840" s="2987" t="s">
        <v>4940</v>
      </c>
      <c r="E1840" s="2987" t="s">
        <v>4961</v>
      </c>
      <c r="F1840" s="2987"/>
      <c r="G1840" s="2987" t="s">
        <v>4945</v>
      </c>
      <c r="H1840" s="2987" t="s">
        <v>4975</v>
      </c>
      <c r="I1840" s="2987" t="s">
        <v>3486</v>
      </c>
      <c r="J1840" s="2987" t="s">
        <v>4944</v>
      </c>
      <c r="K1840" s="2988">
        <v>48.95</v>
      </c>
      <c r="L1840" s="2985">
        <v>49.03</v>
      </c>
    </row>
    <row r="1841" spans="2:12" ht="18" customHeight="1">
      <c r="B1841" s="2986">
        <v>1450</v>
      </c>
      <c r="C1841" s="2987" t="s">
        <v>3482</v>
      </c>
      <c r="D1841" s="2987" t="s">
        <v>4940</v>
      </c>
      <c r="E1841" s="2987" t="s">
        <v>4961</v>
      </c>
      <c r="F1841" s="2987"/>
      <c r="G1841" s="2987" t="s">
        <v>4947</v>
      </c>
      <c r="H1841" s="2987" t="s">
        <v>4976</v>
      </c>
      <c r="I1841" s="2987" t="s">
        <v>3486</v>
      </c>
      <c r="J1841" s="2987" t="s">
        <v>4944</v>
      </c>
      <c r="K1841" s="2988">
        <v>48.95</v>
      </c>
      <c r="L1841" s="2985">
        <v>49.03</v>
      </c>
    </row>
    <row r="1842" spans="2:12" ht="18" customHeight="1">
      <c r="B1842" s="2986">
        <v>1451</v>
      </c>
      <c r="C1842" s="2987" t="s">
        <v>3482</v>
      </c>
      <c r="D1842" s="2987" t="s">
        <v>4940</v>
      </c>
      <c r="E1842" s="2987" t="s">
        <v>4961</v>
      </c>
      <c r="F1842" s="2987"/>
      <c r="G1842" s="2987" t="s">
        <v>4949</v>
      </c>
      <c r="H1842" s="2987" t="s">
        <v>4977</v>
      </c>
      <c r="I1842" s="2987" t="s">
        <v>3486</v>
      </c>
      <c r="J1842" s="2987" t="s">
        <v>4944</v>
      </c>
      <c r="K1842" s="2988">
        <v>48.95</v>
      </c>
      <c r="L1842" s="2985">
        <v>49.03</v>
      </c>
    </row>
    <row r="1843" spans="2:12" ht="18" customHeight="1">
      <c r="B1843" s="2986">
        <v>1452</v>
      </c>
      <c r="C1843" s="2987" t="s">
        <v>3482</v>
      </c>
      <c r="D1843" s="2987" t="s">
        <v>4940</v>
      </c>
      <c r="E1843" s="2987" t="s">
        <v>4961</v>
      </c>
      <c r="F1843" s="2987"/>
      <c r="G1843" s="2987" t="s">
        <v>4951</v>
      </c>
      <c r="H1843" s="2987" t="s">
        <v>4978</v>
      </c>
      <c r="I1843" s="2987" t="s">
        <v>3486</v>
      </c>
      <c r="J1843" s="2987" t="s">
        <v>4944</v>
      </c>
      <c r="K1843" s="2988">
        <v>48.95</v>
      </c>
      <c r="L1843" s="2985">
        <v>49.03</v>
      </c>
    </row>
    <row r="1844" spans="2:12" ht="18" customHeight="1">
      <c r="B1844" s="2986">
        <v>1453</v>
      </c>
      <c r="C1844" s="2987" t="s">
        <v>3482</v>
      </c>
      <c r="D1844" s="2987" t="s">
        <v>4940</v>
      </c>
      <c r="E1844" s="2987" t="s">
        <v>4961</v>
      </c>
      <c r="F1844" s="2987"/>
      <c r="G1844" s="2987" t="s">
        <v>4953</v>
      </c>
      <c r="H1844" s="2987" t="s">
        <v>4979</v>
      </c>
      <c r="I1844" s="2987" t="s">
        <v>3486</v>
      </c>
      <c r="J1844" s="2987" t="s">
        <v>4944</v>
      </c>
      <c r="K1844" s="2988">
        <v>48.95</v>
      </c>
      <c r="L1844" s="2985">
        <v>49.03</v>
      </c>
    </row>
    <row r="1845" spans="2:12" ht="18" customHeight="1">
      <c r="B1845" s="2986">
        <v>1454</v>
      </c>
      <c r="C1845" s="2987" t="s">
        <v>3482</v>
      </c>
      <c r="D1845" s="2987" t="s">
        <v>4940</v>
      </c>
      <c r="E1845" s="2987" t="s">
        <v>4961</v>
      </c>
      <c r="F1845" s="2987"/>
      <c r="G1845" s="2987" t="s">
        <v>4955</v>
      </c>
      <c r="H1845" s="2987" t="s">
        <v>4980</v>
      </c>
      <c r="I1845" s="2987" t="s">
        <v>3486</v>
      </c>
      <c r="J1845" s="2987" t="s">
        <v>4944</v>
      </c>
      <c r="K1845" s="2988">
        <v>48.95</v>
      </c>
      <c r="L1845" s="2985">
        <v>49.03</v>
      </c>
    </row>
    <row r="1846" spans="2:12" ht="18" customHeight="1">
      <c r="B1846" s="2986">
        <v>1455</v>
      </c>
      <c r="C1846" s="2987" t="s">
        <v>3482</v>
      </c>
      <c r="D1846" s="2987" t="s">
        <v>4940</v>
      </c>
      <c r="E1846" s="2987" t="s">
        <v>4961</v>
      </c>
      <c r="F1846" s="2987"/>
      <c r="G1846" s="2987" t="s">
        <v>4957</v>
      </c>
      <c r="H1846" s="2987" t="s">
        <v>4981</v>
      </c>
      <c r="I1846" s="2987" t="s">
        <v>3486</v>
      </c>
      <c r="J1846" s="2987" t="s">
        <v>4944</v>
      </c>
      <c r="K1846" s="2988">
        <v>48.95</v>
      </c>
      <c r="L1846" s="2985">
        <v>49.03</v>
      </c>
    </row>
    <row r="1847" spans="2:12" ht="18" customHeight="1">
      <c r="B1847" s="2986">
        <v>1456</v>
      </c>
      <c r="C1847" s="2987" t="s">
        <v>3482</v>
      </c>
      <c r="D1847" s="2987" t="s">
        <v>4940</v>
      </c>
      <c r="E1847" s="2987" t="s">
        <v>4961</v>
      </c>
      <c r="F1847" s="2987"/>
      <c r="G1847" s="2987" t="s">
        <v>4959</v>
      </c>
      <c r="H1847" s="2987" t="s">
        <v>4982</v>
      </c>
      <c r="I1847" s="2987" t="s">
        <v>3486</v>
      </c>
      <c r="J1847" s="2987" t="s">
        <v>4944</v>
      </c>
      <c r="K1847" s="2988">
        <v>48.95</v>
      </c>
      <c r="L1847" s="2985">
        <v>49.03</v>
      </c>
    </row>
    <row r="1848" spans="2:12" s="3021" customFormat="1" ht="18" customHeight="1">
      <c r="B1848" s="3018"/>
      <c r="C1848" s="3019"/>
      <c r="D1848" s="3019"/>
      <c r="E1848" s="3019"/>
      <c r="F1848" s="3019"/>
      <c r="G1848" s="3019"/>
      <c r="H1848" s="3019"/>
      <c r="I1848" s="3019"/>
      <c r="J1848" s="3019"/>
      <c r="K1848" s="3020">
        <f>SUM(K1833:K1847)</f>
        <v>713.1400000000001</v>
      </c>
      <c r="L1848" s="3020">
        <f>SUM(L1833:L1847)</f>
        <v>714.31999999999982</v>
      </c>
    </row>
    <row r="1849" spans="2:12" ht="18" customHeight="1">
      <c r="B1849" s="2986">
        <v>1457</v>
      </c>
      <c r="C1849" s="2987" t="s">
        <v>3482</v>
      </c>
      <c r="D1849" s="2987" t="s">
        <v>4940</v>
      </c>
      <c r="E1849" s="2987" t="s">
        <v>4983</v>
      </c>
      <c r="F1849" s="2987"/>
      <c r="G1849" s="2987" t="s">
        <v>4942</v>
      </c>
      <c r="H1849" s="2987" t="s">
        <v>4984</v>
      </c>
      <c r="I1849" s="2987" t="s">
        <v>3486</v>
      </c>
      <c r="J1849" s="2987" t="s">
        <v>4944</v>
      </c>
      <c r="K1849" s="2988">
        <v>44.42</v>
      </c>
      <c r="L1849" s="2985">
        <v>27.71</v>
      </c>
    </row>
    <row r="1850" spans="2:12" ht="18" customHeight="1">
      <c r="B1850" s="2986">
        <v>1458</v>
      </c>
      <c r="C1850" s="2987" t="s">
        <v>3482</v>
      </c>
      <c r="D1850" s="2987" t="s">
        <v>4940</v>
      </c>
      <c r="E1850" s="2987" t="s">
        <v>4983</v>
      </c>
      <c r="F1850" s="2987"/>
      <c r="G1850" s="2987" t="s">
        <v>4963</v>
      </c>
      <c r="H1850" s="2987" t="s">
        <v>4985</v>
      </c>
      <c r="I1850" s="2987" t="s">
        <v>3486</v>
      </c>
      <c r="J1850" s="2987" t="s">
        <v>4944</v>
      </c>
      <c r="K1850" s="2988">
        <v>124.79</v>
      </c>
      <c r="L1850" s="2985">
        <v>77.83</v>
      </c>
    </row>
    <row r="1851" spans="2:12" ht="18" customHeight="1">
      <c r="B1851" s="2986">
        <v>1459</v>
      </c>
      <c r="C1851" s="2987" t="s">
        <v>3482</v>
      </c>
      <c r="D1851" s="2987" t="s">
        <v>4940</v>
      </c>
      <c r="E1851" s="2987" t="s">
        <v>4983</v>
      </c>
      <c r="F1851" s="2987"/>
      <c r="G1851" s="2987" t="s">
        <v>4945</v>
      </c>
      <c r="H1851" s="2987" t="s">
        <v>4986</v>
      </c>
      <c r="I1851" s="2987" t="s">
        <v>3486</v>
      </c>
      <c r="J1851" s="2987" t="s">
        <v>4944</v>
      </c>
      <c r="K1851" s="2988">
        <v>47.83</v>
      </c>
      <c r="L1851" s="2985">
        <v>29.83</v>
      </c>
    </row>
    <row r="1852" spans="2:12" ht="18" customHeight="1">
      <c r="B1852" s="2986">
        <v>1460</v>
      </c>
      <c r="C1852" s="2987" t="s">
        <v>3482</v>
      </c>
      <c r="D1852" s="2987" t="s">
        <v>4940</v>
      </c>
      <c r="E1852" s="2987" t="s">
        <v>4983</v>
      </c>
      <c r="F1852" s="2987"/>
      <c r="G1852" s="2987" t="s">
        <v>4947</v>
      </c>
      <c r="H1852" s="2987" t="s">
        <v>4987</v>
      </c>
      <c r="I1852" s="2987" t="s">
        <v>3486</v>
      </c>
      <c r="J1852" s="2987" t="s">
        <v>4944</v>
      </c>
      <c r="K1852" s="2988">
        <v>47.83</v>
      </c>
      <c r="L1852" s="2985">
        <v>29.83</v>
      </c>
    </row>
    <row r="1853" spans="2:12" ht="18" customHeight="1">
      <c r="B1853" s="2986">
        <v>1461</v>
      </c>
      <c r="C1853" s="2987" t="s">
        <v>3482</v>
      </c>
      <c r="D1853" s="2987" t="s">
        <v>4940</v>
      </c>
      <c r="E1853" s="2987" t="s">
        <v>4983</v>
      </c>
      <c r="F1853" s="2987"/>
      <c r="G1853" s="2987" t="s">
        <v>4949</v>
      </c>
      <c r="H1853" s="2987" t="s">
        <v>4988</v>
      </c>
      <c r="I1853" s="2987" t="s">
        <v>3486</v>
      </c>
      <c r="J1853" s="2987" t="s">
        <v>4944</v>
      </c>
      <c r="K1853" s="2988">
        <v>47.83</v>
      </c>
      <c r="L1853" s="2985">
        <v>29.83</v>
      </c>
    </row>
    <row r="1854" spans="2:12" ht="18" customHeight="1">
      <c r="B1854" s="2986">
        <v>1462</v>
      </c>
      <c r="C1854" s="2987" t="s">
        <v>3482</v>
      </c>
      <c r="D1854" s="2987" t="s">
        <v>4940</v>
      </c>
      <c r="E1854" s="2987" t="s">
        <v>4983</v>
      </c>
      <c r="F1854" s="2987"/>
      <c r="G1854" s="2987" t="s">
        <v>4951</v>
      </c>
      <c r="H1854" s="2987" t="s">
        <v>4989</v>
      </c>
      <c r="I1854" s="2987" t="s">
        <v>3486</v>
      </c>
      <c r="J1854" s="2987" t="s">
        <v>4944</v>
      </c>
      <c r="K1854" s="2988">
        <v>60</v>
      </c>
      <c r="L1854" s="2985">
        <v>37.42</v>
      </c>
    </row>
    <row r="1855" spans="2:12" ht="18" customHeight="1">
      <c r="B1855" s="2986">
        <v>1463</v>
      </c>
      <c r="C1855" s="2987" t="s">
        <v>3482</v>
      </c>
      <c r="D1855" s="2987" t="s">
        <v>4940</v>
      </c>
      <c r="E1855" s="2987" t="s">
        <v>4983</v>
      </c>
      <c r="F1855" s="2987"/>
      <c r="G1855" s="2987" t="s">
        <v>4953</v>
      </c>
      <c r="H1855" s="2987" t="s">
        <v>4990</v>
      </c>
      <c r="I1855" s="2987" t="s">
        <v>3486</v>
      </c>
      <c r="J1855" s="2987" t="s">
        <v>4944</v>
      </c>
      <c r="K1855" s="2988">
        <v>74.989999999999995</v>
      </c>
      <c r="L1855" s="2985">
        <v>46.77</v>
      </c>
    </row>
    <row r="1856" spans="2:12" ht="18" customHeight="1">
      <c r="B1856" s="2986">
        <v>1464</v>
      </c>
      <c r="C1856" s="2987" t="s">
        <v>3482</v>
      </c>
      <c r="D1856" s="2987" t="s">
        <v>4940</v>
      </c>
      <c r="E1856" s="2987" t="s">
        <v>4983</v>
      </c>
      <c r="F1856" s="2987"/>
      <c r="G1856" s="2987" t="s">
        <v>4955</v>
      </c>
      <c r="H1856" s="2987" t="s">
        <v>4991</v>
      </c>
      <c r="I1856" s="2987" t="s">
        <v>3486</v>
      </c>
      <c r="J1856" s="2987" t="s">
        <v>4944</v>
      </c>
      <c r="K1856" s="2988">
        <v>36.520000000000003</v>
      </c>
      <c r="L1856" s="2985">
        <v>22.78</v>
      </c>
    </row>
    <row r="1857" spans="2:12" ht="18" customHeight="1">
      <c r="B1857" s="2986">
        <v>1465</v>
      </c>
      <c r="C1857" s="2987" t="s">
        <v>3482</v>
      </c>
      <c r="D1857" s="2987" t="s">
        <v>4940</v>
      </c>
      <c r="E1857" s="2987" t="s">
        <v>4983</v>
      </c>
      <c r="F1857" s="2987"/>
      <c r="G1857" s="2987" t="s">
        <v>4957</v>
      </c>
      <c r="H1857" s="2987" t="s">
        <v>4992</v>
      </c>
      <c r="I1857" s="2987" t="s">
        <v>3486</v>
      </c>
      <c r="J1857" s="2987" t="s">
        <v>4944</v>
      </c>
      <c r="K1857" s="2988">
        <v>48.69</v>
      </c>
      <c r="L1857" s="2985">
        <v>30.37</v>
      </c>
    </row>
    <row r="1858" spans="2:12" ht="18" customHeight="1">
      <c r="B1858" s="2986">
        <v>1466</v>
      </c>
      <c r="C1858" s="2987" t="s">
        <v>3482</v>
      </c>
      <c r="D1858" s="2987" t="s">
        <v>4940</v>
      </c>
      <c r="E1858" s="2987" t="s">
        <v>4983</v>
      </c>
      <c r="F1858" s="2987"/>
      <c r="G1858" s="2987" t="s">
        <v>4959</v>
      </c>
      <c r="H1858" s="2987" t="s">
        <v>4993</v>
      </c>
      <c r="I1858" s="2987" t="s">
        <v>3486</v>
      </c>
      <c r="J1858" s="2987" t="s">
        <v>4944</v>
      </c>
      <c r="K1858" s="2988">
        <v>48.69</v>
      </c>
      <c r="L1858" s="2985">
        <v>30.37</v>
      </c>
    </row>
    <row r="1859" spans="2:12" s="3021" customFormat="1" ht="19.5" customHeight="1">
      <c r="B1859" s="3018"/>
      <c r="C1859" s="3019"/>
      <c r="D1859" s="3019"/>
      <c r="E1859" s="3019"/>
      <c r="F1859" s="3019"/>
      <c r="G1859" s="3019"/>
      <c r="H1859" s="3019"/>
      <c r="I1859" s="3019"/>
      <c r="J1859" s="3019"/>
      <c r="K1859" s="3020">
        <f>SUM(K1849:K1858)</f>
        <v>581.58999999999992</v>
      </c>
      <c r="L1859" s="3020">
        <f>SUM(L1849:L1858)</f>
        <v>362.74</v>
      </c>
    </row>
    <row r="1860" spans="2:12" ht="18" customHeight="1">
      <c r="B1860" s="2986">
        <v>1574</v>
      </c>
      <c r="C1860" s="2987" t="s">
        <v>4994</v>
      </c>
      <c r="D1860" s="2987" t="s">
        <v>3594</v>
      </c>
      <c r="E1860" s="2987" t="s">
        <v>4995</v>
      </c>
      <c r="F1860" s="2987"/>
      <c r="G1860" s="2987">
        <v>1504</v>
      </c>
      <c r="H1860" s="2987" t="s">
        <v>4996</v>
      </c>
      <c r="I1860" s="2987" t="s">
        <v>3486</v>
      </c>
      <c r="J1860" s="2987" t="s">
        <v>3597</v>
      </c>
      <c r="K1860" s="2988">
        <v>128.34</v>
      </c>
    </row>
    <row r="1861" spans="2:12" ht="18" customHeight="1">
      <c r="B1861" s="2986">
        <v>2007</v>
      </c>
      <c r="C1861" s="2987" t="s">
        <v>4994</v>
      </c>
      <c r="D1861" s="2987" t="s">
        <v>3594</v>
      </c>
      <c r="E1861" s="2987" t="s">
        <v>5329</v>
      </c>
      <c r="F1861" s="2987">
        <v>1</v>
      </c>
      <c r="G1861" s="2987">
        <v>301</v>
      </c>
      <c r="H1861" s="2987" t="s">
        <v>5330</v>
      </c>
      <c r="I1861" s="2987" t="s">
        <v>3486</v>
      </c>
      <c r="J1861" s="2987" t="s">
        <v>3597</v>
      </c>
      <c r="K1861" s="2988">
        <v>128.26</v>
      </c>
    </row>
    <row r="1862" spans="2:12" ht="18" customHeight="1">
      <c r="B1862" s="2986">
        <v>2008</v>
      </c>
      <c r="C1862" s="2987" t="s">
        <v>4994</v>
      </c>
      <c r="D1862" s="2987" t="s">
        <v>3594</v>
      </c>
      <c r="E1862" s="2987" t="s">
        <v>5329</v>
      </c>
      <c r="F1862" s="2987">
        <v>1</v>
      </c>
      <c r="G1862" s="2987">
        <v>302</v>
      </c>
      <c r="H1862" s="2987" t="s">
        <v>5331</v>
      </c>
      <c r="I1862" s="2987" t="s">
        <v>3486</v>
      </c>
      <c r="J1862" s="2987" t="s">
        <v>3599</v>
      </c>
      <c r="K1862" s="2988">
        <v>96.17</v>
      </c>
    </row>
    <row r="1863" spans="2:12" ht="18" customHeight="1">
      <c r="B1863" s="2986">
        <v>2132</v>
      </c>
      <c r="C1863" s="2987" t="s">
        <v>4994</v>
      </c>
      <c r="D1863" s="2987" t="s">
        <v>3483</v>
      </c>
      <c r="E1863" s="2987" t="s">
        <v>5332</v>
      </c>
      <c r="F1863" s="2987">
        <v>2</v>
      </c>
      <c r="G1863" s="2987">
        <v>102</v>
      </c>
      <c r="H1863" s="2987" t="s">
        <v>5333</v>
      </c>
      <c r="I1863" s="2987" t="s">
        <v>3486</v>
      </c>
      <c r="J1863" s="2987" t="s">
        <v>3487</v>
      </c>
      <c r="K1863" s="2988">
        <v>129.22999999999999</v>
      </c>
    </row>
    <row r="1864" spans="2:12" ht="18" customHeight="1">
      <c r="B1864" s="2986">
        <v>2183</v>
      </c>
      <c r="C1864" s="2987" t="s">
        <v>4994</v>
      </c>
      <c r="D1864" s="2987" t="s">
        <v>3483</v>
      </c>
      <c r="E1864" s="2987" t="s">
        <v>5334</v>
      </c>
      <c r="F1864" s="2987">
        <v>2</v>
      </c>
      <c r="G1864" s="2987">
        <v>301</v>
      </c>
      <c r="H1864" s="2987" t="s">
        <v>5335</v>
      </c>
      <c r="I1864" s="2987" t="s">
        <v>3486</v>
      </c>
      <c r="J1864" s="2987" t="s">
        <v>3493</v>
      </c>
      <c r="K1864" s="2988">
        <v>129.1</v>
      </c>
    </row>
    <row r="1865" spans="2:12" ht="18" customHeight="1">
      <c r="B1865" s="2986">
        <v>2199</v>
      </c>
      <c r="C1865" s="2987" t="s">
        <v>4994</v>
      </c>
      <c r="D1865" s="2987" t="s">
        <v>3483</v>
      </c>
      <c r="E1865" s="2987" t="s">
        <v>5336</v>
      </c>
      <c r="F1865" s="2987">
        <v>1</v>
      </c>
      <c r="G1865" s="2987">
        <v>501</v>
      </c>
      <c r="H1865" s="2987" t="s">
        <v>5337</v>
      </c>
      <c r="I1865" s="2987" t="s">
        <v>3486</v>
      </c>
      <c r="J1865" s="2987" t="s">
        <v>3496</v>
      </c>
      <c r="K1865" s="2988">
        <v>129.1</v>
      </c>
    </row>
    <row r="1866" spans="2:12" ht="18" customHeight="1">
      <c r="B1866" s="2986">
        <v>2201</v>
      </c>
      <c r="C1866" s="2987" t="s">
        <v>4994</v>
      </c>
      <c r="D1866" s="2987" t="s">
        <v>3483</v>
      </c>
      <c r="E1866" s="2987" t="s">
        <v>5336</v>
      </c>
      <c r="F1866" s="2987">
        <v>1</v>
      </c>
      <c r="G1866" s="2987">
        <v>601</v>
      </c>
      <c r="H1866" s="2987" t="s">
        <v>5338</v>
      </c>
      <c r="I1866" s="2987" t="s">
        <v>3486</v>
      </c>
      <c r="J1866" s="2987" t="s">
        <v>3501</v>
      </c>
      <c r="K1866" s="2988">
        <v>133.38999999999999</v>
      </c>
    </row>
    <row r="1867" spans="2:12" ht="18" customHeight="1">
      <c r="B1867" s="2986">
        <v>2250</v>
      </c>
      <c r="C1867" s="2987" t="s">
        <v>4994</v>
      </c>
      <c r="D1867" s="2987" t="s">
        <v>3483</v>
      </c>
      <c r="E1867" s="2987" t="s">
        <v>5339</v>
      </c>
      <c r="F1867" s="2987">
        <v>1</v>
      </c>
      <c r="G1867" s="2987">
        <v>602</v>
      </c>
      <c r="H1867" s="2987" t="s">
        <v>5340</v>
      </c>
      <c r="I1867" s="2987" t="s">
        <v>3486</v>
      </c>
      <c r="J1867" s="2987" t="s">
        <v>3501</v>
      </c>
      <c r="K1867" s="2988">
        <v>133.38999999999999</v>
      </c>
    </row>
  </sheetData>
  <autoFilter ref="B2:K1867"/>
  <mergeCells count="1">
    <mergeCell ref="B1:K1"/>
  </mergeCells>
  <phoneticPr fontId="144" type="noConversion"/>
  <pageMargins left="0" right="0" top="0" bottom="0" header="0.5" footer="0.5"/>
  <pageSetup paperSize="9" fitToWidth="0" fitToHeight="0"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56"/>
  <sheetViews>
    <sheetView workbookViewId="0">
      <selection activeCell="M39" sqref="M39"/>
    </sheetView>
  </sheetViews>
  <sheetFormatPr defaultRowHeight="13.5"/>
  <cols>
    <col min="1" max="1" width="10.125" style="1634" customWidth="1"/>
    <col min="2" max="2" width="18" style="1634" customWidth="1"/>
    <col min="3" max="9" width="13.875" style="1634" hidden="1" customWidth="1"/>
    <col min="10" max="10" width="4.5" style="1634" hidden="1" customWidth="1"/>
    <col min="11" max="12" width="13.875" style="1634" customWidth="1"/>
    <col min="13" max="13" width="16.125" bestFit="1" customWidth="1"/>
  </cols>
  <sheetData>
    <row r="1" spans="1:13">
      <c r="A1" s="3131" t="s">
        <v>5397</v>
      </c>
      <c r="B1" s="3131" t="s">
        <v>5398</v>
      </c>
      <c r="C1" s="3131" t="s">
        <v>5399</v>
      </c>
      <c r="D1" s="3131"/>
      <c r="E1" s="3131" t="s">
        <v>5400</v>
      </c>
      <c r="F1" s="3131"/>
      <c r="G1" s="3131" t="s">
        <v>5401</v>
      </c>
      <c r="H1" s="3131"/>
      <c r="I1" s="3131" t="s">
        <v>5402</v>
      </c>
      <c r="J1" s="3131"/>
      <c r="K1" s="3131" t="s">
        <v>5403</v>
      </c>
      <c r="L1" s="3131"/>
    </row>
    <row r="2" spans="1:13">
      <c r="A2" s="3131"/>
      <c r="B2" s="3131"/>
      <c r="C2" s="3031" t="s">
        <v>5404</v>
      </c>
      <c r="D2" s="3031" t="s">
        <v>5405</v>
      </c>
      <c r="E2" s="3031" t="s">
        <v>5404</v>
      </c>
      <c r="F2" s="3031" t="s">
        <v>5405</v>
      </c>
      <c r="G2" s="3031" t="s">
        <v>5404</v>
      </c>
      <c r="H2" s="3031" t="s">
        <v>5405</v>
      </c>
      <c r="I2" s="3031" t="s">
        <v>5404</v>
      </c>
      <c r="J2" s="3031" t="s">
        <v>5405</v>
      </c>
      <c r="K2" s="3031" t="s">
        <v>5404</v>
      </c>
      <c r="L2" s="3031" t="s">
        <v>5405</v>
      </c>
    </row>
    <row r="3" spans="1:13">
      <c r="A3" s="3032" t="s">
        <v>5406</v>
      </c>
      <c r="B3" s="3032" t="s">
        <v>5407</v>
      </c>
      <c r="C3" s="3033">
        <v>1349803096.3599999</v>
      </c>
      <c r="D3" s="3033"/>
      <c r="E3" s="3033"/>
      <c r="F3" s="3033"/>
      <c r="G3" s="3033">
        <v>1399781268.0799999</v>
      </c>
      <c r="H3" s="3033"/>
      <c r="I3" s="3033">
        <v>49978171.719999999</v>
      </c>
      <c r="J3" s="3033"/>
      <c r="K3" s="3033">
        <v>1399781268.0799999</v>
      </c>
      <c r="L3" s="3033"/>
    </row>
    <row r="4" spans="1:13">
      <c r="A4" s="3032" t="s">
        <v>5408</v>
      </c>
      <c r="B4" s="3032" t="s">
        <v>5409</v>
      </c>
      <c r="C4" s="3033">
        <v>1129381954</v>
      </c>
      <c r="D4" s="3033"/>
      <c r="E4" s="3033"/>
      <c r="F4" s="3033"/>
      <c r="G4" s="3033">
        <v>1129381954</v>
      </c>
      <c r="H4" s="3033"/>
      <c r="I4" s="3033"/>
      <c r="J4" s="3033"/>
      <c r="K4" s="3033">
        <v>1129381954</v>
      </c>
      <c r="L4" s="3033"/>
    </row>
    <row r="5" spans="1:13">
      <c r="A5" s="3032" t="s">
        <v>5410</v>
      </c>
      <c r="B5" s="3032" t="s">
        <v>5411</v>
      </c>
      <c r="C5" s="3033">
        <v>1086925954</v>
      </c>
      <c r="D5" s="3033"/>
      <c r="E5" s="3033"/>
      <c r="F5" s="3033"/>
      <c r="G5" s="3033">
        <v>1086925954</v>
      </c>
      <c r="H5" s="3033"/>
      <c r="I5" s="3033"/>
      <c r="J5" s="3033"/>
      <c r="K5" s="3033">
        <v>1086925954</v>
      </c>
      <c r="L5" s="3033"/>
    </row>
    <row r="6" spans="1:13">
      <c r="A6" s="3032" t="s">
        <v>5412</v>
      </c>
      <c r="B6" s="3032" t="s">
        <v>5413</v>
      </c>
      <c r="C6" s="3033">
        <v>42456000</v>
      </c>
      <c r="D6" s="3033"/>
      <c r="E6" s="3033"/>
      <c r="F6" s="3033"/>
      <c r="G6" s="3033">
        <v>42456000</v>
      </c>
      <c r="H6" s="3033"/>
      <c r="I6" s="3033"/>
      <c r="J6" s="3033"/>
      <c r="K6" s="3033">
        <v>42456000</v>
      </c>
      <c r="L6" s="3033"/>
    </row>
    <row r="7" spans="1:13">
      <c r="A7" s="3032" t="s">
        <v>5414</v>
      </c>
      <c r="B7" s="3032" t="s">
        <v>5415</v>
      </c>
      <c r="C7" s="3033">
        <v>21595456.949999999</v>
      </c>
      <c r="D7" s="3033"/>
      <c r="E7" s="3033"/>
      <c r="F7" s="3033"/>
      <c r="G7" s="3033">
        <v>37532182.200000003</v>
      </c>
      <c r="H7" s="3033"/>
      <c r="I7" s="3033">
        <v>15936725.25</v>
      </c>
      <c r="J7" s="3033"/>
      <c r="K7" s="3033">
        <v>37532182.200000003</v>
      </c>
      <c r="L7" s="3033"/>
    </row>
    <row r="8" spans="1:13">
      <c r="A8" s="3032" t="s">
        <v>5416</v>
      </c>
      <c r="B8" s="3032" t="s">
        <v>5417</v>
      </c>
      <c r="C8" s="3033">
        <v>8365923.5999999996</v>
      </c>
      <c r="D8" s="3033"/>
      <c r="E8" s="3033"/>
      <c r="F8" s="3033"/>
      <c r="G8" s="3033">
        <v>11663563.17</v>
      </c>
      <c r="H8" s="3033"/>
      <c r="I8" s="3033">
        <v>3297639.57</v>
      </c>
      <c r="J8" s="3033"/>
      <c r="K8" s="3033">
        <v>11663563.17</v>
      </c>
      <c r="L8" s="3033"/>
    </row>
    <row r="9" spans="1:13">
      <c r="A9" s="3032" t="s">
        <v>5418</v>
      </c>
      <c r="B9" s="3032" t="s">
        <v>5419</v>
      </c>
      <c r="C9" s="3033">
        <v>2500160.54</v>
      </c>
      <c r="D9" s="3033"/>
      <c r="E9" s="3033"/>
      <c r="F9" s="3033"/>
      <c r="G9" s="3033">
        <v>2583210.86</v>
      </c>
      <c r="H9" s="3033"/>
      <c r="I9" s="3033">
        <v>83050.320000000007</v>
      </c>
      <c r="J9" s="3033"/>
      <c r="K9" s="3033">
        <v>2583210.86</v>
      </c>
      <c r="L9" s="3033"/>
    </row>
    <row r="10" spans="1:13">
      <c r="A10" s="3032" t="s">
        <v>5420</v>
      </c>
      <c r="B10" s="3032" t="s">
        <v>5421</v>
      </c>
      <c r="C10" s="3033">
        <v>10729372.810000001</v>
      </c>
      <c r="D10" s="3033"/>
      <c r="E10" s="3033"/>
      <c r="F10" s="3033"/>
      <c r="G10" s="3033">
        <v>23285408.170000002</v>
      </c>
      <c r="H10" s="3033"/>
      <c r="I10" s="3033">
        <v>12556035.359999999</v>
      </c>
      <c r="J10" s="3033"/>
      <c r="K10" s="3033">
        <v>23285408.170000002</v>
      </c>
      <c r="L10" s="3033"/>
    </row>
    <row r="11" spans="1:13">
      <c r="A11" s="3036" t="s">
        <v>5422</v>
      </c>
      <c r="B11" s="3036" t="s">
        <v>5423</v>
      </c>
      <c r="C11" s="3037">
        <v>35022983.969999999</v>
      </c>
      <c r="D11" s="3037"/>
      <c r="E11" s="3037"/>
      <c r="F11" s="3037"/>
      <c r="G11" s="3037">
        <v>82840672.870000005</v>
      </c>
      <c r="H11" s="3037"/>
      <c r="I11" s="3037">
        <v>47817688.899999999</v>
      </c>
      <c r="J11" s="3037"/>
      <c r="K11" s="3037">
        <v>82840672.870000005</v>
      </c>
      <c r="L11" s="3033"/>
      <c r="M11" s="3038">
        <f>(K11+K15)/10000</f>
        <v>8296.7697820000012</v>
      </c>
    </row>
    <row r="12" spans="1:13">
      <c r="A12" s="3032" t="s">
        <v>5424</v>
      </c>
      <c r="B12" s="3032" t="s">
        <v>5425</v>
      </c>
      <c r="C12" s="3033">
        <v>34864997.549999997</v>
      </c>
      <c r="D12" s="3033"/>
      <c r="E12" s="3033"/>
      <c r="F12" s="3033"/>
      <c r="G12" s="3033">
        <v>82324826.239999995</v>
      </c>
      <c r="H12" s="3033"/>
      <c r="I12" s="3033">
        <v>47459828.689999998</v>
      </c>
      <c r="J12" s="3033"/>
      <c r="K12" s="3033">
        <v>82324826.239999995</v>
      </c>
      <c r="L12" s="3033"/>
    </row>
    <row r="13" spans="1:13">
      <c r="A13" s="3032" t="s">
        <v>5426</v>
      </c>
      <c r="B13" s="3032" t="s">
        <v>5427</v>
      </c>
      <c r="C13" s="3033"/>
      <c r="D13" s="3033"/>
      <c r="E13" s="3033"/>
      <c r="F13" s="3033"/>
      <c r="G13" s="3033">
        <v>357860.21</v>
      </c>
      <c r="H13" s="3033"/>
      <c r="I13" s="3033">
        <v>357860.21</v>
      </c>
      <c r="J13" s="3033"/>
      <c r="K13" s="3033">
        <v>357860.21</v>
      </c>
      <c r="L13" s="3033"/>
    </row>
    <row r="14" spans="1:13">
      <c r="A14" s="3032" t="s">
        <v>5428</v>
      </c>
      <c r="B14" s="3032" t="s">
        <v>5429</v>
      </c>
      <c r="C14" s="3033">
        <v>157986.42000000001</v>
      </c>
      <c r="D14" s="3033"/>
      <c r="E14" s="3033"/>
      <c r="F14" s="3033"/>
      <c r="G14" s="3033">
        <v>157986.42000000001</v>
      </c>
      <c r="H14" s="3033"/>
      <c r="I14" s="3033"/>
      <c r="J14" s="3033"/>
      <c r="K14" s="3033">
        <v>157986.42000000001</v>
      </c>
      <c r="L14" s="3033"/>
    </row>
    <row r="15" spans="1:13">
      <c r="A15" s="3036" t="s">
        <v>5430</v>
      </c>
      <c r="B15" s="3036" t="s">
        <v>5431</v>
      </c>
      <c r="C15" s="3037">
        <v>127024.95</v>
      </c>
      <c r="D15" s="3037"/>
      <c r="E15" s="3037"/>
      <c r="F15" s="3037"/>
      <c r="G15" s="3037">
        <v>127024.95</v>
      </c>
      <c r="H15" s="3037"/>
      <c r="I15" s="3037"/>
      <c r="J15" s="3037"/>
      <c r="K15" s="3037">
        <v>127024.95</v>
      </c>
      <c r="L15" s="3033"/>
    </row>
    <row r="16" spans="1:13">
      <c r="A16" s="3032" t="s">
        <v>5432</v>
      </c>
      <c r="B16" s="3032" t="s">
        <v>5433</v>
      </c>
      <c r="C16" s="3033">
        <v>127024.95</v>
      </c>
      <c r="D16" s="3033"/>
      <c r="E16" s="3033"/>
      <c r="F16" s="3033"/>
      <c r="G16" s="3033">
        <v>127024.95</v>
      </c>
      <c r="H16" s="3033"/>
      <c r="I16" s="3033"/>
      <c r="J16" s="3033"/>
      <c r="K16" s="3033">
        <v>127024.95</v>
      </c>
      <c r="L16" s="3033"/>
    </row>
    <row r="17" spans="1:12">
      <c r="A17" s="3032" t="s">
        <v>5434</v>
      </c>
      <c r="B17" s="3032" t="s">
        <v>5435</v>
      </c>
      <c r="C17" s="3033">
        <v>2128052.5699999998</v>
      </c>
      <c r="D17" s="3033"/>
      <c r="E17" s="3033"/>
      <c r="F17" s="3033"/>
      <c r="G17" s="3033">
        <v>3239456.69</v>
      </c>
      <c r="H17" s="3033"/>
      <c r="I17" s="3033">
        <v>1111404.1200000001</v>
      </c>
      <c r="J17" s="3033"/>
      <c r="K17" s="3033">
        <v>3239456.69</v>
      </c>
      <c r="L17" s="3033"/>
    </row>
    <row r="18" spans="1:12">
      <c r="A18" s="3032" t="s">
        <v>5436</v>
      </c>
      <c r="B18" s="3032" t="s">
        <v>5437</v>
      </c>
      <c r="C18" s="3033">
        <v>153641.59</v>
      </c>
      <c r="D18" s="3033"/>
      <c r="E18" s="3033"/>
      <c r="F18" s="3033"/>
      <c r="G18" s="3033">
        <v>153641.59</v>
      </c>
      <c r="H18" s="3033"/>
      <c r="I18" s="3033"/>
      <c r="J18" s="3033"/>
      <c r="K18" s="3033">
        <v>153641.59</v>
      </c>
      <c r="L18" s="3033"/>
    </row>
    <row r="19" spans="1:12">
      <c r="A19" s="3032" t="s">
        <v>5438</v>
      </c>
      <c r="B19" s="3032" t="s">
        <v>5439</v>
      </c>
      <c r="C19" s="3033">
        <v>1974410.98</v>
      </c>
      <c r="D19" s="3033"/>
      <c r="E19" s="3033"/>
      <c r="F19" s="3033"/>
      <c r="G19" s="3033">
        <v>3085815.1</v>
      </c>
      <c r="H19" s="3033"/>
      <c r="I19" s="3033">
        <v>1111404.1200000001</v>
      </c>
      <c r="J19" s="3033"/>
      <c r="K19" s="3033">
        <v>3085815.1</v>
      </c>
      <c r="L19" s="3033"/>
    </row>
    <row r="20" spans="1:12">
      <c r="A20" s="3032" t="s">
        <v>5440</v>
      </c>
      <c r="B20" s="3032" t="s">
        <v>5441</v>
      </c>
      <c r="C20" s="3033">
        <v>4854.37</v>
      </c>
      <c r="D20" s="3033"/>
      <c r="E20" s="3033"/>
      <c r="F20" s="3033"/>
      <c r="G20" s="3033">
        <v>4854.37</v>
      </c>
      <c r="H20" s="3033"/>
      <c r="I20" s="3033"/>
      <c r="J20" s="3033"/>
      <c r="K20" s="3033">
        <v>4854.37</v>
      </c>
      <c r="L20" s="3033"/>
    </row>
    <row r="21" spans="1:12">
      <c r="A21" s="3032" t="s">
        <v>5442</v>
      </c>
      <c r="B21" s="3032" t="s">
        <v>5443</v>
      </c>
      <c r="C21" s="3033">
        <v>4854.37</v>
      </c>
      <c r="D21" s="3033"/>
      <c r="E21" s="3033"/>
      <c r="F21" s="3033"/>
      <c r="G21" s="3033">
        <v>4854.37</v>
      </c>
      <c r="H21" s="3033"/>
      <c r="I21" s="3033"/>
      <c r="J21" s="3033"/>
      <c r="K21" s="3033">
        <v>4854.37</v>
      </c>
      <c r="L21" s="3033"/>
    </row>
    <row r="22" spans="1:12">
      <c r="A22" s="3032" t="s">
        <v>5444</v>
      </c>
      <c r="B22" s="3032" t="s">
        <v>5445</v>
      </c>
      <c r="C22" s="3033">
        <v>108455369.55</v>
      </c>
      <c r="D22" s="3033"/>
      <c r="E22" s="3033"/>
      <c r="F22" s="3033"/>
      <c r="G22" s="3033">
        <v>146655123</v>
      </c>
      <c r="H22" s="3033"/>
      <c r="I22" s="3033">
        <v>38199753.450000003</v>
      </c>
      <c r="J22" s="3033"/>
      <c r="K22" s="3033">
        <v>146655123</v>
      </c>
      <c r="L22" s="3033"/>
    </row>
    <row r="23" spans="1:12">
      <c r="A23" s="3032" t="s">
        <v>5446</v>
      </c>
      <c r="B23" s="3032" t="s">
        <v>5447</v>
      </c>
      <c r="C23" s="3033">
        <v>575458.22</v>
      </c>
      <c r="D23" s="3033"/>
      <c r="E23" s="3033"/>
      <c r="F23" s="3033"/>
      <c r="G23" s="3033">
        <v>644785.77</v>
      </c>
      <c r="H23" s="3033"/>
      <c r="I23" s="3033">
        <v>69327.55</v>
      </c>
      <c r="J23" s="3033"/>
      <c r="K23" s="3033">
        <v>644785.77</v>
      </c>
      <c r="L23" s="3033"/>
    </row>
    <row r="24" spans="1:12">
      <c r="A24" s="3032" t="s">
        <v>5448</v>
      </c>
      <c r="B24" s="3032" t="s">
        <v>5449</v>
      </c>
      <c r="C24" s="3033">
        <v>4952990.93</v>
      </c>
      <c r="D24" s="3033"/>
      <c r="E24" s="3033"/>
      <c r="F24" s="3033"/>
      <c r="G24" s="3033">
        <v>5134685.34</v>
      </c>
      <c r="H24" s="3033"/>
      <c r="I24" s="3033">
        <v>181694.41</v>
      </c>
      <c r="J24" s="3033"/>
      <c r="K24" s="3033">
        <v>5134685.34</v>
      </c>
      <c r="L24" s="3033"/>
    </row>
    <row r="25" spans="1:12">
      <c r="A25" s="3032" t="s">
        <v>5450</v>
      </c>
      <c r="B25" s="3032" t="s">
        <v>5451</v>
      </c>
      <c r="C25" s="3033">
        <v>2753149.19</v>
      </c>
      <c r="D25" s="3033"/>
      <c r="E25" s="3033"/>
      <c r="F25" s="3033"/>
      <c r="G25" s="3033">
        <v>3114848.76</v>
      </c>
      <c r="H25" s="3033"/>
      <c r="I25" s="3033">
        <v>361699.57</v>
      </c>
      <c r="J25" s="3033"/>
      <c r="K25" s="3033">
        <v>3114848.76</v>
      </c>
      <c r="L25" s="3033"/>
    </row>
    <row r="26" spans="1:12">
      <c r="A26" s="3032" t="s">
        <v>5452</v>
      </c>
      <c r="B26" s="3032" t="s">
        <v>5453</v>
      </c>
      <c r="C26" s="3033">
        <v>2753149.19</v>
      </c>
      <c r="D26" s="3033"/>
      <c r="E26" s="3033"/>
      <c r="F26" s="3033"/>
      <c r="G26" s="3033">
        <v>3114848.76</v>
      </c>
      <c r="H26" s="3033"/>
      <c r="I26" s="3033">
        <v>361699.57</v>
      </c>
      <c r="J26" s="3033"/>
      <c r="K26" s="3033">
        <v>3114848.76</v>
      </c>
      <c r="L26" s="3033"/>
    </row>
    <row r="27" spans="1:12">
      <c r="A27" s="3032" t="s">
        <v>5454</v>
      </c>
      <c r="B27" s="3032" t="s">
        <v>5455</v>
      </c>
      <c r="C27" s="3033">
        <v>94655195.010000005</v>
      </c>
      <c r="D27" s="3033"/>
      <c r="E27" s="3033"/>
      <c r="F27" s="3033"/>
      <c r="G27" s="3033">
        <v>129359020.01000001</v>
      </c>
      <c r="H27" s="3033"/>
      <c r="I27" s="3033">
        <v>34703825</v>
      </c>
      <c r="J27" s="3033"/>
      <c r="K27" s="3033">
        <v>129359020.01000001</v>
      </c>
      <c r="L27" s="3033"/>
    </row>
    <row r="28" spans="1:12">
      <c r="A28" s="3032" t="s">
        <v>5456</v>
      </c>
      <c r="B28" s="3032" t="s">
        <v>5457</v>
      </c>
      <c r="C28" s="3033">
        <v>5518576.2000000002</v>
      </c>
      <c r="D28" s="3033"/>
      <c r="E28" s="3033"/>
      <c r="F28" s="3033"/>
      <c r="G28" s="3033">
        <v>8401783.1199999992</v>
      </c>
      <c r="H28" s="3033"/>
      <c r="I28" s="3033">
        <v>2883206.92</v>
      </c>
      <c r="J28" s="3033"/>
      <c r="K28" s="3033">
        <v>8401783.1199999992</v>
      </c>
      <c r="L28" s="3033"/>
    </row>
    <row r="29" spans="1:12">
      <c r="A29" s="3032" t="s">
        <v>5458</v>
      </c>
      <c r="B29" s="3032" t="s">
        <v>5459</v>
      </c>
      <c r="C29" s="3033">
        <v>4147170.91</v>
      </c>
      <c r="D29" s="3033"/>
      <c r="E29" s="3033"/>
      <c r="F29" s="3033"/>
      <c r="G29" s="3033">
        <v>6491675.7400000002</v>
      </c>
      <c r="H29" s="3033"/>
      <c r="I29" s="3033">
        <v>2344504.83</v>
      </c>
      <c r="J29" s="3033"/>
      <c r="K29" s="3033">
        <v>6491675.7400000002</v>
      </c>
      <c r="L29" s="3033"/>
    </row>
    <row r="30" spans="1:12">
      <c r="A30" s="3032" t="s">
        <v>5460</v>
      </c>
      <c r="B30" s="3032" t="s">
        <v>5461</v>
      </c>
      <c r="C30" s="3033">
        <v>2708940</v>
      </c>
      <c r="D30" s="3033"/>
      <c r="E30" s="3033"/>
      <c r="F30" s="3033"/>
      <c r="G30" s="3033">
        <v>4708882.5599999996</v>
      </c>
      <c r="H30" s="3033"/>
      <c r="I30" s="3033">
        <v>1999942.56</v>
      </c>
      <c r="J30" s="3033"/>
      <c r="K30" s="3033">
        <v>4708882.5599999996</v>
      </c>
      <c r="L30" s="3033"/>
    </row>
    <row r="31" spans="1:12">
      <c r="A31" s="3032" t="s">
        <v>5462</v>
      </c>
      <c r="B31" s="3032" t="s">
        <v>5463</v>
      </c>
      <c r="C31" s="3033">
        <v>543536</v>
      </c>
      <c r="D31" s="3033"/>
      <c r="E31" s="3033"/>
      <c r="F31" s="3033"/>
      <c r="G31" s="3033">
        <v>543536</v>
      </c>
      <c r="H31" s="3033"/>
      <c r="I31" s="3033"/>
      <c r="J31" s="3033"/>
      <c r="K31" s="3033">
        <v>543536</v>
      </c>
      <c r="L31" s="3033"/>
    </row>
    <row r="32" spans="1:12">
      <c r="A32" s="3032" t="s">
        <v>5464</v>
      </c>
      <c r="B32" s="3032" t="s">
        <v>5465</v>
      </c>
      <c r="C32" s="3033">
        <v>63205.47</v>
      </c>
      <c r="D32" s="3033"/>
      <c r="E32" s="3033"/>
      <c r="F32" s="3033"/>
      <c r="G32" s="3033">
        <v>83905.47</v>
      </c>
      <c r="H32" s="3033"/>
      <c r="I32" s="3033">
        <v>20700</v>
      </c>
      <c r="J32" s="3033"/>
      <c r="K32" s="3033">
        <v>83905.47</v>
      </c>
      <c r="L32" s="3033"/>
    </row>
    <row r="33" spans="1:12">
      <c r="A33" s="3032" t="s">
        <v>5466</v>
      </c>
      <c r="B33" s="3032" t="s">
        <v>5467</v>
      </c>
      <c r="C33" s="3033">
        <v>383.6</v>
      </c>
      <c r="D33" s="3033"/>
      <c r="E33" s="3033"/>
      <c r="F33" s="3033"/>
      <c r="G33" s="3033">
        <v>13846.6</v>
      </c>
      <c r="H33" s="3033"/>
      <c r="I33" s="3033">
        <v>13463</v>
      </c>
      <c r="J33" s="3033"/>
      <c r="K33" s="3033">
        <v>13846.6</v>
      </c>
      <c r="L33" s="3033"/>
    </row>
    <row r="34" spans="1:12">
      <c r="A34" s="3032" t="s">
        <v>5468</v>
      </c>
      <c r="B34" s="3032" t="s">
        <v>5469</v>
      </c>
      <c r="C34" s="3033">
        <v>538122.9</v>
      </c>
      <c r="D34" s="3033"/>
      <c r="E34" s="3033"/>
      <c r="F34" s="3033"/>
      <c r="G34" s="3033">
        <v>758267.77</v>
      </c>
      <c r="H34" s="3033"/>
      <c r="I34" s="3033">
        <v>220144.87</v>
      </c>
      <c r="J34" s="3033"/>
      <c r="K34" s="3033">
        <v>758267.77</v>
      </c>
      <c r="L34" s="3033"/>
    </row>
    <row r="35" spans="1:12">
      <c r="A35" s="3032" t="s">
        <v>5470</v>
      </c>
      <c r="B35" s="3032" t="s">
        <v>5471</v>
      </c>
      <c r="C35" s="3033">
        <v>184312.5</v>
      </c>
      <c r="D35" s="3033"/>
      <c r="E35" s="3033"/>
      <c r="F35" s="3033"/>
      <c r="G35" s="3033">
        <v>263642.90000000002</v>
      </c>
      <c r="H35" s="3033"/>
      <c r="I35" s="3033">
        <v>79330.399999999994</v>
      </c>
      <c r="J35" s="3033"/>
      <c r="K35" s="3033">
        <v>263642.90000000002</v>
      </c>
      <c r="L35" s="3033"/>
    </row>
    <row r="36" spans="1:12">
      <c r="A36" s="3032" t="s">
        <v>5472</v>
      </c>
      <c r="B36" s="3032" t="s">
        <v>5473</v>
      </c>
      <c r="C36" s="3033">
        <v>58906.54</v>
      </c>
      <c r="D36" s="3033"/>
      <c r="E36" s="3033"/>
      <c r="F36" s="3033"/>
      <c r="G36" s="3033">
        <v>62830.54</v>
      </c>
      <c r="H36" s="3033"/>
      <c r="I36" s="3033">
        <v>3924</v>
      </c>
      <c r="J36" s="3033"/>
      <c r="K36" s="3033">
        <v>62830.54</v>
      </c>
      <c r="L36" s="3033"/>
    </row>
    <row r="37" spans="1:12">
      <c r="A37" s="3032" t="s">
        <v>5474</v>
      </c>
      <c r="B37" s="3032" t="s">
        <v>5475</v>
      </c>
      <c r="C37" s="3033">
        <v>28773</v>
      </c>
      <c r="D37" s="3033"/>
      <c r="E37" s="3033"/>
      <c r="F37" s="3033"/>
      <c r="G37" s="3033">
        <v>35773</v>
      </c>
      <c r="H37" s="3033"/>
      <c r="I37" s="3033">
        <v>7000</v>
      </c>
      <c r="J37" s="3033"/>
      <c r="K37" s="3033">
        <v>35773</v>
      </c>
      <c r="L37" s="3033"/>
    </row>
    <row r="38" spans="1:12">
      <c r="A38" s="3032" t="s">
        <v>5476</v>
      </c>
      <c r="B38" s="3032" t="s">
        <v>5477</v>
      </c>
      <c r="C38" s="3033">
        <v>20990.9</v>
      </c>
      <c r="D38" s="3033"/>
      <c r="E38" s="3033"/>
      <c r="F38" s="3033"/>
      <c r="G38" s="3033">
        <v>20990.9</v>
      </c>
      <c r="H38" s="3033"/>
      <c r="I38" s="3033"/>
      <c r="J38" s="3033"/>
      <c r="K38" s="3033">
        <v>20990.9</v>
      </c>
      <c r="L38" s="3033"/>
    </row>
    <row r="39" spans="1:12">
      <c r="A39" s="3032" t="s">
        <v>5478</v>
      </c>
      <c r="B39" s="3032" t="s">
        <v>5479</v>
      </c>
      <c r="C39" s="3033">
        <v>388098.61</v>
      </c>
      <c r="D39" s="3033"/>
      <c r="E39" s="3033"/>
      <c r="F39" s="3033"/>
      <c r="G39" s="3033">
        <v>624663.97</v>
      </c>
      <c r="H39" s="3033"/>
      <c r="I39" s="3033">
        <v>236565.36</v>
      </c>
      <c r="J39" s="3033"/>
      <c r="K39" s="3033">
        <v>624663.97</v>
      </c>
      <c r="L39" s="3033"/>
    </row>
    <row r="40" spans="1:12">
      <c r="A40" s="3032" t="s">
        <v>5480</v>
      </c>
      <c r="B40" s="3032" t="s">
        <v>5481</v>
      </c>
      <c r="C40" s="3033">
        <v>84271.86</v>
      </c>
      <c r="D40" s="3033"/>
      <c r="E40" s="3033"/>
      <c r="F40" s="3033"/>
      <c r="G40" s="3033">
        <v>95022.87</v>
      </c>
      <c r="H40" s="3033"/>
      <c r="I40" s="3033">
        <v>10751.01</v>
      </c>
      <c r="J40" s="3033"/>
      <c r="K40" s="3033">
        <v>95022.87</v>
      </c>
      <c r="L40" s="3033"/>
    </row>
    <row r="41" spans="1:12">
      <c r="A41" s="3032" t="s">
        <v>5482</v>
      </c>
      <c r="B41" s="3032" t="s">
        <v>5483</v>
      </c>
      <c r="C41" s="3033">
        <v>98827.89</v>
      </c>
      <c r="D41" s="3033"/>
      <c r="E41" s="3033"/>
      <c r="F41" s="3033"/>
      <c r="G41" s="3033">
        <v>309696.48</v>
      </c>
      <c r="H41" s="3033"/>
      <c r="I41" s="3033">
        <v>210868.59</v>
      </c>
      <c r="J41" s="3033"/>
      <c r="K41" s="3033">
        <v>309696.48</v>
      </c>
      <c r="L41" s="3033"/>
    </row>
    <row r="42" spans="1:12">
      <c r="A42" s="3032" t="s">
        <v>5484</v>
      </c>
      <c r="B42" s="3032" t="s">
        <v>5485</v>
      </c>
      <c r="C42" s="3033">
        <v>45747.95</v>
      </c>
      <c r="D42" s="3033"/>
      <c r="E42" s="3033"/>
      <c r="F42" s="3033"/>
      <c r="G42" s="3033">
        <v>49226.71</v>
      </c>
      <c r="H42" s="3033"/>
      <c r="I42" s="3033">
        <v>3478.76</v>
      </c>
      <c r="J42" s="3033"/>
      <c r="K42" s="3033">
        <v>49226.71</v>
      </c>
      <c r="L42" s="3033"/>
    </row>
    <row r="43" spans="1:12">
      <c r="A43" s="3032" t="s">
        <v>5486</v>
      </c>
      <c r="B43" s="3032" t="s">
        <v>5487</v>
      </c>
      <c r="C43" s="3033">
        <v>24322.33</v>
      </c>
      <c r="D43" s="3033"/>
      <c r="E43" s="3033"/>
      <c r="F43" s="3033"/>
      <c r="G43" s="3033">
        <v>24322.33</v>
      </c>
      <c r="H43" s="3033"/>
      <c r="I43" s="3033"/>
      <c r="J43" s="3033"/>
      <c r="K43" s="3033">
        <v>24322.33</v>
      </c>
      <c r="L43" s="3033"/>
    </row>
    <row r="44" spans="1:12">
      <c r="A44" s="3032" t="s">
        <v>5488</v>
      </c>
      <c r="B44" s="3032" t="s">
        <v>5489</v>
      </c>
      <c r="C44" s="3033">
        <v>10335.540000000001</v>
      </c>
      <c r="D44" s="3033"/>
      <c r="E44" s="3033"/>
      <c r="F44" s="3033"/>
      <c r="G44" s="3033">
        <v>11423.54</v>
      </c>
      <c r="H44" s="3033"/>
      <c r="I44" s="3033">
        <v>1088</v>
      </c>
      <c r="J44" s="3033"/>
      <c r="K44" s="3033">
        <v>11423.54</v>
      </c>
      <c r="L44" s="3033"/>
    </row>
    <row r="45" spans="1:12">
      <c r="A45" s="3032" t="s">
        <v>5490</v>
      </c>
      <c r="B45" s="3032" t="s">
        <v>5491</v>
      </c>
      <c r="C45" s="3033">
        <v>2000</v>
      </c>
      <c r="D45" s="3033"/>
      <c r="E45" s="3033"/>
      <c r="F45" s="3033"/>
      <c r="G45" s="3033">
        <v>2000</v>
      </c>
      <c r="H45" s="3033"/>
      <c r="I45" s="3033"/>
      <c r="J45" s="3033"/>
      <c r="K45" s="3033">
        <v>2000</v>
      </c>
      <c r="L45" s="3033"/>
    </row>
    <row r="46" spans="1:12">
      <c r="A46" s="3032" t="s">
        <v>5492</v>
      </c>
      <c r="B46" s="3032" t="s">
        <v>5493</v>
      </c>
      <c r="C46" s="3033">
        <v>1474.76</v>
      </c>
      <c r="D46" s="3033"/>
      <c r="E46" s="3033"/>
      <c r="F46" s="3033"/>
      <c r="G46" s="3033">
        <v>1474.76</v>
      </c>
      <c r="H46" s="3033"/>
      <c r="I46" s="3033"/>
      <c r="J46" s="3033"/>
      <c r="K46" s="3033">
        <v>1474.76</v>
      </c>
      <c r="L46" s="3033"/>
    </row>
    <row r="47" spans="1:12">
      <c r="A47" s="3032" t="s">
        <v>5494</v>
      </c>
      <c r="B47" s="3032" t="s">
        <v>5495</v>
      </c>
      <c r="C47" s="3033">
        <v>40622.14</v>
      </c>
      <c r="D47" s="3033"/>
      <c r="E47" s="3033"/>
      <c r="F47" s="3033"/>
      <c r="G47" s="3033">
        <v>42381.14</v>
      </c>
      <c r="H47" s="3033"/>
      <c r="I47" s="3033">
        <v>1759</v>
      </c>
      <c r="J47" s="3033"/>
      <c r="K47" s="3033">
        <v>42381.14</v>
      </c>
      <c r="L47" s="3033"/>
    </row>
    <row r="48" spans="1:12">
      <c r="A48" s="3032" t="s">
        <v>5496</v>
      </c>
      <c r="B48" s="3032" t="s">
        <v>5497</v>
      </c>
      <c r="C48" s="3033">
        <v>80496.14</v>
      </c>
      <c r="D48" s="3033"/>
      <c r="E48" s="3033"/>
      <c r="F48" s="3033"/>
      <c r="G48" s="3033">
        <v>89116.14</v>
      </c>
      <c r="H48" s="3033"/>
      <c r="I48" s="3033">
        <v>8620</v>
      </c>
      <c r="J48" s="3033"/>
      <c r="K48" s="3033">
        <v>89116.14</v>
      </c>
      <c r="L48" s="3033"/>
    </row>
    <row r="49" spans="1:12">
      <c r="A49" s="3032" t="s">
        <v>5498</v>
      </c>
      <c r="B49" s="3032" t="s">
        <v>5499</v>
      </c>
      <c r="C49" s="3033">
        <v>11695.26</v>
      </c>
      <c r="D49" s="3033"/>
      <c r="E49" s="3033"/>
      <c r="F49" s="3033"/>
      <c r="G49" s="3033">
        <v>18047.02</v>
      </c>
      <c r="H49" s="3033"/>
      <c r="I49" s="3033">
        <v>6351.76</v>
      </c>
      <c r="J49" s="3033"/>
      <c r="K49" s="3033">
        <v>18047.02</v>
      </c>
      <c r="L49" s="3033"/>
    </row>
    <row r="50" spans="1:12">
      <c r="A50" s="3032" t="s">
        <v>5500</v>
      </c>
      <c r="B50" s="3032" t="s">
        <v>5501</v>
      </c>
      <c r="C50" s="3033">
        <v>11695.26</v>
      </c>
      <c r="D50" s="3033"/>
      <c r="E50" s="3033"/>
      <c r="F50" s="3033"/>
      <c r="G50" s="3033">
        <v>18047.02</v>
      </c>
      <c r="H50" s="3033"/>
      <c r="I50" s="3033">
        <v>6351.76</v>
      </c>
      <c r="J50" s="3033"/>
      <c r="K50" s="3033">
        <v>18047.02</v>
      </c>
      <c r="L50" s="3033"/>
    </row>
    <row r="51" spans="1:12">
      <c r="A51" s="3032" t="s">
        <v>5502</v>
      </c>
      <c r="B51" s="3032" t="s">
        <v>5503</v>
      </c>
      <c r="C51" s="3033">
        <v>17385.36</v>
      </c>
      <c r="D51" s="3033"/>
      <c r="E51" s="3033"/>
      <c r="F51" s="3033"/>
      <c r="G51" s="3033">
        <v>20867.86</v>
      </c>
      <c r="H51" s="3033"/>
      <c r="I51" s="3033">
        <v>3482.5</v>
      </c>
      <c r="J51" s="3033"/>
      <c r="K51" s="3033">
        <v>20867.86</v>
      </c>
      <c r="L51" s="3033"/>
    </row>
    <row r="52" spans="1:12">
      <c r="A52" s="3032" t="s">
        <v>5504</v>
      </c>
      <c r="B52" s="3032" t="s">
        <v>5505</v>
      </c>
      <c r="C52" s="3033">
        <v>250200</v>
      </c>
      <c r="D52" s="3033"/>
      <c r="E52" s="3033"/>
      <c r="F52" s="3033"/>
      <c r="G52" s="3033">
        <v>542502.47</v>
      </c>
      <c r="H52" s="3033"/>
      <c r="I52" s="3033">
        <v>292302.46999999997</v>
      </c>
      <c r="J52" s="3033"/>
      <c r="K52" s="3033">
        <v>542502.47</v>
      </c>
      <c r="L52" s="3033"/>
    </row>
    <row r="53" spans="1:12">
      <c r="A53" s="3032" t="s">
        <v>5506</v>
      </c>
      <c r="B53" s="3032" t="s">
        <v>5507</v>
      </c>
      <c r="C53" s="3033">
        <v>250200</v>
      </c>
      <c r="D53" s="3033"/>
      <c r="E53" s="3033"/>
      <c r="F53" s="3033"/>
      <c r="G53" s="3033">
        <v>542502.47</v>
      </c>
      <c r="H53" s="3033"/>
      <c r="I53" s="3033">
        <v>292302.46999999997</v>
      </c>
      <c r="J53" s="3033"/>
      <c r="K53" s="3033">
        <v>542502.47</v>
      </c>
      <c r="L53" s="3033"/>
    </row>
    <row r="54" spans="1:12">
      <c r="A54" s="3032" t="s">
        <v>5508</v>
      </c>
      <c r="B54" s="3032" t="s">
        <v>5509</v>
      </c>
      <c r="C54" s="3033">
        <v>229400.5</v>
      </c>
      <c r="D54" s="3033"/>
      <c r="E54" s="3033"/>
      <c r="F54" s="3033"/>
      <c r="G54" s="3033">
        <v>229400.5</v>
      </c>
      <c r="H54" s="3033"/>
      <c r="I54" s="3033"/>
      <c r="J54" s="3033"/>
      <c r="K54" s="3033">
        <v>229400.5</v>
      </c>
      <c r="L54" s="3033"/>
    </row>
    <row r="55" spans="1:12">
      <c r="A55" s="3032" t="s">
        <v>5510</v>
      </c>
      <c r="B55" s="3032" t="s">
        <v>5511</v>
      </c>
      <c r="C55" s="3033">
        <v>474625.56</v>
      </c>
      <c r="D55" s="3033"/>
      <c r="E55" s="3033"/>
      <c r="F55" s="3033"/>
      <c r="G55" s="3033">
        <v>474625.56</v>
      </c>
      <c r="H55" s="3033"/>
      <c r="I55" s="3033"/>
      <c r="J55" s="3033"/>
      <c r="K55" s="3033">
        <v>474625.56</v>
      </c>
      <c r="L55" s="3033"/>
    </row>
    <row r="56" spans="1:12">
      <c r="A56" s="3034"/>
      <c r="B56" s="3034" t="s">
        <v>37</v>
      </c>
      <c r="C56" s="3035">
        <v>1349803096.3599999</v>
      </c>
      <c r="D56" s="3035"/>
      <c r="E56" s="3035"/>
      <c r="F56" s="3035"/>
      <c r="G56" s="3035">
        <v>1399781268.0799999</v>
      </c>
      <c r="H56" s="3035"/>
      <c r="I56" s="3035">
        <v>49978171.719999999</v>
      </c>
      <c r="J56" s="3035"/>
      <c r="K56" s="3035">
        <v>1399781268.0799999</v>
      </c>
      <c r="L56" s="3035"/>
    </row>
  </sheetData>
  <mergeCells count="7">
    <mergeCell ref="K1:L1"/>
    <mergeCell ref="A1:A2"/>
    <mergeCell ref="B1:B2"/>
    <mergeCell ref="C1:D1"/>
    <mergeCell ref="E1:F1"/>
    <mergeCell ref="G1:H1"/>
    <mergeCell ref="I1:J1"/>
  </mergeCells>
  <phoneticPr fontId="1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20" sqref="N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141" t="s">
        <v>1931</v>
      </c>
      <c r="B2" s="3141"/>
      <c r="C2" s="3141"/>
      <c r="D2" s="967" t="s">
        <v>1908</v>
      </c>
      <c r="E2" s="2224" t="s">
        <v>1909</v>
      </c>
      <c r="F2" s="1392"/>
      <c r="G2" s="2225"/>
      <c r="H2" s="2226"/>
      <c r="I2" s="2227" t="s">
        <v>1932</v>
      </c>
      <c r="J2" s="1392"/>
      <c r="K2" s="1392"/>
      <c r="L2" s="1392"/>
      <c r="M2" s="1392"/>
      <c r="N2" s="1427"/>
      <c r="O2" s="1392"/>
      <c r="P2" s="1392"/>
    </row>
    <row r="3" spans="1:16" ht="15.75" thickBot="1">
      <c r="A3" s="3142" t="s">
        <v>1906</v>
      </c>
      <c r="B3" s="3142"/>
      <c r="C3" s="3142"/>
      <c r="D3" s="46">
        <f>'数据-基础表'!AY6</f>
        <v>0</v>
      </c>
      <c r="E3" s="46">
        <f>'数据-基础表'!AZ5</f>
        <v>35526.120000000024</v>
      </c>
      <c r="F3" s="1392"/>
      <c r="G3" s="1399"/>
      <c r="H3" s="1247" t="s">
        <v>1907</v>
      </c>
      <c r="I3" s="55" t="e">
        <f>ROUND('数据-基础表'!B3/'数据-基础表'!A3,2)</f>
        <v>#DIV/0!</v>
      </c>
      <c r="J3" s="1392"/>
      <c r="K3" s="1392"/>
      <c r="L3" s="1392"/>
      <c r="M3" s="1392"/>
      <c r="N3" s="1427"/>
      <c r="O3" s="1392"/>
      <c r="P3" s="1392"/>
    </row>
    <row r="4" spans="1:16" ht="15">
      <c r="A4" s="3143"/>
      <c r="B4" s="3144"/>
      <c r="C4" s="3145"/>
      <c r="D4" s="2228" t="s">
        <v>1908</v>
      </c>
      <c r="E4" s="2229" t="s">
        <v>1909</v>
      </c>
      <c r="F4" s="1392"/>
      <c r="G4" s="2230" t="s">
        <v>1933</v>
      </c>
      <c r="H4" s="1247" t="s">
        <v>1914</v>
      </c>
      <c r="I4" s="55" t="e">
        <f>ROUND(SUMIF('数据-基础表'!I9:AS9,"地上",'数据-基础表'!I5:AS5)/'数据-基础表'!A3,2)</f>
        <v>#DIV/0!</v>
      </c>
      <c r="J4" s="1392"/>
      <c r="K4" s="1392"/>
      <c r="L4" s="1392"/>
      <c r="M4" s="1392"/>
      <c r="N4" s="1427"/>
      <c r="O4" s="1392"/>
      <c r="P4" s="1392"/>
    </row>
    <row r="5" spans="1:16">
      <c r="A5" s="47" t="s">
        <v>1910</v>
      </c>
      <c r="B5" s="3146" t="s">
        <v>1911</v>
      </c>
      <c r="C5" s="3146"/>
      <c r="D5" s="48">
        <f>ROUND($D$3*E5/$E$3,2)</f>
        <v>0</v>
      </c>
      <c r="E5" s="49">
        <f>SUMIF('数据-基础表'!$11:$11,"住宅",'数据-基础表'!$5:$5)</f>
        <v>35526.120000000024</v>
      </c>
      <c r="F5" s="1392"/>
      <c r="G5" s="1399"/>
      <c r="H5" s="1247" t="s">
        <v>1907</v>
      </c>
      <c r="I5" s="55" t="e">
        <f>ROUND(E31/D31,2)</f>
        <v>#DIV/0!</v>
      </c>
      <c r="J5" s="1392"/>
      <c r="K5" s="1392"/>
      <c r="L5" s="1392"/>
      <c r="M5" s="1392"/>
      <c r="N5" s="1392"/>
      <c r="O5" s="1392"/>
      <c r="P5" s="1392"/>
    </row>
    <row r="6" spans="1:16" ht="15" thickBot="1">
      <c r="A6" s="2231"/>
      <c r="B6" s="3146" t="s">
        <v>1912</v>
      </c>
      <c r="C6" s="3146"/>
      <c r="D6" s="48">
        <f>ROUND($D$3*E6/$E$3,2)</f>
        <v>0</v>
      </c>
      <c r="E6" s="49">
        <f>E3-E5</f>
        <v>0</v>
      </c>
      <c r="F6" s="1392"/>
      <c r="G6" s="2232" t="s">
        <v>1913</v>
      </c>
      <c r="H6" s="1399" t="s">
        <v>1914</v>
      </c>
      <c r="I6" s="939" t="e">
        <f>ROUND(F31/D31,2)</f>
        <v>#DIV/0!</v>
      </c>
      <c r="J6" s="1392"/>
      <c r="K6" s="1392"/>
      <c r="L6" s="1392"/>
      <c r="M6" s="1392"/>
      <c r="N6" s="1392"/>
      <c r="O6" s="1392"/>
      <c r="P6" s="1392"/>
    </row>
    <row r="7" spans="1:16" ht="15">
      <c r="A7" s="3138"/>
      <c r="B7" s="3139"/>
      <c r="C7" s="3140"/>
      <c r="D7" s="2228" t="s">
        <v>1908</v>
      </c>
      <c r="E7" s="2233" t="s">
        <v>1915</v>
      </c>
      <c r="F7" s="1392"/>
      <c r="G7" s="2225" t="s">
        <v>1916</v>
      </c>
      <c r="H7" s="64"/>
      <c r="I7" s="420"/>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35526.120000000024</v>
      </c>
      <c r="F8" s="1392"/>
      <c r="G8" s="2234"/>
      <c r="H8" s="2234"/>
      <c r="I8" s="1392"/>
      <c r="J8" s="1392"/>
      <c r="K8" s="1392"/>
      <c r="L8" s="1392"/>
      <c r="M8" s="1392"/>
      <c r="N8" s="1392"/>
      <c r="O8" s="1392"/>
      <c r="P8" s="1392"/>
    </row>
    <row r="9" spans="1:16">
      <c r="A9" s="2235"/>
      <c r="B9" s="2236"/>
      <c r="C9" s="48" t="s">
        <v>1920</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1921</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1922</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1923</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1924</v>
      </c>
      <c r="D16" s="50">
        <f>SUM(D8:D15)</f>
        <v>0</v>
      </c>
      <c r="E16" s="53">
        <f>SUM(E8:E15)</f>
        <v>35526.120000000024</v>
      </c>
      <c r="F16" s="1392"/>
      <c r="G16" s="2234"/>
      <c r="H16" s="2237" t="s">
        <v>1935</v>
      </c>
      <c r="I16" s="2238"/>
      <c r="J16" s="1392"/>
      <c r="K16" s="3135" t="s">
        <v>1935</v>
      </c>
      <c r="L16" s="3136"/>
      <c r="M16" s="3136"/>
      <c r="N16" s="3136"/>
      <c r="O16" s="3136"/>
      <c r="P16" s="3137"/>
    </row>
    <row r="17" spans="1:19" ht="15">
      <c r="A17" s="2239" t="s">
        <v>1936</v>
      </c>
      <c r="B17" s="2240" t="s">
        <v>1937</v>
      </c>
      <c r="C17" s="2241" t="s">
        <v>1938</v>
      </c>
      <c r="D17" s="2242" t="s">
        <v>1926</v>
      </c>
      <c r="E17" s="2243" t="s">
        <v>1927</v>
      </c>
      <c r="F17" s="2244"/>
      <c r="G17" s="2245"/>
      <c r="H17" s="2246" t="s">
        <v>1939</v>
      </c>
      <c r="I17" s="2247" t="s">
        <v>5518</v>
      </c>
      <c r="J17" s="1392"/>
      <c r="K17" s="3132" t="s">
        <v>1940</v>
      </c>
      <c r="L17" s="3133"/>
      <c r="M17" s="3134"/>
      <c r="N17" s="3132" t="s">
        <v>1941</v>
      </c>
      <c r="O17" s="3133"/>
      <c r="P17" s="3134"/>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91" t="s">
        <v>5393</v>
      </c>
      <c r="D19" s="48">
        <f>ROUND($D$3*E19/$E$3,2)</f>
        <v>0</v>
      </c>
      <c r="E19" s="56">
        <f t="shared" ref="E19:E26" si="1">SUM(F19:G19)</f>
        <v>0</v>
      </c>
      <c r="F19" s="57">
        <f>'数据-基础表'!I13</f>
        <v>0</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0</v>
      </c>
    </row>
    <row r="20" spans="1:19">
      <c r="A20" s="2259"/>
      <c r="B20" s="50" t="s">
        <v>1953</v>
      </c>
      <c r="C20" s="2991" t="s">
        <v>5394</v>
      </c>
      <c r="D20" s="48">
        <f t="shared" ref="D20:D26" si="6">ROUND($D$3*E20/$E$3,2)</f>
        <v>0</v>
      </c>
      <c r="E20" s="56">
        <f t="shared" si="1"/>
        <v>35526.120000000024</v>
      </c>
      <c r="F20" s="57">
        <f>'数据-基础表'!K13</f>
        <v>35526.120000000024</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35526.120000000024</v>
      </c>
    </row>
    <row r="21" spans="1:19">
      <c r="A21" s="2259"/>
      <c r="B21" s="50" t="s">
        <v>1953</v>
      </c>
      <c r="C21" s="2991" t="s">
        <v>5395</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1954</v>
      </c>
      <c r="D27" s="1393">
        <f>SUM(D19:D26)</f>
        <v>0</v>
      </c>
      <c r="E27" s="1394">
        <f>IF(SUM(E19:E26)='数据-基础表'!BA5,SUM(E19:E26),IF(F27="地上面积有误","面积有误","地下面积有误"))</f>
        <v>35526.120000000024</v>
      </c>
      <c r="F27" s="1393">
        <f>IF(SUM(F19:F26)=E8,SUM(F19:F26),"地上面积有误")</f>
        <v>35526.120000000024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35526.120000000024</v>
      </c>
    </row>
    <row r="28" spans="1:19">
      <c r="A28" s="2259"/>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1955</v>
      </c>
      <c r="C29" s="2263"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1958</v>
      </c>
      <c r="D31" s="729">
        <f>D27+D30</f>
        <v>0</v>
      </c>
      <c r="E31" s="729">
        <f>E27+E30</f>
        <v>35526.120000000024</v>
      </c>
      <c r="F31" s="730">
        <f>F27+F30</f>
        <v>35526.120000000024</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9" sqref="F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1961</v>
      </c>
      <c r="B2" s="1266">
        <f>项目基本情况!D3</f>
        <v>43601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自定义</v>
      </c>
      <c r="U4" s="2277" t="s">
        <v>1965</v>
      </c>
      <c r="V4" s="2278"/>
      <c r="W4" s="2278"/>
      <c r="X4" s="2278"/>
      <c r="Y4" s="2280"/>
      <c r="Z4" s="2241" t="s">
        <v>1966</v>
      </c>
      <c r="AA4" s="2241"/>
      <c r="AB4" s="2241"/>
      <c r="AC4" s="2241"/>
      <c r="AD4" s="2241"/>
      <c r="AE4" s="2239" t="s">
        <v>1967</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8" t="s">
        <v>1972</v>
      </c>
      <c r="F5" s="2289" t="s">
        <v>1973</v>
      </c>
      <c r="G5" s="1268" t="s">
        <v>1974</v>
      </c>
      <c r="H5" s="1268" t="s">
        <v>1975</v>
      </c>
      <c r="I5" s="1268" t="s">
        <v>1976</v>
      </c>
      <c r="J5" s="2290" t="s">
        <v>1977</v>
      </c>
      <c r="K5" s="2291" t="s">
        <v>1978</v>
      </c>
      <c r="L5" s="2292" t="s">
        <v>1979</v>
      </c>
      <c r="M5" s="2293" t="s">
        <v>1980</v>
      </c>
      <c r="N5" s="2294" t="s">
        <v>1981</v>
      </c>
      <c r="O5" s="2292" t="s">
        <v>1982</v>
      </c>
      <c r="P5" s="2295" t="s">
        <v>1983</v>
      </c>
      <c r="Q5" s="69" t="s">
        <v>1984</v>
      </c>
      <c r="R5" s="2296" t="s">
        <v>1985</v>
      </c>
      <c r="S5" s="2297" t="s">
        <v>1986</v>
      </c>
      <c r="T5" s="2298" t="s">
        <v>1987</v>
      </c>
      <c r="U5" s="1267" t="s">
        <v>1988</v>
      </c>
      <c r="V5" s="1268" t="s">
        <v>1989</v>
      </c>
      <c r="W5" s="1268" t="s">
        <v>1990</v>
      </c>
      <c r="X5" s="71"/>
      <c r="Y5" s="70" t="s">
        <v>1991</v>
      </c>
      <c r="Z5" s="2299" t="s">
        <v>1988</v>
      </c>
      <c r="AA5" s="1268" t="s">
        <v>1989</v>
      </c>
      <c r="AB5" s="1268" t="s">
        <v>1990</v>
      </c>
      <c r="AC5" s="71"/>
      <c r="AD5" s="71" t="s">
        <v>1991</v>
      </c>
      <c r="AE5" s="1267" t="s">
        <v>1992</v>
      </c>
      <c r="AF5" s="1268" t="s">
        <v>1993</v>
      </c>
      <c r="AG5" s="70" t="s">
        <v>1994</v>
      </c>
      <c r="AH5" s="1267" t="s">
        <v>1995</v>
      </c>
      <c r="AI5" s="2299" t="s">
        <v>1996</v>
      </c>
      <c r="AJ5" s="2299" t="s">
        <v>1997</v>
      </c>
      <c r="AK5" s="1268" t="s">
        <v>1998</v>
      </c>
      <c r="AL5" s="1268" t="s">
        <v>1999</v>
      </c>
      <c r="AM5" s="70" t="s">
        <v>2000</v>
      </c>
      <c r="AN5" s="2300" t="s">
        <v>2001</v>
      </c>
      <c r="AO5" s="2071" t="s">
        <v>2002</v>
      </c>
      <c r="AP5" s="1249" t="s">
        <v>2003</v>
      </c>
      <c r="AQ5" s="2301" t="s">
        <v>2004</v>
      </c>
      <c r="AR5" s="2301"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多层</v>
      </c>
      <c r="B6" s="2303" t="str">
        <f>IF(A6=0,"","经营性")</f>
        <v>经营性</v>
      </c>
      <c r="C6" s="2304" t="s">
        <v>3242</v>
      </c>
      <c r="D6" s="1051">
        <f>SUMIF(项目基本情况!D$12:I$12,C6,项目基本情况!D$14:I$14)</f>
        <v>70</v>
      </c>
      <c r="E6" s="1048">
        <f>IF(B6="","",SUMIF(项目基本情况!D$12:I$12,C6,项目基本情况!D$13:I$13))</f>
        <v>68640</v>
      </c>
      <c r="F6" s="72">
        <f>SUMIF(项目基本情况!D$12:I$12,C6,项目基本情况!D$15:I$15)</f>
        <v>68.599999999999994</v>
      </c>
      <c r="G6" s="73">
        <f>IF(ISERROR(ROUND(POWER(1+H6,D6-F6)*(POWER(1+H6,F6)-1)/(POWER(1+H6,D6)-1),3)),0,ROUND(POWER(1+H6,D6-F6)*(POWER(1+H6,F6)-1)/(POWER(1+H6,D6)-1),3))</f>
        <v>0.997</v>
      </c>
      <c r="H6" s="802">
        <v>4.4999999999999998E-2</v>
      </c>
      <c r="I6" s="802">
        <v>5.5E-2</v>
      </c>
      <c r="J6" s="74">
        <v>8.5000000000000006E-2</v>
      </c>
      <c r="K6" s="1251">
        <f>SUMIF('数据-汇总表'!C$19:C$33,A6,'数据-汇总表'!E$19:E$33)</f>
        <v>0</v>
      </c>
      <c r="L6" s="803">
        <f>N23</f>
        <v>3000</v>
      </c>
      <c r="M6" s="75">
        <f t="shared" ref="M6:M14" si="0">ROUND(K6*L6/10000,0)</f>
        <v>0</v>
      </c>
      <c r="N6" s="801">
        <v>0</v>
      </c>
      <c r="O6" s="75">
        <f>IF($N$5="成新度","——",ROUND(M6*N6,0))</f>
        <v>0</v>
      </c>
      <c r="P6" s="76">
        <f>IF($N$5="成新度","——",M6-O6)</f>
        <v>0</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5"/>
      <c r="AO6" s="55" t="e">
        <f ca="1">SUMIF(INDIRECT("'"&amp;AN6&amp;"'"&amp;"!A:A"),"总价",INDIRECT("'"&amp;AN6&amp;"'"&amp;"!B:B"))</f>
        <v>#REF!</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高层</v>
      </c>
      <c r="B7" s="2303" t="str">
        <f t="shared" ref="B7:B13" si="1">IF(A7=0,"","经营性")</f>
        <v>经营性</v>
      </c>
      <c r="C7" s="2304" t="s">
        <v>3242</v>
      </c>
      <c r="D7" s="1051">
        <f>SUMIF(项目基本情况!D$12:I$12,C7,项目基本情况!D$14:I$14)</f>
        <v>70</v>
      </c>
      <c r="E7" s="1048">
        <f>IF(B7="","",SUMIF(项目基本情况!D$12:I$12,C7,项目基本情况!D$13:I$13))</f>
        <v>68640</v>
      </c>
      <c r="F7" s="72">
        <f>SUMIF(项目基本情况!D$12:I$12,C7,项目基本情况!D$15:I$15)</f>
        <v>68.599999999999994</v>
      </c>
      <c r="G7" s="73">
        <f t="shared" ref="G7:G11" si="2">IF(ISERROR(ROUND(POWER(1+H7,D7-F7)*(POWER(1+H7,F7)-1)/(POWER(1+H7,D7)-1),3)),0,ROUND(POWER(1+H7,D7-F7)*(POWER(1+H7,F7)-1)/(POWER(1+H7,D7)-1),3))</f>
        <v>0.997</v>
      </c>
      <c r="H7" s="802">
        <v>4.4999999999999998E-2</v>
      </c>
      <c r="I7" s="802">
        <v>5.5E-2</v>
      </c>
      <c r="J7" s="74">
        <v>8.5000000000000006E-2</v>
      </c>
      <c r="K7" s="1251">
        <f>SUMIF('数据-汇总表'!C$19:C$33,A7,'数据-汇总表'!E$19:E$33)</f>
        <v>35526.120000000024</v>
      </c>
      <c r="L7" s="803">
        <f>N24</f>
        <v>3000</v>
      </c>
      <c r="M7" s="75">
        <f t="shared" si="0"/>
        <v>10658</v>
      </c>
      <c r="N7" s="801">
        <v>0.1</v>
      </c>
      <c r="O7" s="75">
        <f t="shared" ref="O7:O14" si="3">IF($N$5="成新度","——",ROUND(M7*N7,0))</f>
        <v>1066</v>
      </c>
      <c r="P7" s="76">
        <f t="shared" ref="P7:P14" si="4">IF($N$5="成新度","——",M7-O7)</f>
        <v>9592</v>
      </c>
      <c r="Q7" s="804">
        <v>0.1</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106578360.00000007</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商业</v>
      </c>
      <c r="B8" s="2303" t="str">
        <f t="shared" si="1"/>
        <v>经营性</v>
      </c>
      <c r="C8" s="2304" t="s">
        <v>1373</v>
      </c>
      <c r="D8" s="1051">
        <f>SUMIF(项目基本情况!D$12:I$12,C8,项目基本情况!D$14:I$14)</f>
        <v>40</v>
      </c>
      <c r="E8" s="1048">
        <f>IF(B8="","",SUMIF(项目基本情况!D$12:I$12,C8,项目基本情况!D$13:I$13))</f>
        <v>57683</v>
      </c>
      <c r="F8" s="72">
        <f>SUMIF(项目基本情况!D$12:I$12,C8,项目基本情况!D$15:I$15)</f>
        <v>38.58</v>
      </c>
      <c r="G8" s="73">
        <f t="shared" si="2"/>
        <v>0.98799999999999999</v>
      </c>
      <c r="H8" s="802">
        <v>0.05</v>
      </c>
      <c r="I8" s="802">
        <v>0.06</v>
      </c>
      <c r="J8" s="74">
        <v>8.5000000000000006E-2</v>
      </c>
      <c r="K8" s="1251">
        <f>SUMIF('数据-汇总表'!C$19:C$33,A8,'数据-汇总表'!E$19:E$33)</f>
        <v>0</v>
      </c>
      <c r="L8" s="803">
        <v>3000</v>
      </c>
      <c r="M8" s="75">
        <f>ROUND(K8*L8/10000,0)</f>
        <v>0</v>
      </c>
      <c r="N8" s="801">
        <v>0</v>
      </c>
      <c r="O8" s="75">
        <f t="shared" si="3"/>
        <v>0</v>
      </c>
      <c r="P8" s="76">
        <f t="shared" si="4"/>
        <v>0</v>
      </c>
      <c r="Q8" s="804">
        <v>0.25</v>
      </c>
      <c r="R8" s="77">
        <f ca="1">SUMIF('数据-汇总表'!C$19:C$33,A8,'数据-汇总表'!R$19:R$27)</f>
        <v>0</v>
      </c>
      <c r="S8" s="54">
        <f>IF('数据-汇总表'!$I$17="按面积比例",SUMIF('数据-汇总表'!C$19:C$33,A8,'数据-汇总表'!K$19:K$33),SUMIF('数据-汇总表'!C$19:C$33,A8,'数据-汇总表'!N$19:N$33))</f>
        <v>0</v>
      </c>
      <c r="T8" s="1443">
        <f t="shared" si="5"/>
        <v>0</v>
      </c>
      <c r="U8" s="805">
        <v>3</v>
      </c>
      <c r="V8" s="806">
        <v>0.03</v>
      </c>
      <c r="W8" s="806">
        <v>0.1</v>
      </c>
      <c r="X8" s="1261"/>
      <c r="Y8" s="807">
        <v>1</v>
      </c>
      <c r="Z8" s="81"/>
      <c r="AA8" s="74"/>
      <c r="AB8" s="74"/>
      <c r="AC8" s="1261"/>
      <c r="AD8" s="82"/>
      <c r="AE8" s="1262">
        <f t="shared" ca="1" si="6"/>
        <v>36.78</v>
      </c>
      <c r="AF8" s="1803"/>
      <c r="AG8" s="147">
        <f t="shared" si="7"/>
        <v>0</v>
      </c>
      <c r="AH8" s="808"/>
      <c r="AI8" s="85">
        <v>365</v>
      </c>
      <c r="AJ8" s="86"/>
      <c r="AK8" s="809">
        <v>1.4999999999999999E-2</v>
      </c>
      <c r="AL8" s="810">
        <v>1.5E-3</v>
      </c>
      <c r="AM8" s="811">
        <v>0.01</v>
      </c>
      <c r="AN8" s="2305" t="s">
        <v>5396</v>
      </c>
      <c r="AO8" s="55">
        <f t="shared" ca="1" si="8"/>
        <v>0</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2006</v>
      </c>
      <c r="B14" s="2303" t="s">
        <v>2007</v>
      </c>
      <c r="C14" s="2308" t="s">
        <v>2006</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2008</v>
      </c>
      <c r="B15" s="2303" t="s">
        <v>2007</v>
      </c>
      <c r="C15" s="2308"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2010</v>
      </c>
      <c r="B16" s="97"/>
      <c r="C16" s="1005"/>
      <c r="D16" s="2310"/>
      <c r="E16" s="97"/>
      <c r="F16" s="97"/>
      <c r="G16" s="98">
        <f>ROUND(SUMPRODUCT(G6:G13,K6:K13)/SUMPRODUCT((G6:G13&gt;0)*(K6:K13)),3)</f>
        <v>0.997</v>
      </c>
      <c r="H16" s="99">
        <f>ROUND(SUMPRODUCT(H6:H13,K6:K13)/SUMPRODUCT((H6:H13&gt;0)*(K6:K13)),3)</f>
        <v>4.4999999999999998E-2</v>
      </c>
      <c r="I16" s="100"/>
      <c r="J16" s="100"/>
      <c r="K16" s="101">
        <f>SUM(K6:K15)</f>
        <v>35526.120000000024</v>
      </c>
      <c r="L16" s="102">
        <f>ROUND(M16*10000/SUM(K6:K14),0)</f>
        <v>3000</v>
      </c>
      <c r="M16" s="102">
        <f>SUM(M6:M14)</f>
        <v>10658</v>
      </c>
      <c r="N16" s="103">
        <f>ROUND(SUMPRODUCT(M6:M14,N6:N14)/M16,3)</f>
        <v>0.1</v>
      </c>
      <c r="O16" s="102">
        <f>SUM(O6:O14)</f>
        <v>1066</v>
      </c>
      <c r="P16" s="102">
        <f>SUM(P6:P14)</f>
        <v>9592</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6"/>
      <c r="C18" s="2273"/>
      <c r="D18" s="2274"/>
      <c r="E18" s="2273"/>
      <c r="F18" s="2273"/>
      <c r="G18" s="2273"/>
      <c r="H18" s="2273"/>
      <c r="I18" s="2273"/>
      <c r="J18" s="2273"/>
      <c r="K18" s="2962" t="s">
        <v>3184</v>
      </c>
      <c r="L18" s="3147" t="s">
        <v>3185</v>
      </c>
      <c r="M18" s="3147"/>
      <c r="N18" s="3147"/>
      <c r="O18" s="3148" t="s">
        <v>3186</v>
      </c>
      <c r="P18" s="3148"/>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2012</v>
      </c>
      <c r="B19" s="112"/>
      <c r="C19" s="2273" t="s">
        <v>2013</v>
      </c>
      <c r="D19" s="2274"/>
      <c r="E19" s="2273"/>
      <c r="F19" s="2273"/>
      <c r="G19" s="2273"/>
      <c r="H19" s="2273"/>
      <c r="I19" s="2273"/>
      <c r="J19" s="2273"/>
      <c r="K19" s="2963"/>
      <c r="L19" s="2964" t="s">
        <v>3187</v>
      </c>
      <c r="M19" s="2964" t="s">
        <v>3188</v>
      </c>
      <c r="N19" s="2964" t="s">
        <v>3189</v>
      </c>
      <c r="O19" s="3149"/>
      <c r="P19" s="3149"/>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2014</v>
      </c>
      <c r="B20" s="113">
        <v>2</v>
      </c>
      <c r="C20" s="2273" t="s">
        <v>2015</v>
      </c>
      <c r="D20" s="2274"/>
      <c r="E20" s="2273"/>
      <c r="F20" s="2273"/>
      <c r="G20" s="2273"/>
      <c r="H20" s="2273"/>
      <c r="I20" s="2273"/>
      <c r="J20" s="2273"/>
      <c r="K20" s="2965" t="s">
        <v>3190</v>
      </c>
      <c r="L20" s="2966">
        <v>1479</v>
      </c>
      <c r="M20" s="2966">
        <v>1925</v>
      </c>
      <c r="N20" s="2966">
        <v>2184</v>
      </c>
      <c r="O20" s="3150" t="s">
        <v>3191</v>
      </c>
      <c r="P20" s="3151"/>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2016</v>
      </c>
      <c r="B21" s="113">
        <v>0.2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2017</v>
      </c>
      <c r="B22" s="114">
        <f>B19+B20</f>
        <v>2</v>
      </c>
      <c r="C22" s="2273"/>
      <c r="D22" s="2274"/>
      <c r="E22" s="2273"/>
      <c r="F22" s="2273"/>
      <c r="G22" s="2273"/>
      <c r="H22" s="2273"/>
      <c r="I22" s="2273"/>
      <c r="J22" s="2273"/>
      <c r="K22" s="168"/>
      <c r="L22" s="3042" t="s">
        <v>5516</v>
      </c>
      <c r="M22" s="3043" t="s">
        <v>5517</v>
      </c>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2018</v>
      </c>
      <c r="B23" s="114">
        <f>B19+B21</f>
        <v>0.2</v>
      </c>
      <c r="C23" s="2273"/>
      <c r="D23" s="2274"/>
      <c r="E23" s="2273"/>
      <c r="F23" s="2273"/>
      <c r="G23" s="2273"/>
      <c r="H23" s="2273"/>
      <c r="I23" s="2273"/>
      <c r="J23" s="2273"/>
      <c r="K23" s="3042" t="s">
        <v>5514</v>
      </c>
      <c r="L23" s="168">
        <v>2000</v>
      </c>
      <c r="M23" s="1580">
        <v>1000</v>
      </c>
      <c r="N23" s="1580">
        <f>L23+M23</f>
        <v>3000</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2019</v>
      </c>
      <c r="B24" s="115">
        <f>B20-B21</f>
        <v>1.8</v>
      </c>
      <c r="C24" s="2273"/>
      <c r="D24" s="2274"/>
      <c r="E24" s="2273"/>
      <c r="F24" s="2273"/>
      <c r="G24" s="2273"/>
      <c r="H24" s="2273"/>
      <c r="I24" s="2273"/>
      <c r="J24" s="2273"/>
      <c r="K24" s="3042" t="s">
        <v>5515</v>
      </c>
      <c r="L24" s="168">
        <v>2000</v>
      </c>
      <c r="M24" s="1580">
        <v>1000</v>
      </c>
      <c r="N24" s="1580">
        <f>L24+M24</f>
        <v>3000</v>
      </c>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2020</v>
      </c>
      <c r="B26" s="2316" t="s">
        <v>2021</v>
      </c>
      <c r="C26" s="2317" t="s">
        <v>2022</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2023</v>
      </c>
      <c r="B27" s="116">
        <v>100</v>
      </c>
      <c r="C27" s="1763" t="s">
        <v>2024</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2025</v>
      </c>
      <c r="B28" s="119">
        <v>100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2026</v>
      </c>
      <c r="B29" s="121">
        <f ca="1">成本法!C9+成本法!C10</f>
        <v>355</v>
      </c>
      <c r="C29" s="1763" t="s">
        <v>2027</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2028</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2029</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2030</v>
      </c>
      <c r="B32" s="725"/>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2031</v>
      </c>
      <c r="B33" s="726">
        <v>0.03</v>
      </c>
      <c r="C33" s="1762" t="s">
        <v>2032</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2033</v>
      </c>
      <c r="B34" s="122">
        <v>0.03</v>
      </c>
      <c r="C34" s="1762" t="s">
        <v>2034</v>
      </c>
      <c r="D34" s="2274" t="s">
        <v>2035</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2036</v>
      </c>
      <c r="B35" s="119">
        <v>200</v>
      </c>
      <c r="C35" s="1762" t="s">
        <v>2037</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2038</v>
      </c>
      <c r="B36" s="123">
        <v>1.4999999999999999E-2</v>
      </c>
      <c r="C36" s="1762" t="s">
        <v>2039</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2040</v>
      </c>
      <c r="B37" s="124">
        <v>0.02</v>
      </c>
      <c r="C37" s="1762" t="s">
        <v>2041</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2042</v>
      </c>
      <c r="B38" s="122">
        <v>1.4999999999999999E-2</v>
      </c>
      <c r="C38" s="1762" t="s">
        <v>2041</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2043</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2044</v>
      </c>
      <c r="B40" s="1300">
        <f ca="1">存贷款利率!G1</f>
        <v>4.7500000000000001E-2</v>
      </c>
      <c r="C40" s="1762" t="s">
        <v>2045</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2046</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2047</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2048</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2049</v>
      </c>
      <c r="B44" s="128">
        <v>7.0000000000000007E-2</v>
      </c>
      <c r="C44" s="1762" t="s">
        <v>2050</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2051</v>
      </c>
      <c r="B45" s="126">
        <v>0.03</v>
      </c>
      <c r="C45" s="1763" t="s">
        <v>2052</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2053</v>
      </c>
      <c r="B46" s="126">
        <v>0.02</v>
      </c>
      <c r="C46" s="1763" t="s">
        <v>2054</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2055</v>
      </c>
      <c r="B47" s="129">
        <v>0</v>
      </c>
      <c r="C47" s="1763" t="s">
        <v>2056</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2057</v>
      </c>
      <c r="B48" s="130">
        <v>0.04</v>
      </c>
      <c r="C48" s="1770" t="s">
        <v>2058</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2059</v>
      </c>
      <c r="B49" s="126">
        <v>5.0000000000000001E-4</v>
      </c>
      <c r="C49" s="1770" t="s">
        <v>2060</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2061</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2062</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2063</v>
      </c>
      <c r="B52" s="133">
        <f>SUMIF(A54:A63,B53,B54:B63)</f>
        <v>4</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2064</v>
      </c>
      <c r="B53" s="2332" t="s">
        <v>137</v>
      </c>
      <c r="C53" s="1427" t="s">
        <v>2065</v>
      </c>
      <c r="D53" s="2333" t="s">
        <v>2066</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2067</v>
      </c>
      <c r="B54" s="84">
        <v>10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2068</v>
      </c>
      <c r="B55" s="84">
        <v>8</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2069</v>
      </c>
      <c r="B56" s="84">
        <v>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2070</v>
      </c>
      <c r="B57" s="84">
        <v>4</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2071</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2072</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2073</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2074</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2075</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2076</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mergeCells count="4">
    <mergeCell ref="L18:N18"/>
    <mergeCell ref="O18:P18"/>
    <mergeCell ref="O19:P19"/>
    <mergeCell ref="O20:P20"/>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7" t="str">
        <f>项目基本情况!B1</f>
        <v>湖北省武汉市东西湖区泾河街金北一路以北、吴新干线以东“佳兆业·悦府”居住项目局部出让国有建设用地使用权及在建建筑物房地产抵押价值预评估</v>
      </c>
      <c r="C37" s="3047"/>
      <c r="D37" s="3047"/>
      <c r="E37" s="3047"/>
      <c r="F37" s="3047"/>
      <c r="G37" s="3047"/>
      <c r="H37" s="3047"/>
      <c r="I37" s="3047"/>
    </row>
    <row r="38" spans="1:9">
      <c r="A38" s="1016"/>
      <c r="B38" s="1016"/>
    </row>
    <row r="39" spans="1:9">
      <c r="A39" s="1014" t="s">
        <v>818</v>
      </c>
      <c r="B39" s="1014" t="s">
        <v>820</v>
      </c>
    </row>
    <row r="40" spans="1:9">
      <c r="A40" s="1014"/>
      <c r="B40" s="1941" t="str">
        <f>项目基本情况!B5</f>
        <v>中诚信托有限责任公司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52" t="s">
        <v>2077</v>
      </c>
      <c r="B1" s="3153"/>
      <c r="C1" s="3153"/>
      <c r="D1" s="3153"/>
      <c r="E1" s="3153"/>
      <c r="F1" s="3153"/>
      <c r="G1" s="315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2078</v>
      </c>
      <c r="D2" s="2362"/>
      <c r="E2" s="2363"/>
      <c r="F2" s="2282"/>
      <c r="G2" s="2361" t="s">
        <v>2079</v>
      </c>
      <c r="H2" s="2364"/>
      <c r="I2" s="2364"/>
      <c r="J2" s="2364"/>
      <c r="K2" s="2364"/>
      <c r="L2" s="2364"/>
      <c r="M2" s="2364"/>
      <c r="N2" s="2364"/>
      <c r="O2" s="2364"/>
      <c r="P2" s="2364"/>
      <c r="Q2" s="2364"/>
      <c r="R2" s="2364"/>
    </row>
    <row r="3" spans="1:29" ht="54">
      <c r="A3" s="415" t="s">
        <v>2080</v>
      </c>
      <c r="B3" s="1268" t="s">
        <v>2081</v>
      </c>
      <c r="C3" s="2366" t="s">
        <v>2082</v>
      </c>
      <c r="D3" s="2367"/>
      <c r="E3" s="431" t="s">
        <v>2080</v>
      </c>
      <c r="F3" s="2368" t="s">
        <v>2083</v>
      </c>
      <c r="G3" s="2369" t="s">
        <v>2084</v>
      </c>
      <c r="H3" s="2364"/>
      <c r="I3" s="2364"/>
      <c r="J3" s="2364"/>
      <c r="K3" s="2364"/>
      <c r="L3" s="2364"/>
      <c r="M3" s="2364"/>
      <c r="N3" s="2364"/>
      <c r="O3" s="2364"/>
      <c r="P3" s="2364"/>
      <c r="Q3" s="2364"/>
      <c r="R3" s="2364"/>
    </row>
    <row r="4" spans="1:29" ht="41.25">
      <c r="A4" s="431"/>
      <c r="B4" s="1794" t="s">
        <v>2085</v>
      </c>
      <c r="C4" s="2370" t="s">
        <v>2086</v>
      </c>
      <c r="D4" s="2367"/>
      <c r="E4" s="2371"/>
      <c r="F4" s="42" t="s">
        <v>2087</v>
      </c>
      <c r="G4" s="2372" t="s">
        <v>2088</v>
      </c>
      <c r="H4" s="2364"/>
      <c r="I4" s="2364"/>
      <c r="J4" s="2364"/>
      <c r="K4" s="2364"/>
      <c r="L4" s="2364"/>
      <c r="M4" s="2364"/>
      <c r="N4" s="2364"/>
      <c r="O4" s="2364"/>
      <c r="P4" s="2364"/>
      <c r="Q4" s="2364"/>
      <c r="R4" s="2364"/>
    </row>
    <row r="5" spans="1:29" ht="41.25">
      <c r="A5" s="431"/>
      <c r="B5" s="1794" t="s">
        <v>2089</v>
      </c>
      <c r="C5" s="2370" t="s">
        <v>2090</v>
      </c>
      <c r="D5" s="2367"/>
      <c r="E5" s="2371"/>
      <c r="F5" s="1794" t="s">
        <v>2091</v>
      </c>
      <c r="G5" s="2372" t="s">
        <v>2092</v>
      </c>
      <c r="H5" s="2364"/>
      <c r="I5" s="2364"/>
      <c r="J5" s="2364"/>
      <c r="K5" s="2364"/>
      <c r="L5" s="2364"/>
      <c r="M5" s="2364"/>
      <c r="N5" s="2364"/>
      <c r="O5" s="2364"/>
      <c r="P5" s="2364"/>
      <c r="Q5" s="2364"/>
      <c r="R5" s="2364"/>
    </row>
    <row r="6" spans="1:29" ht="54">
      <c r="A6" s="431"/>
      <c r="B6" s="1794" t="s">
        <v>2093</v>
      </c>
      <c r="C6" s="2372" t="s">
        <v>2088</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372" t="s">
        <v>2092</v>
      </c>
      <c r="D7" s="2373"/>
      <c r="E7" s="2374"/>
      <c r="F7" s="2375" t="s">
        <v>2096</v>
      </c>
      <c r="G7" s="2376" t="s">
        <v>2097</v>
      </c>
      <c r="H7" s="2364"/>
      <c r="I7" s="2364"/>
      <c r="J7" s="2364"/>
      <c r="K7" s="2364"/>
      <c r="L7" s="2364"/>
      <c r="M7" s="2364"/>
      <c r="N7" s="2364"/>
      <c r="O7" s="2364"/>
      <c r="P7" s="2364"/>
      <c r="Q7" s="2364"/>
      <c r="R7" s="2364"/>
    </row>
    <row r="8" spans="1:29" ht="27">
      <c r="A8" s="431"/>
      <c r="B8" s="1794" t="s">
        <v>2094</v>
      </c>
      <c r="C8" s="2372" t="s">
        <v>2095</v>
      </c>
      <c r="D8" s="2373"/>
      <c r="E8" s="2373"/>
      <c r="F8" s="1133"/>
      <c r="G8" s="1133"/>
      <c r="H8" s="2364"/>
      <c r="I8" s="2364"/>
      <c r="J8" s="2364"/>
      <c r="K8" s="2364"/>
      <c r="L8" s="2364"/>
      <c r="M8" s="2364"/>
      <c r="N8" s="2364"/>
      <c r="O8" s="2364"/>
      <c r="P8" s="2364"/>
      <c r="Q8" s="2364"/>
      <c r="R8" s="2364"/>
    </row>
    <row r="9" spans="1:29" ht="27">
      <c r="A9" s="431"/>
      <c r="B9" s="1794" t="s">
        <v>2098</v>
      </c>
      <c r="C9" s="2370" t="s">
        <v>2099</v>
      </c>
      <c r="D9" s="2367"/>
      <c r="E9" s="2373"/>
      <c r="F9" s="1133"/>
      <c r="G9" s="1133"/>
      <c r="H9" s="2364"/>
      <c r="I9" s="2364"/>
      <c r="J9" s="2364"/>
      <c r="K9" s="2364"/>
      <c r="L9" s="2364"/>
      <c r="M9" s="2364"/>
      <c r="N9" s="2364"/>
      <c r="O9" s="2364"/>
      <c r="P9" s="2364"/>
      <c r="Q9" s="2364"/>
      <c r="R9" s="2364"/>
    </row>
    <row r="10" spans="1:29" s="117" customFormat="1" ht="15.75" thickBot="1">
      <c r="A10" s="2377"/>
      <c r="B10" s="2378" t="s">
        <v>2100</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57">
      <c r="A15" s="68" t="s">
        <v>2104</v>
      </c>
      <c r="B15" s="1267" t="s">
        <v>2081</v>
      </c>
      <c r="C15" s="2399" t="str">
        <f>C3</f>
        <v>估价对象周边居住用地比例、居住小区规模和社区发展完善程度，综合评价居住社区成熟度一般</v>
      </c>
      <c r="D15" s="2367"/>
      <c r="E15" s="2400" t="s">
        <v>2105</v>
      </c>
      <c r="F15" s="1267" t="s">
        <v>2106</v>
      </c>
      <c r="G15" s="135" t="str">
        <f>G3</f>
        <v>估价对象位于XX开发区，园区建设成熟度XX，产业集聚程度XX</v>
      </c>
    </row>
    <row r="16" spans="1:29" ht="42.75">
      <c r="A16" s="645"/>
      <c r="B16" s="2401" t="s">
        <v>2085</v>
      </c>
      <c r="C16" s="2402" t="str">
        <f>C4</f>
        <v>估价对象位于XX商圈，周边商业氛围成熟，人流量大，商业繁华度好</v>
      </c>
      <c r="D16" s="2367"/>
      <c r="E16" s="2403"/>
      <c r="F16" s="2404" t="s">
        <v>2087</v>
      </c>
      <c r="G16" s="136" t="str">
        <f>G4</f>
        <v>估价对象周边道路状况、公共交通通达情况、停车便捷程度，综合评价交通便捷度较好</v>
      </c>
    </row>
    <row r="17" spans="1:18" ht="42.75">
      <c r="A17" s="645"/>
      <c r="B17" s="2401" t="s">
        <v>2089</v>
      </c>
      <c r="C17" s="2402" t="str">
        <f>C5</f>
        <v>估价对象位于XX商圈，周边办公楼项目较多，入驻率高，办公集聚程度较好</v>
      </c>
      <c r="D17" s="2373"/>
      <c r="E17" s="2403"/>
      <c r="F17" s="2404" t="s">
        <v>2107</v>
      </c>
      <c r="G17" s="1568"/>
    </row>
    <row r="18" spans="1:18" ht="57">
      <c r="A18" s="645"/>
      <c r="B18" s="2404" t="s">
        <v>2093</v>
      </c>
      <c r="C18" s="136" t="str">
        <f>C6</f>
        <v>估价对象周边道路状况、公共交通通达情况、停车便捷程度，综合评价交通便捷度较好</v>
      </c>
      <c r="D18" s="2373"/>
      <c r="E18" s="2403"/>
      <c r="F18" s="2404" t="s">
        <v>2096</v>
      </c>
      <c r="G18" s="136" t="str">
        <f>G7</f>
        <v>该园区内是否有污染型企业，绿化情况，卫生条件，整体环境状况判断</v>
      </c>
    </row>
    <row r="19" spans="1:18" ht="28.5">
      <c r="A19" s="645"/>
      <c r="B19" s="2404" t="s">
        <v>2108</v>
      </c>
      <c r="C19" s="1568"/>
      <c r="D19" s="2367"/>
      <c r="E19" s="2403"/>
      <c r="F19" s="1794" t="s">
        <v>2091</v>
      </c>
      <c r="G19" s="136" t="str">
        <f>G5</f>
        <v>估价对象所在区域公共配套设施齐备情况</v>
      </c>
    </row>
    <row r="20" spans="1:18" ht="28.5">
      <c r="A20" s="645"/>
      <c r="B20" s="2404" t="s">
        <v>2109</v>
      </c>
      <c r="C20" s="2402" t="str">
        <f>C9</f>
        <v>区域自然环境：；人文环境；综合评价环境状况一般</v>
      </c>
      <c r="D20" s="2373"/>
      <c r="E20" s="2403"/>
      <c r="F20" s="1794" t="s">
        <v>2110</v>
      </c>
      <c r="G20" s="136" t="str">
        <f>G6</f>
        <v>估价对象所在区域基础设施水平</v>
      </c>
    </row>
    <row r="21" spans="1:18" ht="28.5">
      <c r="A21" s="645"/>
      <c r="B21" s="1794" t="s">
        <v>2091</v>
      </c>
      <c r="C21" s="136" t="str">
        <f>C7</f>
        <v>估价对象所在区域公共配套设施齐备情况</v>
      </c>
      <c r="D21" s="2367"/>
      <c r="E21" s="2403"/>
      <c r="F21" s="2404" t="s">
        <v>2111</v>
      </c>
      <c r="G21" s="2405"/>
    </row>
    <row r="22" spans="1:18" ht="13.5" customHeight="1">
      <c r="A22" s="645"/>
      <c r="B22" s="1794" t="s">
        <v>2094</v>
      </c>
      <c r="C22" s="136" t="str">
        <f>C8</f>
        <v>估价对象所在区域基础设施水平</v>
      </c>
      <c r="D22" s="2367"/>
      <c r="E22" s="2403"/>
      <c r="F22" s="2404" t="s">
        <v>2100</v>
      </c>
      <c r="G22" s="1568"/>
    </row>
    <row r="23" spans="1:18" s="2364"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5" sqref="E2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198562.24</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43601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128796</v>
      </c>
      <c r="C5" s="1742">
        <f ca="1">ROUND(B5*10000/$B$1,0)</f>
        <v>6486</v>
      </c>
      <c r="D5" s="1742" t="e">
        <f ca="1">ROUND(B5*10000/$B$2,0)</f>
        <v>#DIV/0!</v>
      </c>
      <c r="E5" s="1741"/>
      <c r="F5" s="1739"/>
      <c r="G5" s="1739"/>
    </row>
    <row r="6" spans="1:10" ht="16.5">
      <c r="A6" s="1742" t="s">
        <v>1352</v>
      </c>
      <c r="B6" s="1742">
        <f ca="1">SUM(G14:G23)</f>
        <v>128796</v>
      </c>
      <c r="C6" s="1742">
        <f ca="1">ROUND(B6*10000/$B$1,0)</f>
        <v>6486</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35526.120000000024</v>
      </c>
      <c r="C14" s="1740">
        <f>结果表!C118</f>
        <v>0</v>
      </c>
      <c r="D14" s="1740">
        <f ca="1">结果表!H118</f>
        <v>25267</v>
      </c>
      <c r="E14" s="1740">
        <f ca="1">ROUND(D14*10000/B14,0)</f>
        <v>7112</v>
      </c>
      <c r="F14" s="1740" t="e">
        <f ca="1">ROUND(D14*10000/C14,0)</f>
        <v>#DIV/0!</v>
      </c>
      <c r="G14" s="1740">
        <f ca="1">结果表!D122</f>
        <v>25267</v>
      </c>
      <c r="H14" s="1740" t="str">
        <f>结果表!D124</f>
        <v>——</v>
      </c>
      <c r="I14" s="1740" t="str">
        <f>结果表!D126</f>
        <v>——</v>
      </c>
      <c r="J14" s="1739"/>
    </row>
    <row r="15" spans="1:10" ht="16.5">
      <c r="A15" s="1738" t="s">
        <v>1345</v>
      </c>
      <c r="B15" s="1745">
        <f>[1]系统读取表!$B$14</f>
        <v>28047.419999999991</v>
      </c>
      <c r="C15" s="1745">
        <f>[1]系统读取表!$C$14</f>
        <v>0</v>
      </c>
      <c r="D15" s="1745">
        <f ca="1">[1]系统读取表!$D$14</f>
        <v>20427</v>
      </c>
      <c r="E15" s="1740">
        <f t="shared" ref="E15:E23" ca="1" si="0">ROUND(D15*10000/B15,0)</f>
        <v>7283</v>
      </c>
      <c r="F15" s="1740" t="e">
        <f t="shared" ref="F15:F23" ca="1" si="1">ROUND(D15*10000/C15,0)</f>
        <v>#DIV/0!</v>
      </c>
      <c r="G15" s="1746">
        <f ca="1">D15</f>
        <v>20427</v>
      </c>
      <c r="H15" s="1746"/>
      <c r="I15" s="1745"/>
      <c r="J15" s="1739"/>
    </row>
    <row r="16" spans="1:10" ht="16.5">
      <c r="A16" s="1738" t="s">
        <v>1344</v>
      </c>
      <c r="B16" s="1745">
        <f>[2]系统读取表!$B$14</f>
        <v>131117.79999999996</v>
      </c>
      <c r="C16" s="1745">
        <f>[2]系统读取表!$C$14</f>
        <v>0</v>
      </c>
      <c r="D16" s="1745">
        <f ca="1">[2]系统读取表!$D$14</f>
        <v>80892</v>
      </c>
      <c r="E16" s="1740">
        <f t="shared" ca="1" si="0"/>
        <v>6169</v>
      </c>
      <c r="F16" s="1740" t="e">
        <f t="shared" ca="1" si="1"/>
        <v>#DIV/0!</v>
      </c>
      <c r="G16" s="1746">
        <f t="shared" ref="G16" ca="1" si="2">D16</f>
        <v>80892</v>
      </c>
      <c r="H16" s="1746"/>
      <c r="I16" s="1745"/>
    </row>
    <row r="17" spans="1:9" ht="16.5">
      <c r="A17" s="1738" t="s">
        <v>1343</v>
      </c>
      <c r="B17" s="1745">
        <f>[3]系统读取表!$B$14</f>
        <v>878.63999999999987</v>
      </c>
      <c r="C17" s="1745">
        <f>[3]系统读取表!$C$14</f>
        <v>0</v>
      </c>
      <c r="D17" s="1745">
        <f ca="1">[3]系统读取表!$D$14</f>
        <v>760</v>
      </c>
      <c r="E17" s="1740">
        <f t="shared" ca="1" si="0"/>
        <v>8650</v>
      </c>
      <c r="F17" s="1740" t="e">
        <f t="shared" ca="1" si="1"/>
        <v>#DIV/0!</v>
      </c>
      <c r="G17" s="1746">
        <f ca="1">[3]系统读取表!$G$14</f>
        <v>760</v>
      </c>
      <c r="H17" s="1746"/>
      <c r="I17" s="1745"/>
    </row>
    <row r="18" spans="1:9" ht="16.5">
      <c r="A18" s="1738" t="s">
        <v>1342</v>
      </c>
      <c r="B18" s="1745">
        <f>[4]系统读取表!$B$14</f>
        <v>2992.26</v>
      </c>
      <c r="C18" s="1745">
        <f>[4]系统读取表!$C$14</f>
        <v>0</v>
      </c>
      <c r="D18" s="1745">
        <f ca="1">[4]系统读取表!$D$14</f>
        <v>1450</v>
      </c>
      <c r="E18" s="1740">
        <f t="shared" ca="1" si="0"/>
        <v>4846</v>
      </c>
      <c r="F18" s="1740" t="e">
        <f t="shared" ca="1" si="1"/>
        <v>#DIV/0!</v>
      </c>
      <c r="G18" s="1745">
        <f ca="1">[4]系统读取表!$G$14</f>
        <v>1450</v>
      </c>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2114</v>
      </c>
      <c r="B1" s="2415"/>
      <c r="C1" s="2416"/>
      <c r="D1" s="2415"/>
      <c r="E1" s="2415"/>
      <c r="F1" s="2417" t="s">
        <v>2115</v>
      </c>
      <c r="G1" s="2067" t="s">
        <v>2116</v>
      </c>
      <c r="H1" s="2418" t="str">
        <f>IF(G1="现房","——","估价对象范围")</f>
        <v>估价对象范围</v>
      </c>
      <c r="I1" s="2419" t="s">
        <v>3194</v>
      </c>
    </row>
    <row r="2" spans="1:12" ht="21.75" customHeight="1" thickBot="1">
      <c r="A2" s="3226" t="str">
        <f>项目基本情况!S2</f>
        <v>湖北省武汉市东西湖区泾河街金北一路以北、吴新干线以东“佳兆业·悦府”居住项目局部出让国有建设用地使用权及在建建筑物房地产</v>
      </c>
      <c r="B2" s="3227"/>
      <c r="C2" s="3227"/>
      <c r="D2" s="3227"/>
      <c r="E2" s="3227"/>
      <c r="F2" s="3227"/>
      <c r="G2" s="3227"/>
      <c r="H2" s="3227"/>
      <c r="I2" s="3228"/>
    </row>
    <row r="3" spans="1:12" ht="12.75">
      <c r="A3" s="3229" t="s">
        <v>2117</v>
      </c>
      <c r="B3" s="3230"/>
      <c r="C3" s="3230"/>
      <c r="D3" s="3230"/>
      <c r="E3" s="3230"/>
      <c r="F3" s="3230"/>
      <c r="G3" s="3230"/>
      <c r="H3" s="3230"/>
      <c r="I3" s="3230"/>
    </row>
    <row r="4" spans="1:12" ht="14.25">
      <c r="A4" s="2422" t="s">
        <v>2118</v>
      </c>
      <c r="B4" s="2423" t="s">
        <v>2119</v>
      </c>
      <c r="C4" s="2424" t="s">
        <v>3192</v>
      </c>
      <c r="D4" s="2424" t="s">
        <v>3193</v>
      </c>
      <c r="E4" s="3210" t="s">
        <v>2120</v>
      </c>
      <c r="F4" s="3223"/>
      <c r="G4" s="3223"/>
      <c r="H4" s="3223"/>
      <c r="I4" s="321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201" t="s">
        <v>2121</v>
      </c>
      <c r="B5" s="3113">
        <v>25</v>
      </c>
      <c r="C5" s="3231"/>
      <c r="D5" s="3219"/>
      <c r="E5" s="140" t="s">
        <v>2122</v>
      </c>
      <c r="F5" s="2426"/>
      <c r="G5" s="2426"/>
      <c r="H5" s="2426"/>
      <c r="I5" s="1830"/>
    </row>
    <row r="6" spans="1:12" ht="12.75">
      <c r="A6" s="3201"/>
      <c r="B6" s="3113"/>
      <c r="C6" s="3233"/>
      <c r="D6" s="3219"/>
      <c r="E6" s="140" t="s">
        <v>2123</v>
      </c>
      <c r="F6" s="2426"/>
      <c r="G6" s="2426"/>
      <c r="H6" s="2426"/>
      <c r="I6" s="1830"/>
    </row>
    <row r="7" spans="1:12" ht="12.75">
      <c r="A7" s="3201"/>
      <c r="B7" s="3113"/>
      <c r="C7" s="3232"/>
      <c r="D7" s="3219"/>
      <c r="E7" s="140" t="s">
        <v>2124</v>
      </c>
      <c r="F7" s="2426"/>
      <c r="G7" s="2426"/>
      <c r="H7" s="2426"/>
      <c r="I7" s="1830"/>
    </row>
    <row r="8" spans="1:12" ht="12.75">
      <c r="A8" s="3201" t="s">
        <v>2125</v>
      </c>
      <c r="B8" s="3113">
        <v>15</v>
      </c>
      <c r="C8" s="3231"/>
      <c r="D8" s="3219"/>
      <c r="E8" s="140" t="s">
        <v>2126</v>
      </c>
      <c r="F8" s="2426"/>
      <c r="G8" s="2426"/>
      <c r="H8" s="2426"/>
      <c r="I8" s="1830"/>
    </row>
    <row r="9" spans="1:12" ht="12.75">
      <c r="A9" s="3201"/>
      <c r="B9" s="3113"/>
      <c r="C9" s="3232"/>
      <c r="D9" s="3219"/>
      <c r="E9" s="140" t="s">
        <v>2127</v>
      </c>
      <c r="F9" s="2426"/>
      <c r="G9" s="2426"/>
      <c r="H9" s="2426"/>
      <c r="I9" s="1830"/>
    </row>
    <row r="10" spans="1:12" ht="12.75">
      <c r="A10" s="3201" t="s">
        <v>2128</v>
      </c>
      <c r="B10" s="3113">
        <v>15</v>
      </c>
      <c r="C10" s="3231"/>
      <c r="D10" s="3219"/>
      <c r="E10" s="140" t="s">
        <v>2129</v>
      </c>
      <c r="F10" s="2426"/>
      <c r="G10" s="2426"/>
      <c r="H10" s="2426"/>
      <c r="I10" s="1830"/>
    </row>
    <row r="11" spans="1:12" ht="12.75">
      <c r="A11" s="3201"/>
      <c r="B11" s="3113"/>
      <c r="C11" s="3232"/>
      <c r="D11" s="3219"/>
      <c r="E11" s="140" t="s">
        <v>2130</v>
      </c>
      <c r="F11" s="2426"/>
      <c r="G11" s="2426"/>
      <c r="H11" s="2426"/>
      <c r="I11" s="1830"/>
    </row>
    <row r="12" spans="1:12" ht="12.75">
      <c r="A12" s="3201" t="s">
        <v>2131</v>
      </c>
      <c r="B12" s="3113">
        <v>15</v>
      </c>
      <c r="C12" s="3231"/>
      <c r="D12" s="3219"/>
      <c r="E12" s="140" t="s">
        <v>2132</v>
      </c>
      <c r="F12" s="2426"/>
      <c r="G12" s="2426"/>
      <c r="H12" s="2426"/>
      <c r="I12" s="1830"/>
    </row>
    <row r="13" spans="1:12" ht="12.75">
      <c r="A13" s="3201"/>
      <c r="B13" s="3113"/>
      <c r="C13" s="3232"/>
      <c r="D13" s="3219"/>
      <c r="E13" s="140" t="s">
        <v>2133</v>
      </c>
      <c r="F13" s="2426"/>
      <c r="G13" s="2426"/>
      <c r="H13" s="2426"/>
      <c r="I13" s="1830"/>
    </row>
    <row r="14" spans="1:12" ht="12.75">
      <c r="A14" s="3201" t="s">
        <v>2134</v>
      </c>
      <c r="B14" s="3113">
        <v>30</v>
      </c>
      <c r="C14" s="3231">
        <v>5</v>
      </c>
      <c r="D14" s="3219">
        <v>5</v>
      </c>
      <c r="E14" s="140" t="s">
        <v>2135</v>
      </c>
      <c r="F14" s="2426"/>
      <c r="G14" s="2426"/>
      <c r="H14" s="2426"/>
      <c r="I14" s="1830"/>
    </row>
    <row r="15" spans="1:12" ht="12.75">
      <c r="A15" s="3201"/>
      <c r="B15" s="3113"/>
      <c r="C15" s="3233"/>
      <c r="D15" s="3219"/>
      <c r="E15" s="140" t="s">
        <v>2136</v>
      </c>
      <c r="F15" s="2426"/>
      <c r="G15" s="2426"/>
      <c r="H15" s="2426"/>
      <c r="I15" s="1830"/>
    </row>
    <row r="16" spans="1:12" ht="12.75">
      <c r="A16" s="3201"/>
      <c r="B16" s="3113"/>
      <c r="C16" s="3232"/>
      <c r="D16" s="3219"/>
      <c r="E16" s="140" t="s">
        <v>2137</v>
      </c>
      <c r="F16" s="2426"/>
      <c r="G16" s="2426"/>
      <c r="H16" s="2426"/>
      <c r="I16" s="1830"/>
    </row>
    <row r="17" spans="1:35" ht="15">
      <c r="A17" s="2427" t="s">
        <v>2138</v>
      </c>
      <c r="B17" s="64"/>
      <c r="C17" s="141">
        <f>SUM(C5:C16)</f>
        <v>5</v>
      </c>
      <c r="D17" s="141">
        <f>SUM(D5:D16)</f>
        <v>5</v>
      </c>
      <c r="E17" s="138"/>
      <c r="F17" s="138"/>
      <c r="G17" s="138"/>
      <c r="H17" s="138"/>
      <c r="I17" s="138"/>
      <c r="K17" s="2425"/>
      <c r="L17" s="2428" t="s">
        <v>2139</v>
      </c>
      <c r="M17" s="2428" t="s">
        <v>2140</v>
      </c>
    </row>
    <row r="18" spans="1:35" ht="15.75" thickBot="1">
      <c r="A18" s="2429" t="s">
        <v>2141</v>
      </c>
      <c r="B18" s="2430"/>
      <c r="C18" s="142">
        <f>ROUND(C17/SUM(C17:D17),2)</f>
        <v>0.5</v>
      </c>
      <c r="D18" s="142">
        <f>1-C18</f>
        <v>0.5</v>
      </c>
      <c r="E18" s="138"/>
      <c r="F18" s="138"/>
      <c r="G18" s="138"/>
      <c r="H18" s="138"/>
      <c r="I18" s="138"/>
      <c r="K18" s="2425" t="s">
        <v>2142</v>
      </c>
      <c r="L18" s="2425">
        <f>IF(C1="",'数据-汇总表'!E3,SUMIF(项目类型,C1,'数据-汇总表'!E17:E26)+SUMIF(项目类型,C1,'数据-汇总表'!I17:I26))</f>
        <v>35526.120000000024</v>
      </c>
      <c r="M18" s="2425">
        <f>IF(C1="",'数据-汇总表'!E3,SUMIF(项目类型,C1,'数据-汇总表'!E17:E26))</f>
        <v>35526.120000000024</v>
      </c>
    </row>
    <row r="19" spans="1:35" ht="15">
      <c r="A19" s="2431" t="s">
        <v>2143</v>
      </c>
      <c r="B19" s="2432" t="s">
        <v>2144</v>
      </c>
      <c r="C19" s="143">
        <f ca="1">SUMIF(INDIRECT("'"&amp;C4&amp;"'"&amp;"!A:A"),结果表!B19,INDIRECT("'"&amp;C4&amp;"'"&amp;"!B:B"))</f>
        <v>26658</v>
      </c>
      <c r="D19" s="144">
        <f ca="1">SUMIF(INDIRECT("'"&amp;D4&amp;"'"&amp;"!A:A"),结果表!B19,INDIRECT("'"&amp;D4&amp;"'"&amp;"!B:B"))</f>
        <v>23875</v>
      </c>
      <c r="E19" s="2431" t="s">
        <v>2145</v>
      </c>
      <c r="F19" s="2432" t="s">
        <v>2144</v>
      </c>
      <c r="G19" s="145">
        <f ca="1">ROUND(C19*$C$18+D19*$D$18,0)</f>
        <v>25267</v>
      </c>
      <c r="H19" s="2433" t="s">
        <v>2146</v>
      </c>
      <c r="I19" s="138"/>
      <c r="K19" s="2425" t="s">
        <v>2147</v>
      </c>
      <c r="L19" s="2425">
        <f>IF(C1="",'数据-汇总表'!D3,SUMIF(项目类型,C1,'数据-汇总表'!D17:D26)+SUMIF(项目类型,C1,'数据-汇总表'!H17:H27))</f>
        <v>0</v>
      </c>
      <c r="M19" s="2425">
        <f>IF(C1="",'数据-汇总表'!D3,SUMIF(项目类型,C1,'数据-汇总表'!D17:D26))</f>
        <v>0</v>
      </c>
    </row>
    <row r="20" spans="1:35" ht="15">
      <c r="A20" s="2434"/>
      <c r="B20" s="1247" t="s">
        <v>2148</v>
      </c>
      <c r="C20" s="146">
        <f ca="1">SUMIF(INDIRECT("'"&amp;C4&amp;"'"&amp;"!A:A"),结果表!B20,INDIRECT("'"&amp;C4&amp;"'"&amp;"!B:B"))</f>
        <v>7504</v>
      </c>
      <c r="D20" s="147">
        <f ca="1">SUMIF(INDIRECT("'"&amp;D4&amp;"'"&amp;"!A:A"),结果表!B20,INDIRECT("'"&amp;D4&amp;"'"&amp;"!B:B"))</f>
        <v>6720</v>
      </c>
      <c r="E20" s="2434"/>
      <c r="F20" s="1247" t="s">
        <v>2148</v>
      </c>
      <c r="G20" s="148">
        <f ca="1">ROUND(C20*$C$18+D20*$D$18,0)</f>
        <v>7112</v>
      </c>
      <c r="H20" s="980" t="s">
        <v>2149</v>
      </c>
      <c r="I20" s="138"/>
    </row>
    <row r="21" spans="1:35" ht="15" customHeight="1" thickBot="1">
      <c r="A21" s="1000"/>
      <c r="B21" s="2435" t="s">
        <v>2150</v>
      </c>
      <c r="C21" s="789" t="e">
        <f ca="1">ROUND(C19*10000/L19,0)</f>
        <v>#DIV/0!</v>
      </c>
      <c r="D21" s="790" t="e">
        <f ca="1">ROUND(D19*10000/L19,0)</f>
        <v>#DIV/0!</v>
      </c>
      <c r="E21" s="1000"/>
      <c r="F21" s="2435" t="s">
        <v>2150</v>
      </c>
      <c r="G21" s="149" t="e">
        <f ca="1">ROUND(G19*10000/L19,0)</f>
        <v>#DIV/0!</v>
      </c>
      <c r="H21" s="2436" t="s">
        <v>2149</v>
      </c>
      <c r="I21" s="138"/>
    </row>
    <row r="22" spans="1:35" ht="15" thickBot="1">
      <c r="A22" s="2277" t="s">
        <v>2151</v>
      </c>
      <c r="B22" s="2437"/>
      <c r="C22" s="2438"/>
      <c r="D22" s="791">
        <f ca="1">IF(C19&lt;D19,D19/C19-1,C19/D19-1)</f>
        <v>0.11656544502617794</v>
      </c>
      <c r="E22" s="138"/>
      <c r="F22" s="138"/>
      <c r="G22" s="138"/>
      <c r="H22" s="138"/>
      <c r="I22" s="138"/>
    </row>
    <row r="23" spans="1:35" ht="13.5" thickBot="1">
      <c r="A23" s="2415"/>
      <c r="B23" s="2415"/>
      <c r="C23" s="2415"/>
      <c r="D23" s="2415"/>
      <c r="E23" s="138"/>
      <c r="F23" s="138"/>
      <c r="G23" s="138"/>
      <c r="H23" s="138"/>
      <c r="I23" s="138"/>
    </row>
    <row r="24" spans="1:35" ht="14.25">
      <c r="A24" s="3240" t="s">
        <v>2152</v>
      </c>
      <c r="B24" s="2432" t="s">
        <v>2144</v>
      </c>
      <c r="C24" s="145">
        <f>IF(B30=0,0,D30)</f>
        <v>0</v>
      </c>
      <c r="D24" s="2439"/>
      <c r="E24" s="138"/>
      <c r="F24" s="138"/>
      <c r="G24" s="138"/>
      <c r="H24" s="138"/>
      <c r="I24" s="138"/>
    </row>
    <row r="25" spans="1:35" ht="14.25">
      <c r="A25" s="3241"/>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3" t="s">
        <v>3030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25267</v>
      </c>
      <c r="D32" s="2446" t="s">
        <v>2159</v>
      </c>
      <c r="E32" s="138"/>
      <c r="F32" s="138"/>
      <c r="G32" s="138"/>
      <c r="H32" s="138"/>
      <c r="I32" s="138"/>
    </row>
    <row r="33" spans="1:15" ht="15">
      <c r="A33" s="957" t="s">
        <v>2160</v>
      </c>
      <c r="B33" s="2447"/>
      <c r="C33" s="2448" t="s">
        <v>3195</v>
      </c>
      <c r="D33" s="2449" t="s">
        <v>3192</v>
      </c>
      <c r="E33" s="2450" t="s">
        <v>2161</v>
      </c>
      <c r="F33" s="2451" t="str">
        <f>IF(D32="楼面单价","取值（单价）","取值（总价）")</f>
        <v>取值（总价）</v>
      </c>
      <c r="G33" s="138"/>
      <c r="H33" s="138"/>
      <c r="I33" s="138"/>
    </row>
    <row r="34" spans="1:15" ht="15">
      <c r="A34" s="2452"/>
      <c r="B34" s="2453" t="s">
        <v>2162</v>
      </c>
      <c r="C34" s="157">
        <f ca="1">IF(C33="自定义",F34,C32-C35)</f>
        <v>23877</v>
      </c>
      <c r="D34" s="1055">
        <f ca="1">IF(C33="自定义",ROUND(C34/C32,3),IF(C33="收益比率",SUMIF(INDIRECT("'"&amp;D33&amp;"'"&amp;"!b:b"),"土地收益比率",INDIRECT("'"&amp;D33&amp;"'"&amp;"!c:c")),SUMIF(INDIRECT("'"&amp;D33&amp;"'"&amp;"!b:b"),"土地成本比率",INDIRECT("'"&amp;D33&amp;"'"&amp;"!c:c"))))</f>
        <v>0.94499999999999995</v>
      </c>
      <c r="E34" s="2454" t="s">
        <v>2163</v>
      </c>
      <c r="F34" s="1735"/>
      <c r="G34" s="138"/>
      <c r="H34" s="138"/>
      <c r="I34" s="138"/>
    </row>
    <row r="35" spans="1:15" ht="15.75" thickBot="1">
      <c r="A35" s="2455"/>
      <c r="B35" s="2456" t="s">
        <v>2164</v>
      </c>
      <c r="C35" s="1441">
        <f ca="1">IF(C33="自定义",F35,ROUND(C32*D35,0))</f>
        <v>1390</v>
      </c>
      <c r="D35" s="1442">
        <f ca="1">IF(C33="自定义",ROUND(C35/C32,3),IF(C33="收益比率",SUMIF(INDIRECT("'"&amp;D33&amp;"'"&amp;"!b:b"),"建筑物收益比率",INDIRECT("'"&amp;D33&amp;"'"&amp;"!c:c")),SUMIF(INDIRECT("'"&amp;D33&amp;"'"&amp;"!b:b"),"建筑物成本比率",INDIRECT("'"&amp;D33&amp;"'"&amp;"!c:c"))))</f>
        <v>5.5E-2</v>
      </c>
      <c r="E35" s="2457" t="s">
        <v>2165</v>
      </c>
      <c r="F35" s="163"/>
      <c r="G35" s="138"/>
      <c r="H35" s="138"/>
      <c r="I35" s="138"/>
    </row>
    <row r="36" spans="1:15" ht="15.75" thickBot="1">
      <c r="A36" s="3220" t="s">
        <v>2166</v>
      </c>
      <c r="B36" s="2458" t="s">
        <v>2167</v>
      </c>
      <c r="C36" s="154"/>
      <c r="D36" s="2459"/>
      <c r="E36" s="2460"/>
      <c r="F36" s="2461"/>
      <c r="G36" s="138"/>
      <c r="H36" s="138"/>
      <c r="I36" s="138"/>
    </row>
    <row r="37" spans="1:15" ht="15.75" thickBot="1">
      <c r="A37" s="3221"/>
      <c r="B37" s="2263" t="s">
        <v>2168</v>
      </c>
      <c r="C37" s="156"/>
      <c r="D37" s="1392"/>
      <c r="E37" s="1392"/>
      <c r="F37" s="2461"/>
      <c r="G37" s="138"/>
      <c r="H37" s="138"/>
      <c r="I37" s="138"/>
    </row>
    <row r="38" spans="1:15" ht="15.75" thickBot="1">
      <c r="A38" s="3222"/>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237" t="s">
        <v>2180</v>
      </c>
      <c r="B45" s="3238"/>
      <c r="C45" s="3239"/>
      <c r="D45" s="164">
        <f ca="1">ROUND(H101*F45,0)</f>
        <v>25267</v>
      </c>
      <c r="E45" s="165" t="s">
        <v>2181</v>
      </c>
      <c r="F45" s="166">
        <v>1</v>
      </c>
      <c r="G45" s="167" t="s">
        <v>2182</v>
      </c>
      <c r="H45" s="138"/>
      <c r="I45" s="138"/>
      <c r="J45" s="3156" t="s">
        <v>2183</v>
      </c>
      <c r="K45" s="3156"/>
      <c r="L45" s="3156"/>
      <c r="M45" s="3156"/>
      <c r="N45" s="3156"/>
      <c r="O45" s="3156"/>
    </row>
    <row r="46" spans="1:15" ht="14.25" customHeight="1">
      <c r="A46" s="3234" t="s">
        <v>2184</v>
      </c>
      <c r="B46" s="3235"/>
      <c r="C46" s="3235"/>
      <c r="D46" s="3235"/>
      <c r="E46" s="3235"/>
      <c r="F46" s="3235"/>
      <c r="G46" s="3236"/>
      <c r="H46" s="2477"/>
      <c r="I46" s="168"/>
      <c r="J46" s="1808">
        <v>1</v>
      </c>
      <c r="K46" s="3156" t="s">
        <v>2185</v>
      </c>
      <c r="L46" s="3156"/>
      <c r="M46" s="3157"/>
      <c r="N46" s="3157"/>
      <c r="O46" s="3157"/>
    </row>
    <row r="47" spans="1:15" ht="12" customHeight="1">
      <c r="A47" s="169" t="s">
        <v>2186</v>
      </c>
      <c r="B47" s="170"/>
      <c r="C47" s="171"/>
      <c r="D47" s="172" t="s">
        <v>2187</v>
      </c>
      <c r="E47" s="24" t="s">
        <v>2188</v>
      </c>
      <c r="F47" s="173" t="s">
        <v>2189</v>
      </c>
      <c r="G47" s="174" t="s">
        <v>2190</v>
      </c>
      <c r="H47" s="2477"/>
      <c r="I47" s="168"/>
      <c r="J47" s="1808">
        <v>2</v>
      </c>
      <c r="K47" s="3156" t="s">
        <v>2191</v>
      </c>
      <c r="L47" s="3156"/>
      <c r="M47" s="3158">
        <f>'数据-取费表'!B2</f>
        <v>43601</v>
      </c>
      <c r="N47" s="3158"/>
      <c r="O47" s="3158"/>
    </row>
    <row r="48" spans="1:15" ht="25.5">
      <c r="A48" s="3224" t="s">
        <v>2192</v>
      </c>
      <c r="B48" s="3225"/>
      <c r="C48" s="3225"/>
      <c r="D48" s="140">
        <f>IF(H48="情况1",0,IF(H48="情况2",D52,IF(H48="情况3",D53,IF(H48="情况4",D54))))</f>
        <v>0</v>
      </c>
      <c r="E48" s="1797" t="str">
        <f>IF(H48="情况4","(销售额-原购置价)×税（费）率","销售额×税（费）率")</f>
        <v>销售额×税（费）率</v>
      </c>
      <c r="F48" s="175" t="str">
        <f>IF(H48="情况1","免征",'数据-取费表'!B41)</f>
        <v>免征</v>
      </c>
      <c r="G48" s="2478" t="s">
        <v>2193</v>
      </c>
      <c r="H48" s="2479" t="s">
        <v>2194</v>
      </c>
      <c r="I48" s="2477"/>
      <c r="J48" s="1808">
        <v>3</v>
      </c>
      <c r="K48" s="3156" t="s">
        <v>2195</v>
      </c>
      <c r="L48" s="3156"/>
      <c r="M48" s="3159">
        <f ca="1">H101</f>
        <v>25267</v>
      </c>
      <c r="N48" s="3159"/>
      <c r="O48" s="3159"/>
    </row>
    <row r="49" spans="1:35" ht="25.5" customHeight="1">
      <c r="A49" s="176" t="s">
        <v>2196</v>
      </c>
      <c r="B49" s="3204" t="s">
        <v>2197</v>
      </c>
      <c r="C49" s="3204"/>
      <c r="D49" s="177">
        <v>0</v>
      </c>
      <c r="E49" s="23" t="s">
        <v>2198</v>
      </c>
      <c r="F49" s="28" t="s">
        <v>34</v>
      </c>
      <c r="G49" s="3185"/>
      <c r="H49" s="138"/>
      <c r="I49" s="2480"/>
      <c r="J49" s="1808">
        <v>4</v>
      </c>
      <c r="K49" s="3156" t="str">
        <f>IF(项目基本情况!E8="房地产抵押价值","房地产抵押价值","抵押担保权已注销时的房地产抵押价值")</f>
        <v>房地产抵押价值</v>
      </c>
      <c r="L49" s="3156"/>
      <c r="M49" s="3159">
        <f ca="1">IF(项目基本情况!E8="房地产抵押价值",H107,H109)</f>
        <v>25267</v>
      </c>
      <c r="N49" s="3159"/>
      <c r="O49" s="3159"/>
    </row>
    <row r="50" spans="1:35" ht="25.5" customHeight="1">
      <c r="A50" s="178"/>
      <c r="B50" s="3204" t="s">
        <v>2199</v>
      </c>
      <c r="C50" s="3204"/>
      <c r="D50" s="179"/>
      <c r="E50" s="31"/>
      <c r="F50" s="180"/>
      <c r="G50" s="3186"/>
      <c r="H50" s="138"/>
      <c r="I50" s="2480"/>
      <c r="J50" s="3156" t="s">
        <v>2200</v>
      </c>
      <c r="K50" s="3156"/>
      <c r="L50" s="3156"/>
      <c r="M50" s="3156"/>
      <c r="N50" s="3156"/>
      <c r="O50" s="3156"/>
    </row>
    <row r="51" spans="1:35" ht="12" customHeight="1">
      <c r="A51" s="181"/>
      <c r="B51" s="3204" t="s">
        <v>2201</v>
      </c>
      <c r="C51" s="3204"/>
      <c r="D51" s="182"/>
      <c r="E51" s="30"/>
      <c r="F51" s="180"/>
      <c r="G51" s="3187"/>
      <c r="H51" s="138"/>
      <c r="I51" s="2480"/>
      <c r="J51" s="2481" t="s">
        <v>2202</v>
      </c>
      <c r="K51" s="3156" t="s">
        <v>2203</v>
      </c>
      <c r="L51" s="3156"/>
      <c r="M51" s="2481" t="s">
        <v>2204</v>
      </c>
      <c r="N51" s="2481" t="s">
        <v>2205</v>
      </c>
      <c r="O51" s="2481" t="s">
        <v>2206</v>
      </c>
    </row>
    <row r="52" spans="1:35" ht="24" customHeight="1">
      <c r="A52" s="183" t="s">
        <v>2207</v>
      </c>
      <c r="B52" s="3204" t="s">
        <v>2208</v>
      </c>
      <c r="C52" s="3204"/>
      <c r="D52" s="182">
        <f ca="1">ROUND(D45*'数据-取费表'!B41/(1+'数据-取费表'!C42),0)</f>
        <v>1348</v>
      </c>
      <c r="E52" s="11" t="s">
        <v>2209</v>
      </c>
      <c r="F52" s="184">
        <f>'数据-取费表'!B41</f>
        <v>5.6000000000000001E-2</v>
      </c>
      <c r="G52" s="2482"/>
      <c r="H52" s="138"/>
      <c r="I52" s="2480"/>
      <c r="J52" s="1808">
        <v>1</v>
      </c>
      <c r="K52" s="3179" t="s">
        <v>2210</v>
      </c>
      <c r="L52" s="3179"/>
      <c r="M52" s="1750">
        <f>D48</f>
        <v>0</v>
      </c>
      <c r="N52" s="1808" t="str">
        <f>E48</f>
        <v>销售额×税（费）率</v>
      </c>
      <c r="O52" s="1751" t="str">
        <f>F48</f>
        <v>免征</v>
      </c>
    </row>
    <row r="53" spans="1:35" ht="12" customHeight="1">
      <c r="A53" s="183" t="s">
        <v>2211</v>
      </c>
      <c r="B53" s="3205" t="s">
        <v>2212</v>
      </c>
      <c r="C53" s="3206"/>
      <c r="D53" s="182">
        <f ca="1">ROUND(D45*'数据-取费表'!B41/(1+'数据-取费表'!C42),0)</f>
        <v>1348</v>
      </c>
      <c r="E53" s="11" t="s">
        <v>2209</v>
      </c>
      <c r="F53" s="184">
        <f>'数据-取费表'!B41</f>
        <v>5.6000000000000001E-2</v>
      </c>
      <c r="G53" s="2482"/>
      <c r="H53" s="138"/>
      <c r="I53" s="2480"/>
      <c r="J53" s="1808">
        <v>2</v>
      </c>
      <c r="K53" s="3179" t="s">
        <v>2213</v>
      </c>
      <c r="L53" s="3179"/>
      <c r="M53" s="1750">
        <f t="shared" ref="M53:O54" ca="1" si="0">D55</f>
        <v>13</v>
      </c>
      <c r="N53" s="1808" t="str">
        <f t="shared" si="0"/>
        <v>销售额×税（费）率</v>
      </c>
      <c r="O53" s="1751">
        <f t="shared" si="0"/>
        <v>5.0000000000000001E-4</v>
      </c>
    </row>
    <row r="54" spans="1:35" ht="12" customHeight="1">
      <c r="A54" s="183" t="s">
        <v>2214</v>
      </c>
      <c r="B54" s="3205" t="s">
        <v>2215</v>
      </c>
      <c r="C54" s="3206"/>
      <c r="D54" s="182">
        <f ca="1">C68</f>
        <v>1348</v>
      </c>
      <c r="E54" s="30" t="s">
        <v>2216</v>
      </c>
      <c r="F54" s="184">
        <f>'数据-取费表'!B41</f>
        <v>5.6000000000000001E-2</v>
      </c>
      <c r="G54" s="2482"/>
      <c r="H54" s="2483"/>
      <c r="I54" s="2480"/>
      <c r="J54" s="1808">
        <v>3</v>
      </c>
      <c r="K54" s="3179" t="s">
        <v>2217</v>
      </c>
      <c r="L54" s="3179"/>
      <c r="M54" s="1750">
        <f t="shared" ca="1" si="0"/>
        <v>14302</v>
      </c>
      <c r="N54" s="1808" t="str">
        <f t="shared" si="0"/>
        <v>增值额×税（费）率</v>
      </c>
      <c r="O54" s="1752" t="str">
        <f t="shared" si="0"/>
        <v>——</v>
      </c>
    </row>
    <row r="55" spans="1:35" ht="24" customHeight="1">
      <c r="A55" s="3243" t="s">
        <v>2218</v>
      </c>
      <c r="B55" s="3225"/>
      <c r="C55" s="3225"/>
      <c r="D55" s="185">
        <f ca="1">IF(H55="个人住宅",0,ROUND(D45*I55,0))</f>
        <v>13</v>
      </c>
      <c r="E55" s="11" t="s">
        <v>2219</v>
      </c>
      <c r="F55" s="184">
        <f>IF(H55="正常",I55,"免征")</f>
        <v>5.0000000000000001E-4</v>
      </c>
      <c r="G55" s="2482"/>
      <c r="H55" s="2479" t="s">
        <v>2220</v>
      </c>
      <c r="I55" s="186">
        <f>'数据-取费表'!B49</f>
        <v>5.0000000000000001E-4</v>
      </c>
      <c r="J55" s="1808" t="str">
        <f>IF(H59="非个人房产","",4)</f>
        <v/>
      </c>
      <c r="K55" s="3179" t="str">
        <f>IF(H59="非个人房产","——","个人所得税")</f>
        <v>——</v>
      </c>
      <c r="L55" s="3179"/>
      <c r="M55" s="1753" t="str">
        <f>D59</f>
        <v>——</v>
      </c>
      <c r="N55" s="1806" t="str">
        <f>E59</f>
        <v>——</v>
      </c>
      <c r="O55" s="1754" t="str">
        <f>F59</f>
        <v>——</v>
      </c>
    </row>
    <row r="56" spans="1:35" ht="24.75">
      <c r="A56" s="3243" t="s">
        <v>2221</v>
      </c>
      <c r="B56" s="3225"/>
      <c r="C56" s="3225"/>
      <c r="D56" s="185">
        <f ca="1">IF(H56="个人住宅",D57,D58)</f>
        <v>14302</v>
      </c>
      <c r="E56" s="11" t="s">
        <v>2222</v>
      </c>
      <c r="F56" s="184" t="str">
        <f>IF(H56="正常",F58,"免征")</f>
        <v>——</v>
      </c>
      <c r="G56" s="2484" t="s">
        <v>2223</v>
      </c>
      <c r="H56" s="2485" t="s">
        <v>2220</v>
      </c>
      <c r="I56" s="2486"/>
      <c r="J56" s="1808" t="str">
        <f>IF(项目基本情况!K6="上海银行",IF(J55="",4,J55+1),"")</f>
        <v/>
      </c>
      <c r="K56" s="3162" t="str">
        <f>IF(项目基本情况!K6="上海银行","其他处置费用","")</f>
        <v/>
      </c>
      <c r="L56" s="3163"/>
      <c r="M56" s="1750" t="str">
        <f>IF(项目基本情况!K6="上海银行",M69,"")</f>
        <v/>
      </c>
      <c r="N56" s="3165" t="str">
        <f>IF(项目基本情况!K6="上海银行","包含处置中涉及的律师、诉讼、拍卖、评估等费用","")</f>
        <v/>
      </c>
      <c r="O56" s="3166"/>
    </row>
    <row r="57" spans="1:35" ht="12.75">
      <c r="A57" s="183" t="s">
        <v>2196</v>
      </c>
      <c r="B57" s="3210" t="s">
        <v>2224</v>
      </c>
      <c r="C57" s="3211"/>
      <c r="D57" s="187">
        <v>0</v>
      </c>
      <c r="E57" s="23" t="s">
        <v>2198</v>
      </c>
      <c r="F57" s="155"/>
      <c r="G57" s="2482"/>
      <c r="H57" s="2486"/>
      <c r="I57" s="2486"/>
      <c r="J57" s="3179">
        <f>IF(AND(J55="",J56=""),4,IF(项目基本情况!K6="上海银行",结果表!J56+1,结果表!J55+1))</f>
        <v>4</v>
      </c>
      <c r="K57" s="3179" t="s">
        <v>2225</v>
      </c>
      <c r="L57" s="2487" t="s">
        <v>2226</v>
      </c>
      <c r="M57" s="1755"/>
      <c r="N57" s="1756">
        <f ca="1">SUMIF(M52:M56,"&lt;9e307")</f>
        <v>14315</v>
      </c>
      <c r="O57" s="2488"/>
      <c r="P57" s="1749">
        <f ca="1">N57/M49</f>
        <v>0.56654925396762579</v>
      </c>
    </row>
    <row r="58" spans="1:35" ht="24.75">
      <c r="A58" s="183" t="s">
        <v>2207</v>
      </c>
      <c r="B58" s="3210" t="s">
        <v>2227</v>
      </c>
      <c r="C58" s="3223"/>
      <c r="D58" s="185">
        <f ca="1">IF(H58="转让取得",C81,C97)</f>
        <v>14302</v>
      </c>
      <c r="E58" s="11" t="s">
        <v>2222</v>
      </c>
      <c r="F58" s="24" t="s">
        <v>34</v>
      </c>
      <c r="G58" s="2482"/>
      <c r="H58" s="2485" t="s">
        <v>2228</v>
      </c>
      <c r="I58" s="2486"/>
      <c r="J58" s="3179"/>
      <c r="K58" s="3179"/>
      <c r="L58" s="2487" t="s">
        <v>2229</v>
      </c>
      <c r="M58" s="1757"/>
      <c r="N58" s="2489" t="str">
        <f ca="1">NUMBERSTRING(INT(N57*10000),2)&amp;"元整"</f>
        <v>壹亿肆仟叁佰壹拾伍万元整</v>
      </c>
      <c r="O58" s="2490"/>
    </row>
    <row r="59" spans="1:35" ht="24.75" thickBot="1">
      <c r="A59" s="3183" t="s">
        <v>2230</v>
      </c>
      <c r="B59" s="3184"/>
      <c r="C59" s="3184"/>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81">
        <f>J57+1</f>
        <v>5</v>
      </c>
      <c r="K59" s="3179" t="s">
        <v>2232</v>
      </c>
      <c r="L59" s="1808" t="s">
        <v>2226</v>
      </c>
      <c r="M59" s="1758"/>
      <c r="N59" s="1759">
        <f ca="1">M49-N57</f>
        <v>10952</v>
      </c>
      <c r="O59" s="2492"/>
    </row>
    <row r="60" spans="1:35" ht="12" customHeight="1">
      <c r="A60" s="2493"/>
      <c r="B60" s="2415"/>
      <c r="C60" s="2415"/>
      <c r="D60" s="2415"/>
      <c r="E60" s="2163"/>
      <c r="F60" s="2486"/>
      <c r="G60" s="2486"/>
      <c r="H60" s="2494"/>
      <c r="I60" s="138"/>
      <c r="J60" s="3182"/>
      <c r="K60" s="3179"/>
      <c r="L60" s="2487" t="s">
        <v>2229</v>
      </c>
      <c r="M60" s="1757"/>
      <c r="N60" s="2489" t="str">
        <f ca="1">NUMBERSTRING(INT(N59*10000),2)&amp;"元整"</f>
        <v>壹亿零玖佰伍拾贰万元整</v>
      </c>
      <c r="O60" s="2490"/>
    </row>
    <row r="61" spans="1:35" ht="13.5" thickBot="1">
      <c r="A61" s="3242" t="s">
        <v>2233</v>
      </c>
      <c r="B61" s="3242"/>
      <c r="C61" s="3242"/>
      <c r="D61" s="3242"/>
      <c r="E61" s="3242"/>
      <c r="F61" s="2486"/>
      <c r="G61" s="2486"/>
      <c r="H61" s="2494"/>
      <c r="I61" s="138"/>
      <c r="J61" s="1808">
        <f>J59+1</f>
        <v>6</v>
      </c>
      <c r="K61" s="3179" t="s">
        <v>2234</v>
      </c>
      <c r="L61" s="3179"/>
      <c r="M61" s="1760"/>
      <c r="N61" s="1761">
        <f ca="1">ROUND(N59*10000/'数据-汇总表'!E3,0)</f>
        <v>3083</v>
      </c>
      <c r="O61" s="2495"/>
    </row>
    <row r="62" spans="1:35" ht="12.75">
      <c r="A62" s="3199" t="s">
        <v>2235</v>
      </c>
      <c r="B62" s="3200"/>
      <c r="C62" s="1800"/>
      <c r="D62" s="1800" t="s">
        <v>2236</v>
      </c>
      <c r="E62" s="192" t="s">
        <v>2237</v>
      </c>
      <c r="F62" s="2486"/>
      <c r="G62" s="2486"/>
      <c r="H62" s="2494"/>
      <c r="I62" s="138"/>
    </row>
    <row r="63" spans="1:35" ht="12.75">
      <c r="A63" s="203" t="s">
        <v>775</v>
      </c>
      <c r="B63" s="193" t="s">
        <v>2238</v>
      </c>
      <c r="C63" s="194">
        <f ca="1">ROUND((C64+C65)/(1+'数据-取费表'!C42),0)</f>
        <v>24064</v>
      </c>
      <c r="D63" s="195"/>
      <c r="E63" s="196"/>
      <c r="F63" s="2486"/>
      <c r="G63" s="2486"/>
      <c r="H63" s="2494"/>
      <c r="I63" s="138"/>
      <c r="J63" s="3164" t="s">
        <v>2239</v>
      </c>
      <c r="K63" s="2496" t="s">
        <v>2240</v>
      </c>
      <c r="L63" s="1748">
        <f ca="1">IF(M49&gt;10000,M49*0.5%,IF(AND(M49&gt;1000,M49&lt;=10000),M49*1%,IF(AND(M49&gt;100,M49&lt;=1000),M49*3%,IF(AND(M49&gt;10,M49&lt;=100),M49*5%,M49*8%))))</f>
        <v>126.33500000000001</v>
      </c>
      <c r="M63" s="24">
        <f ca="1">ROUND(L63,1)</f>
        <v>126.3</v>
      </c>
      <c r="Z63" s="2420"/>
      <c r="AI63" s="2421"/>
    </row>
    <row r="64" spans="1:35" ht="14.25" customHeight="1">
      <c r="A64" s="197" t="s">
        <v>770</v>
      </c>
      <c r="B64" s="198" t="s">
        <v>2241</v>
      </c>
      <c r="C64" s="199">
        <f ca="1">D45</f>
        <v>25267</v>
      </c>
      <c r="D64" s="200" t="s">
        <v>32</v>
      </c>
      <c r="E64" s="201"/>
      <c r="F64" s="2486"/>
      <c r="G64" s="2486"/>
      <c r="H64" s="2494"/>
      <c r="I64" s="138"/>
      <c r="J64" s="3164"/>
      <c r="K64" s="2496" t="s">
        <v>2242</v>
      </c>
      <c r="L64" s="1748">
        <f ca="1">IF(M49&gt;2000,M49*0.5%,IF(AND(M49&gt;1000,M49&lt;=2000),M49*0.6%,IF(AND(M49&gt;500,M49&lt;=1000),M49*0.7%,IF(AND(M49&gt;200,M49&lt;=500),M49*0.8%,IF(AND(M49&gt;100,M49&lt;=200),M49*0.9%,IF(AND(M49&gt;50,M49&lt;=100),M49*1%,IF(AND(M49&gt;20,M49&lt;=50),M49*1.5%,IF(AND(M49&gt;10,M49&lt;=20),M49*2%,IF(AND(M49&gt;1,M49&lt;=10),M49*2.5%)))))))))</f>
        <v>126.33500000000001</v>
      </c>
      <c r="M64" s="24">
        <f t="shared" ref="M64:M65" ca="1" si="1">ROUND(L64,1)</f>
        <v>126.3</v>
      </c>
      <c r="N64" s="138" t="s">
        <v>2243</v>
      </c>
      <c r="Z64" s="2420"/>
      <c r="AI64" s="2421"/>
    </row>
    <row r="65" spans="1:35" ht="14.25" customHeight="1">
      <c r="A65" s="197" t="s">
        <v>771</v>
      </c>
      <c r="B65" s="198" t="s">
        <v>2244</v>
      </c>
      <c r="C65" s="202"/>
      <c r="D65" s="200"/>
      <c r="E65" s="201"/>
      <c r="F65" s="2486"/>
      <c r="G65" s="2486"/>
      <c r="H65" s="2494"/>
      <c r="I65" s="138"/>
      <c r="J65" s="3164"/>
      <c r="K65" s="2496" t="s">
        <v>2245</v>
      </c>
      <c r="L65" s="1748">
        <f ca="1">IF(M49&gt;1000,M49*0.1%,IF(AND(M49&gt;500,M49&lt;=1000),M49*0.5%,IF(AND(M49&gt;50,M49&lt;=500),M49*1%,IF(AND(M49&gt;1,M49&lt;=50),M49*1.5%))))</f>
        <v>25.266999999999999</v>
      </c>
      <c r="M65" s="24">
        <f t="shared" ca="1" si="1"/>
        <v>25.3</v>
      </c>
      <c r="N65" s="138" t="s">
        <v>2243</v>
      </c>
      <c r="Z65" s="2420"/>
      <c r="AI65" s="2421"/>
    </row>
    <row r="66" spans="1:35" ht="14.25" customHeight="1">
      <c r="A66" s="203" t="s">
        <v>772</v>
      </c>
      <c r="B66" s="204" t="s">
        <v>2246</v>
      </c>
      <c r="C66" s="205"/>
      <c r="D66" s="206" t="s">
        <v>32</v>
      </c>
      <c r="E66" s="1772" t="s">
        <v>1367</v>
      </c>
      <c r="F66" s="2486"/>
      <c r="G66" s="2486"/>
      <c r="H66" s="2494"/>
      <c r="I66" s="138"/>
      <c r="J66" s="3164"/>
      <c r="K66" s="2496" t="s">
        <v>2247</v>
      </c>
      <c r="L66" s="1748">
        <f ca="1">M49*0.5%</f>
        <v>126.33500000000001</v>
      </c>
      <c r="M66" s="24">
        <f ca="1">IF(L66&gt;0.5,0.5,ROUND(L66,0))</f>
        <v>0.5</v>
      </c>
      <c r="N66" s="138" t="s">
        <v>2248</v>
      </c>
      <c r="Z66" s="2420"/>
      <c r="AI66" s="2421"/>
    </row>
    <row r="67" spans="1:35" ht="14.25" customHeight="1">
      <c r="A67" s="203" t="s">
        <v>773</v>
      </c>
      <c r="B67" s="204" t="s">
        <v>2249</v>
      </c>
      <c r="C67" s="207">
        <f ca="1">C63-C66</f>
        <v>24064</v>
      </c>
      <c r="D67" s="200" t="s">
        <v>32</v>
      </c>
      <c r="E67" s="201"/>
      <c r="F67" s="2486"/>
      <c r="G67" s="2486"/>
      <c r="H67" s="2494"/>
      <c r="I67" s="138"/>
      <c r="J67" s="3164"/>
      <c r="K67" s="2496" t="s">
        <v>2250</v>
      </c>
      <c r="L67" s="1748">
        <f ca="1">IF(M49&gt;=10000,(8.25+(M49-10000)*0.01%),IF(AND(M49&gt;=8000,M49&lt;10000),(7.85+(M49-8000)*0.02%),IF(AND(M49&gt;=5000,M49&lt;8000),(6.65+(M49-5000)*0.04%),IF(AND(M49&gt;=2000,M49&lt;5000),(4.25+(PM49-2000)*0.08%),IF(AND(M49&gt;=1000,M49&lt;2000),(2.75+(M49-1000)*0.15%),IF(AND(M49&gt;=100,M49&lt;1000),(0.5+(M49-100)*0.25%),IF(AND(M49&gt;0,M49&lt;100),M49*0.5%)))))))</f>
        <v>9.7766999999999999</v>
      </c>
      <c r="M67" s="24">
        <f ca="1">ROUND(L67*0.9,1)</f>
        <v>8.8000000000000007</v>
      </c>
      <c r="Z67" s="2420"/>
      <c r="AI67" s="2421"/>
    </row>
    <row r="68" spans="1:35" ht="14.25" customHeight="1" thickBot="1">
      <c r="A68" s="208" t="s">
        <v>774</v>
      </c>
      <c r="B68" s="209" t="s">
        <v>2251</v>
      </c>
      <c r="C68" s="210">
        <f ca="1">IF(C67&lt;=0,0,ROUND(C67*D68,0))</f>
        <v>1348</v>
      </c>
      <c r="D68" s="211">
        <f>'数据-取费表'!B41</f>
        <v>5.6000000000000001E-2</v>
      </c>
      <c r="E68" s="212"/>
      <c r="F68" s="2486"/>
      <c r="G68" s="2486"/>
      <c r="H68" s="2494"/>
      <c r="I68" s="138"/>
      <c r="J68" s="3164"/>
      <c r="K68" s="2496" t="s">
        <v>2252</v>
      </c>
      <c r="L68" s="1748">
        <f ca="1">IF(M49&gt;10000,M49*0.5%,IF(AND(M49&gt;5000,M49&lt;=10000),M49*1%,IF(AND(M49&gt;1000,M49&lt;=5000),M49*2%,IF(AND(M49&gt;200,M49&lt;=1000),M49*3%,M49*5%))))</f>
        <v>126.33500000000001</v>
      </c>
      <c r="M68" s="24">
        <f ca="1">ROUND(L68,1)</f>
        <v>126.3</v>
      </c>
      <c r="Z68" s="2420"/>
      <c r="AI68" s="2421"/>
    </row>
    <row r="69" spans="1:35" s="2443" customFormat="1" ht="16.5" customHeight="1">
      <c r="A69" s="2497"/>
      <c r="B69" s="2498"/>
      <c r="C69" s="2499"/>
      <c r="D69" s="2500"/>
      <c r="E69" s="2501"/>
      <c r="F69" s="2163"/>
      <c r="G69" s="2163"/>
      <c r="H69" s="2162"/>
      <c r="I69" s="2415"/>
      <c r="J69" s="3164"/>
      <c r="K69" s="2496" t="s">
        <v>2253</v>
      </c>
      <c r="L69" s="2502"/>
      <c r="M69" s="24">
        <f ca="1">ROUND(SUM(M63:M68),0)</f>
        <v>414</v>
      </c>
      <c r="N69" s="1749">
        <f ca="1">M69/M49</f>
        <v>1.6385008113349427E-2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08" t="s">
        <v>2254</v>
      </c>
      <c r="B70" s="3209"/>
      <c r="C70" s="3209"/>
      <c r="D70" s="3209"/>
      <c r="E70" s="3209"/>
      <c r="F70" s="3209"/>
      <c r="G70" s="3209"/>
      <c r="H70" s="32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99" t="s">
        <v>2235</v>
      </c>
      <c r="B71" s="3200"/>
      <c r="C71" s="1800"/>
      <c r="D71" s="1800"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24064</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144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205" t="s">
        <v>2263</v>
      </c>
      <c r="F76" s="3204"/>
      <c r="G76" s="3204"/>
      <c r="H76" s="32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4.0500000000000001E-2</v>
      </c>
      <c r="E77" s="15" t="s">
        <v>2265</v>
      </c>
      <c r="F77" s="224"/>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144</v>
      </c>
      <c r="D78" s="226">
        <f>'数据-取费表'!B43</f>
        <v>6.000000000000001E-3</v>
      </c>
      <c r="E78" s="3196" t="s">
        <v>2268</v>
      </c>
      <c r="F78" s="3197"/>
      <c r="G78" s="3197"/>
      <c r="H78" s="319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23920</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166.11111111111111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14302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08" t="s">
        <v>2272</v>
      </c>
      <c r="B83" s="3209"/>
      <c r="C83" s="3209"/>
      <c r="D83" s="3209"/>
      <c r="E83" s="3209"/>
      <c r="F83" s="3209"/>
      <c r="G83" s="3209"/>
      <c r="H83" s="32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99" t="s">
        <v>2235</v>
      </c>
      <c r="B84" s="3200"/>
      <c r="C84" s="1800"/>
      <c r="D84" s="1800"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24064</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144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6"/>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4.0500000000000001E-2</v>
      </c>
      <c r="E89" s="237"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96" t="s">
        <v>2281</v>
      </c>
      <c r="F91" s="3197"/>
      <c r="G91" s="3197"/>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96" t="s">
        <v>2285</v>
      </c>
      <c r="F92" s="3197"/>
      <c r="G92" s="3197"/>
      <c r="H92" s="319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144</v>
      </c>
      <c r="D93" s="226">
        <f>'数据-取费表'!B43</f>
        <v>6.000000000000001E-3</v>
      </c>
      <c r="E93" s="3196" t="s">
        <v>2268</v>
      </c>
      <c r="F93" s="3197"/>
      <c r="G93" s="3197"/>
      <c r="H93" s="319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244" t="s">
        <v>2289</v>
      </c>
      <c r="F94" s="3245"/>
      <c r="G94" s="3245"/>
      <c r="H94" s="32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23920</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166.11111111111111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14302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143" t="s">
        <v>2291</v>
      </c>
      <c r="B100" s="3144"/>
      <c r="C100" s="3144"/>
      <c r="D100" s="3180"/>
      <c r="E100" s="3144" t="s">
        <v>2292</v>
      </c>
      <c r="F100" s="3144"/>
      <c r="G100" s="3144"/>
      <c r="H100" s="3180"/>
      <c r="I100" s="138"/>
    </row>
    <row r="101" spans="1:35" ht="18.75" customHeight="1">
      <c r="A101" s="3188" t="s">
        <v>2293</v>
      </c>
      <c r="B101" s="3189"/>
      <c r="C101" s="736" t="str">
        <f>C4</f>
        <v>成本法</v>
      </c>
      <c r="D101" s="737" t="str">
        <f>D4</f>
        <v>假设开发法</v>
      </c>
      <c r="E101" s="3160" t="s">
        <v>2294</v>
      </c>
      <c r="F101" s="3161"/>
      <c r="G101" s="2517" t="s">
        <v>2295</v>
      </c>
      <c r="H101" s="1045">
        <f ca="1">H118</f>
        <v>25267</v>
      </c>
      <c r="I101" s="138"/>
    </row>
    <row r="102" spans="1:35" ht="18.75" customHeight="1">
      <c r="A102" s="3190" t="s">
        <v>2296</v>
      </c>
      <c r="B102" s="2517" t="s">
        <v>2295</v>
      </c>
      <c r="C102" s="736">
        <f ca="1">C19</f>
        <v>26658</v>
      </c>
      <c r="D102" s="737">
        <f ca="1">D19</f>
        <v>23875</v>
      </c>
      <c r="E102" s="3160"/>
      <c r="F102" s="3161"/>
      <c r="G102" s="2517" t="s">
        <v>2297</v>
      </c>
      <c r="H102" s="371">
        <f ca="1">I118</f>
        <v>7112</v>
      </c>
      <c r="I102" s="138"/>
    </row>
    <row r="103" spans="1:35" ht="42.75" customHeight="1">
      <c r="A103" s="3190"/>
      <c r="B103" s="2517" t="s">
        <v>2297</v>
      </c>
      <c r="C103" s="738">
        <f ca="1">C20</f>
        <v>7504</v>
      </c>
      <c r="D103" s="739">
        <f ca="1">D20</f>
        <v>6720</v>
      </c>
      <c r="E103" s="3154" t="s">
        <v>2298</v>
      </c>
      <c r="F103" s="3155"/>
      <c r="G103" s="2518" t="s">
        <v>2299</v>
      </c>
      <c r="H103" s="1045">
        <f>IF(D36="正常操作",H104+H105+H106,H105+H106)</f>
        <v>0</v>
      </c>
      <c r="I103" s="138"/>
    </row>
    <row r="104" spans="1:35" ht="18.75" customHeight="1">
      <c r="A104" s="3190" t="s">
        <v>2300</v>
      </c>
      <c r="B104" s="2519" t="s">
        <v>2295</v>
      </c>
      <c r="C104" s="740">
        <f ca="1">H118</f>
        <v>25267</v>
      </c>
      <c r="D104" s="741"/>
      <c r="E104" s="2263" t="s">
        <v>2301</v>
      </c>
      <c r="F104" s="2255"/>
      <c r="G104" s="2518" t="s">
        <v>2299</v>
      </c>
      <c r="H104" s="1046">
        <f>IF(D36="同一抵押权人同一抵押物续贷",C36&amp;"（未扣减，详见特别提示）",C36)</f>
        <v>0</v>
      </c>
      <c r="I104" s="138"/>
    </row>
    <row r="105" spans="1:35" ht="18.75" customHeight="1" thickBot="1">
      <c r="A105" s="3202"/>
      <c r="B105" s="2520" t="s">
        <v>2297</v>
      </c>
      <c r="C105" s="742">
        <f ca="1">I118</f>
        <v>7112</v>
      </c>
      <c r="D105" s="743"/>
      <c r="E105" s="2263"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191" t="str">
        <f>IF(项目基本情况!E8="已注销","——","3.房地产抵押价值")</f>
        <v>3.房地产抵押价值</v>
      </c>
      <c r="F107" s="3161"/>
      <c r="G107" s="2517" t="s">
        <v>2295</v>
      </c>
      <c r="H107" s="1045">
        <f ca="1">IF(E107="——","——",H101-H103)</f>
        <v>25267</v>
      </c>
      <c r="I107" s="138"/>
    </row>
    <row r="108" spans="1:35" ht="18.75" customHeight="1">
      <c r="A108" s="138"/>
      <c r="B108" s="138"/>
      <c r="C108" s="138"/>
      <c r="D108" s="138"/>
      <c r="E108" s="3191"/>
      <c r="F108" s="3161"/>
      <c r="G108" s="2517" t="s">
        <v>2297</v>
      </c>
      <c r="H108" s="371">
        <f ca="1">ROUND(H107*10000/'数据-汇总表'!E3,0)</f>
        <v>7112</v>
      </c>
      <c r="I108" s="138"/>
    </row>
    <row r="109" spans="1:35" ht="18.75" customHeight="1">
      <c r="A109" s="138"/>
      <c r="B109" s="138"/>
      <c r="C109" s="138"/>
      <c r="D109" s="138"/>
      <c r="E109" s="3191" t="str">
        <f>IF(项目基本情况!E8="已注销及未注销","4.抵押担保权已注销时的房地产抵押价值",IF(项目基本情况!E8="已注销","3.抵押担保权已注销时的房地产抵押价值","——"))</f>
        <v>——</v>
      </c>
      <c r="F109" s="3161"/>
      <c r="G109" s="2517" t="s">
        <v>2295</v>
      </c>
      <c r="H109" s="348" t="str">
        <f>IF(E109="——","——",H101-H105-H106)</f>
        <v>——</v>
      </c>
      <c r="I109" s="138"/>
    </row>
    <row r="110" spans="1:35" ht="18.75" customHeight="1">
      <c r="A110" s="138"/>
      <c r="B110" s="138"/>
      <c r="C110" s="138"/>
      <c r="D110" s="138"/>
      <c r="E110" s="3191"/>
      <c r="F110" s="3161"/>
      <c r="G110" s="2517" t="s">
        <v>2297</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7" t="s">
        <v>2295</v>
      </c>
      <c r="H111" s="1045" t="str">
        <f>IF(E111="——","——",N59)</f>
        <v>——</v>
      </c>
      <c r="I111" s="138"/>
    </row>
    <row r="112" spans="1:35" ht="18.75" customHeight="1" thickBot="1">
      <c r="A112" s="138"/>
      <c r="B112" s="138"/>
      <c r="C112" s="138"/>
      <c r="D112" s="138"/>
      <c r="E112" s="3194"/>
      <c r="F112" s="3195"/>
      <c r="G112" s="2522" t="s">
        <v>2297</v>
      </c>
      <c r="H112" s="790" t="str">
        <f>IF(E111="——","——",N61)</f>
        <v>——</v>
      </c>
      <c r="I112" s="138"/>
    </row>
    <row r="113" spans="1:11" ht="18.75" customHeight="1">
      <c r="A113" s="138"/>
      <c r="B113" s="138"/>
      <c r="C113" s="138"/>
      <c r="D113" s="138"/>
      <c r="E113" s="3203" t="s">
        <v>2303</v>
      </c>
      <c r="F113" s="3203"/>
      <c r="G113" s="3203"/>
      <c r="H113" s="3203"/>
      <c r="I113" s="138"/>
    </row>
    <row r="114" spans="1:11" ht="3.75" customHeight="1">
      <c r="A114" s="2415"/>
      <c r="B114" s="2415"/>
      <c r="C114" s="2415"/>
      <c r="D114" s="2415"/>
      <c r="E114" s="2493"/>
      <c r="F114" s="2493"/>
      <c r="G114" s="2493"/>
      <c r="H114" s="2493"/>
      <c r="I114" s="2415"/>
    </row>
    <row r="115" spans="1:11" ht="18.75" customHeight="1">
      <c r="A115" s="3216" t="s">
        <v>2305</v>
      </c>
      <c r="B115" s="3217"/>
      <c r="C115" s="3217"/>
      <c r="D115" s="3217"/>
      <c r="E115" s="3217"/>
      <c r="F115" s="3217"/>
      <c r="G115" s="3217"/>
      <c r="H115" s="3217"/>
      <c r="I115" s="3218"/>
    </row>
    <row r="116" spans="1:11" ht="27" customHeight="1">
      <c r="A116" s="3113" t="s">
        <v>2306</v>
      </c>
      <c r="B116" s="3170" t="s">
        <v>3196</v>
      </c>
      <c r="C116" s="3170" t="s">
        <v>3197</v>
      </c>
      <c r="D116" s="3176" t="s">
        <v>2307</v>
      </c>
      <c r="E116" s="3177"/>
      <c r="F116" s="3212" t="s">
        <v>2308</v>
      </c>
      <c r="G116" s="3212"/>
      <c r="H116" s="3113" t="s">
        <v>2309</v>
      </c>
      <c r="I116" s="3113"/>
    </row>
    <row r="117" spans="1:11" ht="18.75" customHeight="1">
      <c r="A117" s="3113"/>
      <c r="B117" s="3171"/>
      <c r="C117" s="3171"/>
      <c r="D117" s="1794" t="s">
        <v>2310</v>
      </c>
      <c r="E117" s="1794" t="s">
        <v>2311</v>
      </c>
      <c r="F117" s="1794" t="s">
        <v>2310</v>
      </c>
      <c r="G117" s="1794" t="s">
        <v>2312</v>
      </c>
      <c r="H117" s="1794" t="s">
        <v>2310</v>
      </c>
      <c r="I117" s="1794" t="s">
        <v>2312</v>
      </c>
    </row>
    <row r="118" spans="1:11" ht="24.75" customHeight="1">
      <c r="A118" s="2523" t="str">
        <f>项目基本情况!S2</f>
        <v>湖北省武汉市东西湖区泾河街金北一路以北、吴新干线以东“佳兆业·悦府”居住项目局部出让国有建设用地使用权及在建建筑物房地产</v>
      </c>
      <c r="B118" s="1794">
        <f>M18</f>
        <v>35526.120000000024</v>
      </c>
      <c r="C118" s="1794">
        <f>M19</f>
        <v>0</v>
      </c>
      <c r="D118" s="1794">
        <f ca="1">ROUND(IF(D32="总价",C34,E118*B118/10000),0)</f>
        <v>23877</v>
      </c>
      <c r="E118" s="1794">
        <f ca="1">ROUND(IF(C33="自定义",IF(D32="楼面单价",C34,D118*10000/B118),I118-G118),0)</f>
        <v>6721</v>
      </c>
      <c r="F118" s="1794">
        <f ca="1">ROUND(IF(D32="总价",C35,G118*B118/10000),0)</f>
        <v>1390</v>
      </c>
      <c r="G118" s="1794">
        <f ca="1">ROUND(IF(D32="楼面单价",C35,F118*10000/B118),0)</f>
        <v>391</v>
      </c>
      <c r="H118" s="1794">
        <f ca="1">ROUND(IF(D32="总价",C32,I118*B118/10000),0)</f>
        <v>25267</v>
      </c>
      <c r="I118" s="1794">
        <f ca="1">ROUND(IF(D32="楼面单价",C32,H118*10000/B118),0)</f>
        <v>7112</v>
      </c>
    </row>
    <row r="119" spans="1:11" ht="18.75" customHeight="1">
      <c r="A119" s="3113" t="s">
        <v>2313</v>
      </c>
      <c r="B119" s="3113"/>
      <c r="C119" s="3113"/>
      <c r="D119" s="3172" t="str">
        <f ca="1">NUMBERSTRING(INT(D118*10000),2)&amp;"元整"</f>
        <v>贰亿叁仟捌佰柒拾柒万元整</v>
      </c>
      <c r="E119" s="3173"/>
      <c r="F119" s="3172" t="str">
        <f ca="1">NUMBERSTRING(INT(F118*10000),2)&amp;"元整"</f>
        <v>壹仟叁佰玖拾万元整</v>
      </c>
      <c r="G119" s="3173"/>
      <c r="H119" s="3172" t="str">
        <f ca="1">NUMBERSTRING(INT(H118*10000),2)&amp;"元整"</f>
        <v>贰亿伍仟贰佰陆拾柒万元整</v>
      </c>
      <c r="I119" s="3173"/>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213" t="s">
        <v>2313</v>
      </c>
      <c r="B121" s="3214"/>
      <c r="C121" s="3215"/>
      <c r="D121" s="3172" t="str">
        <f>IF(D120=0,"零元整",NUMBERSTRING(INT(D120*10000),2)&amp;"元整")</f>
        <v>零元整</v>
      </c>
      <c r="E121" s="3174"/>
      <c r="F121" s="3174"/>
      <c r="G121" s="3174"/>
      <c r="H121" s="3174"/>
      <c r="I121" s="3173"/>
    </row>
    <row r="122" spans="1:11" ht="18.75" customHeight="1">
      <c r="A122" s="3178" t="str">
        <f>IF(项目基本情况!B9="房地产市场价值","",MID(E107,3,LEN(E107)-2))</f>
        <v>房地产抵押价值</v>
      </c>
      <c r="B122" s="3178"/>
      <c r="C122" s="3178"/>
      <c r="D122" s="3167">
        <f ca="1">H107</f>
        <v>25267</v>
      </c>
      <c r="E122" s="3168"/>
      <c r="F122" s="3168"/>
      <c r="G122" s="3168"/>
      <c r="H122" s="3168"/>
      <c r="I122" s="3169"/>
    </row>
    <row r="123" spans="1:11" ht="18.75" customHeight="1">
      <c r="A123" s="3113" t="s">
        <v>2313</v>
      </c>
      <c r="B123" s="3113"/>
      <c r="C123" s="3113"/>
      <c r="D123" s="3172" t="str">
        <f ca="1">NUMBERSTRING(INT(D122*10000),2)&amp;"元整"</f>
        <v>贰亿伍仟贰佰陆拾柒万元整</v>
      </c>
      <c r="E123" s="3174"/>
      <c r="F123" s="3174"/>
      <c r="G123" s="3174"/>
      <c r="H123" s="3174"/>
      <c r="I123" s="3173"/>
    </row>
    <row r="124" spans="1:11" ht="18.75" customHeight="1">
      <c r="A124" s="3178" t="str">
        <f>IF(项目基本情况!B9="房地产市场价值","",MID(E109,3,LEN(E109)-2))</f>
        <v/>
      </c>
      <c r="B124" s="3178"/>
      <c r="C124" s="3178"/>
      <c r="D124" s="3167" t="str">
        <f>H109</f>
        <v>——</v>
      </c>
      <c r="E124" s="3168"/>
      <c r="F124" s="3168"/>
      <c r="G124" s="3168"/>
      <c r="H124" s="3168"/>
      <c r="I124" s="3169"/>
    </row>
    <row r="125" spans="1:11" ht="18.75" customHeight="1">
      <c r="A125" s="3113" t="s">
        <v>2313</v>
      </c>
      <c r="B125" s="3113"/>
      <c r="C125" s="3113"/>
      <c r="D125" s="3172" t="e">
        <f>NUMBERSTRING(INT(D124*10000),2)&amp;"元整"</f>
        <v>#VALUE!</v>
      </c>
      <c r="E125" s="3174"/>
      <c r="F125" s="3174"/>
      <c r="G125" s="3174"/>
      <c r="H125" s="3174"/>
      <c r="I125" s="3173"/>
    </row>
    <row r="126" spans="1:11" ht="18.75" customHeight="1">
      <c r="A126" s="3178" t="str">
        <f>IF(项目基本情况!B9="房地产市场价值","",MID(E111,3,LEN(E111)-2))</f>
        <v/>
      </c>
      <c r="B126" s="3178"/>
      <c r="C126" s="3178"/>
      <c r="D126" s="3167" t="str">
        <f>H111</f>
        <v>——</v>
      </c>
      <c r="E126" s="3168"/>
      <c r="F126" s="3168"/>
      <c r="G126" s="3168"/>
      <c r="H126" s="3168"/>
      <c r="I126" s="3169"/>
    </row>
    <row r="127" spans="1:11" ht="18.75" customHeight="1">
      <c r="A127" s="3113" t="s">
        <v>2313</v>
      </c>
      <c r="B127" s="3113"/>
      <c r="C127" s="3113"/>
      <c r="D127" s="3172" t="e">
        <f>NUMBERSTRING(INT(D126*10000),2)&amp;"元整"</f>
        <v>#VALUE!</v>
      </c>
      <c r="E127" s="3174"/>
      <c r="F127" s="3174"/>
      <c r="G127" s="3174"/>
      <c r="H127" s="3174"/>
      <c r="I127" s="3173"/>
    </row>
    <row r="128" spans="1:11" ht="21.75" customHeight="1">
      <c r="A128" s="3175" t="s">
        <v>2314</v>
      </c>
      <c r="B128" s="3175"/>
      <c r="C128" s="3175"/>
      <c r="D128" s="3175"/>
      <c r="E128" s="3175"/>
      <c r="F128" s="3175"/>
      <c r="G128" s="3175"/>
      <c r="H128" s="3175"/>
      <c r="I128" s="3175"/>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9</v>
      </c>
    </row>
    <row r="2" spans="1:9" s="244" customFormat="1" ht="18" customHeight="1">
      <c r="A2" s="245" t="s">
        <v>2323</v>
      </c>
      <c r="B2" s="246">
        <f ca="1">IF(D2="——",C52,C52-E2)</f>
        <v>26658</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7504</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22563</v>
      </c>
      <c r="D5" s="255" t="s">
        <v>2330</v>
      </c>
      <c r="E5" s="256" t="s">
        <v>2331</v>
      </c>
      <c r="F5" s="256" t="s">
        <v>2332</v>
      </c>
      <c r="G5" s="257"/>
    </row>
    <row r="6" spans="1:9" s="258" customFormat="1" ht="13.5" customHeight="1">
      <c r="A6" s="949" t="s">
        <v>2333</v>
      </c>
      <c r="B6" s="259" t="s">
        <v>2334</v>
      </c>
      <c r="C6" s="260">
        <f>'土地比较法-住宅、综合'!B2</f>
        <v>21344</v>
      </c>
      <c r="D6" s="261"/>
      <c r="E6" s="262"/>
      <c r="F6" s="262"/>
      <c r="G6" s="263"/>
    </row>
    <row r="7" spans="1:9" s="258" customFormat="1" ht="13.5" customHeight="1">
      <c r="A7" s="949" t="s">
        <v>2335</v>
      </c>
      <c r="B7" s="259" t="s">
        <v>2336</v>
      </c>
      <c r="C7" s="264">
        <f>ROUND(C6*F7,0)</f>
        <v>864</v>
      </c>
      <c r="D7" s="264"/>
      <c r="E7" s="262"/>
      <c r="F7" s="265">
        <f>'数据-取费表'!B48+'数据-取费表'!B49</f>
        <v>4.0500000000000001E-2</v>
      </c>
      <c r="G7" s="263"/>
    </row>
    <row r="8" spans="1:9" s="267" customFormat="1">
      <c r="A8" s="949" t="s">
        <v>2337</v>
      </c>
      <c r="B8" s="259" t="s">
        <v>2338</v>
      </c>
      <c r="C8" s="264">
        <f ca="1">IF(G8="已包含在土地购买价格中","0",IF(B1="",'数据-取费表'!B29,IF(G9="全部缴纳",C9+C10,H9)))</f>
        <v>355</v>
      </c>
      <c r="D8" s="266"/>
      <c r="E8" s="264"/>
      <c r="F8" s="265"/>
      <c r="G8" s="2549" t="s">
        <v>3432</v>
      </c>
    </row>
    <row r="9" spans="1:9" s="258" customFormat="1" ht="13.5" customHeight="1">
      <c r="A9" s="950" t="s">
        <v>800</v>
      </c>
      <c r="B9" s="268" t="s">
        <v>2339</v>
      </c>
      <c r="C9" s="269">
        <f ca="1">ROUND(D9*E9/10000,0)</f>
        <v>355</v>
      </c>
      <c r="D9" s="1032">
        <f ca="1">IF(B1="",'数据-汇总表'!E5,IF(INDIRECT("'数据-取费表'!c"&amp;$G$1)="住宅",INDIRECT("'数据-取费表'!k"&amp;$G$1),0))</f>
        <v>35526.120000000024</v>
      </c>
      <c r="E9" s="269">
        <f>'数据-取费表'!B27</f>
        <v>100</v>
      </c>
      <c r="F9" s="265"/>
      <c r="G9" s="2550"/>
      <c r="H9" s="1390"/>
      <c r="I9" s="2551" t="s">
        <v>2340</v>
      </c>
    </row>
    <row r="10" spans="1:9" s="258" customFormat="1" ht="13.5" customHeight="1">
      <c r="A10" s="950" t="s">
        <v>801</v>
      </c>
      <c r="B10" s="268" t="s">
        <v>2341</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35526.120000000024</v>
      </c>
      <c r="E19" s="255">
        <f>'数据-取费表'!B31</f>
        <v>200</v>
      </c>
      <c r="F19" s="275"/>
      <c r="G19" s="2549" t="s">
        <v>3433</v>
      </c>
    </row>
    <row r="20" spans="1:7" s="258" customFormat="1" ht="13.5" customHeight="1">
      <c r="A20" s="299" t="s">
        <v>2354</v>
      </c>
      <c r="B20" s="254" t="s">
        <v>2355</v>
      </c>
      <c r="C20" s="276">
        <f ca="1">ROUND((C5+C19)*F20,0)</f>
        <v>451</v>
      </c>
      <c r="D20" s="276"/>
      <c r="E20" s="276"/>
      <c r="F20" s="277">
        <f>'数据-取费表'!B37</f>
        <v>0.02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4">
        <f ca="1">ROUND(SUM(C23:C25),0)</f>
        <v>212</v>
      </c>
      <c r="D22" s="279">
        <f ca="1">C26</f>
        <v>1E-4</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210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2</v>
      </c>
      <c r="D25" s="282"/>
      <c r="E25" s="285"/>
      <c r="F25" s="283"/>
      <c r="G25" s="286" t="s">
        <v>2371</v>
      </c>
    </row>
    <row r="26" spans="1:7" s="258" customFormat="1">
      <c r="A26" s="951" t="s">
        <v>795</v>
      </c>
      <c r="B26" s="259" t="s">
        <v>2372</v>
      </c>
      <c r="C26" s="282">
        <f ca="1">ROUND(IF('数据-取费表'!B22&lt;=1,F21*F22*'数据-取费表'!B23/2,F21*(POWER((1+F22),'数据-取费表'!B23/2)-1)),4)</f>
        <v>1E-4</v>
      </c>
      <c r="D26" s="282"/>
      <c r="E26" s="285"/>
      <c r="F26" s="283"/>
      <c r="G26" s="287"/>
    </row>
    <row r="27" spans="1:7" s="258" customFormat="1" ht="24.75">
      <c r="A27" s="299" t="s">
        <v>2373</v>
      </c>
      <c r="B27" s="288" t="s">
        <v>2374</v>
      </c>
      <c r="C27" s="289">
        <f ca="1">C28</f>
        <v>230</v>
      </c>
      <c r="D27" s="279">
        <f ca="1">C29</f>
        <v>2.0000000000000001E-4</v>
      </c>
      <c r="E27" s="280" t="s">
        <v>2375</v>
      </c>
      <c r="F27" s="290">
        <f ca="1">IF(B1="",'数据-取费表'!Q16,INDIRECT("'数据-取费表'!q"&amp;$G$1))</f>
        <v>0.1</v>
      </c>
      <c r="G27" s="291" t="s">
        <v>2376</v>
      </c>
    </row>
    <row r="28" spans="1:7" s="258" customFormat="1" ht="13.5" customHeight="1">
      <c r="A28" s="951" t="s">
        <v>791</v>
      </c>
      <c r="B28" s="292" t="s">
        <v>2377</v>
      </c>
      <c r="C28" s="293">
        <f ca="1">ROUND((C5+C19+C20)*F27*'数据-取费表'!B21/'数据-取费表'!B20,0)</f>
        <v>230</v>
      </c>
      <c r="D28" s="279"/>
      <c r="E28" s="280"/>
      <c r="F28" s="290"/>
      <c r="G28" s="291"/>
    </row>
    <row r="29" spans="1:7" s="258" customFormat="1" ht="13.5" customHeight="1">
      <c r="A29" s="951" t="s">
        <v>792</v>
      </c>
      <c r="B29" s="292" t="s">
        <v>2378</v>
      </c>
      <c r="C29" s="282">
        <f ca="1">ROUND(C21*F27*'数据-取费表'!B21/'数据-取费表'!B20,4)</f>
        <v>2.0000000000000001E-4</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25184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1217</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1066</v>
      </c>
      <c r="D34" s="261"/>
      <c r="E34" s="264"/>
      <c r="F34" s="301">
        <f ca="1">IF('数据-取费表'!B24=0,1,IF(B1="",'数据-取费表'!N16,INDIRECT("'数据-取费表'!n"&amp;$G$1)))</f>
        <v>0.1</v>
      </c>
      <c r="G34" s="263" t="s">
        <v>2387</v>
      </c>
    </row>
    <row r="35" spans="1:7" ht="13.5" customHeight="1">
      <c r="A35" s="951" t="s">
        <v>796</v>
      </c>
      <c r="B35" s="259" t="s">
        <v>2388</v>
      </c>
      <c r="C35" s="264">
        <f ca="1">ROUND(C34*F35,0)</f>
        <v>32</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32</v>
      </c>
      <c r="D36" s="264"/>
      <c r="E36" s="264"/>
      <c r="F36" s="303">
        <f>'数据-取费表'!B34</f>
        <v>0.03</v>
      </c>
      <c r="G36" s="304" t="s">
        <v>2391</v>
      </c>
    </row>
    <row r="37" spans="1:7" s="302" customFormat="1" ht="13.5" customHeight="1">
      <c r="A37" s="951" t="s">
        <v>798</v>
      </c>
      <c r="B37" s="259" t="s">
        <v>2392</v>
      </c>
      <c r="C37" s="293">
        <f ca="1">ROUND(E37*D37*F34/10000,0)</f>
        <v>71</v>
      </c>
      <c r="D37" s="261">
        <f ca="1">D19</f>
        <v>35526.120000000024</v>
      </c>
      <c r="E37" s="293">
        <f>'数据-取费表'!B35</f>
        <v>200</v>
      </c>
      <c r="F37" s="303"/>
      <c r="G37" s="305" t="s">
        <v>2393</v>
      </c>
    </row>
    <row r="38" spans="1:7" ht="13.5" customHeight="1">
      <c r="A38" s="951" t="s">
        <v>799</v>
      </c>
      <c r="B38" s="259" t="s">
        <v>2394</v>
      </c>
      <c r="C38" s="264">
        <f ca="1">ROUND(C34*F38,0)</f>
        <v>16</v>
      </c>
      <c r="D38" s="264"/>
      <c r="E38" s="264"/>
      <c r="F38" s="303">
        <f>'数据-取费表'!B36</f>
        <v>1.4999999999999999E-2</v>
      </c>
      <c r="G38" s="263" t="s">
        <v>2389</v>
      </c>
    </row>
    <row r="39" spans="1:7" s="258" customFormat="1" ht="13.5" customHeight="1">
      <c r="A39" s="299" t="s">
        <v>2395</v>
      </c>
      <c r="B39" s="254" t="s">
        <v>2396</v>
      </c>
      <c r="C39" s="276">
        <f ca="1">ROUND(C33*F20,0)</f>
        <v>24</v>
      </c>
      <c r="D39" s="276"/>
      <c r="E39" s="276"/>
      <c r="F39" s="277"/>
      <c r="G39" s="278" t="s">
        <v>2397</v>
      </c>
    </row>
    <row r="40" spans="1:7" s="258" customFormat="1" ht="13.5" customHeight="1">
      <c r="A40" s="299" t="s">
        <v>2398</v>
      </c>
      <c r="B40" s="254" t="s">
        <v>2399</v>
      </c>
      <c r="C40" s="1727">
        <f>F21</f>
        <v>1.4999999999999999E-2</v>
      </c>
      <c r="D40" s="280" t="s">
        <v>2400</v>
      </c>
      <c r="E40" s="276"/>
      <c r="F40" s="277"/>
      <c r="G40" s="278" t="s">
        <v>2401</v>
      </c>
    </row>
    <row r="41" spans="1:7" s="258" customFormat="1" ht="13.5" customHeight="1">
      <c r="A41" s="299" t="s">
        <v>2402</v>
      </c>
      <c r="B41" s="254" t="s">
        <v>2403</v>
      </c>
      <c r="C41" s="276">
        <f ca="1">ROUND(SUM(C42:C43),0)</f>
        <v>6</v>
      </c>
      <c r="D41" s="279">
        <f ca="1">C44</f>
        <v>1E-4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v>
      </c>
      <c r="D42" s="282"/>
      <c r="E42" s="282"/>
      <c r="F42" s="283"/>
      <c r="G42" s="3247" t="s">
        <v>2405</v>
      </c>
    </row>
    <row r="43" spans="1:7" ht="13.5" customHeight="1">
      <c r="A43" s="951" t="s">
        <v>792</v>
      </c>
      <c r="B43" s="259" t="s">
        <v>2406</v>
      </c>
      <c r="C43" s="282">
        <f ca="1">ROUND(IF('数据-取费表'!B22&lt;=1,C39*F22*'数据-取费表'!B21/2,C39*(POWER((1+F22),'数据-取费表'!B21/2)-1)),0)</f>
        <v>0</v>
      </c>
      <c r="D43" s="282"/>
      <c r="E43" s="282"/>
      <c r="F43" s="283"/>
      <c r="G43" s="3248"/>
    </row>
    <row r="44" spans="1:7" ht="13.5" customHeight="1">
      <c r="A44" s="951" t="s">
        <v>793</v>
      </c>
      <c r="B44" s="259" t="s">
        <v>2407</v>
      </c>
      <c r="C44" s="282">
        <f ca="1">ROUND(IF('数据-取费表'!B22&lt;=1,C40*F22*'数据-取费表'!B21/2,C40*(POWER((1+F22),'数据-取费表'!B21/2)-1)),4)</f>
        <v>1E-4</v>
      </c>
      <c r="D44" s="282"/>
      <c r="E44" s="282"/>
      <c r="F44" s="283"/>
      <c r="G44" s="3249"/>
    </row>
    <row r="45" spans="1:7" s="258" customFormat="1" ht="13.5" customHeight="1">
      <c r="A45" s="299" t="s">
        <v>2408</v>
      </c>
      <c r="B45" s="288" t="s">
        <v>2374</v>
      </c>
      <c r="C45" s="289">
        <f ca="1">C46</f>
        <v>124</v>
      </c>
      <c r="D45" s="279">
        <f ca="1">C47</f>
        <v>1.5E-3</v>
      </c>
      <c r="E45" s="280" t="s">
        <v>2400</v>
      </c>
      <c r="F45" s="290"/>
      <c r="G45" s="291" t="s">
        <v>2409</v>
      </c>
    </row>
    <row r="46" spans="1:7" s="258" customFormat="1" ht="13.5" customHeight="1">
      <c r="A46" s="951" t="s">
        <v>791</v>
      </c>
      <c r="B46" s="292" t="s">
        <v>2410</v>
      </c>
      <c r="C46" s="293">
        <f ca="1">ROUND((C33+C39)*F27,0)</f>
        <v>124</v>
      </c>
      <c r="D46" s="307"/>
      <c r="E46" s="280"/>
      <c r="F46" s="290"/>
      <c r="G46" s="291"/>
    </row>
    <row r="47" spans="1:7" s="258" customFormat="1" ht="13.5" customHeight="1">
      <c r="A47" s="951" t="s">
        <v>792</v>
      </c>
      <c r="B47" s="292" t="s">
        <v>2411</v>
      </c>
      <c r="C47" s="282">
        <f ca="1">ROUND(C40*F27,4)</f>
        <v>1.5E-3</v>
      </c>
      <c r="D47" s="307"/>
      <c r="E47" s="280"/>
      <c r="F47" s="290"/>
      <c r="G47" s="291"/>
    </row>
    <row r="48" spans="1:7" s="258" customFormat="1" ht="13.5" customHeight="1">
      <c r="A48" s="299" t="s">
        <v>2373</v>
      </c>
      <c r="B48" s="254" t="s">
        <v>2412</v>
      </c>
      <c r="C48" s="1727">
        <f>ROUND(F30/(1+'数据-取费表'!C42),4)</f>
        <v>5.33E-2</v>
      </c>
      <c r="D48" s="280" t="s">
        <v>2400</v>
      </c>
      <c r="E48" s="276"/>
      <c r="F48" s="281"/>
      <c r="G48" s="278" t="s">
        <v>2413</v>
      </c>
    </row>
    <row r="49" spans="1:7" ht="16.5" customHeight="1">
      <c r="A49" s="299" t="s">
        <v>2379</v>
      </c>
      <c r="B49" s="254" t="s">
        <v>2414</v>
      </c>
      <c r="C49" s="276">
        <f ca="1">ROUND((C33+C39+C41+C45)/(1-C40-D41-D45-C48),0)</f>
        <v>1474</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1474</v>
      </c>
      <c r="D51" s="276"/>
      <c r="E51" s="276"/>
      <c r="F51" s="308"/>
      <c r="G51" s="278" t="s">
        <v>2421</v>
      </c>
    </row>
    <row r="52" spans="1:7" s="252" customFormat="1" ht="16.5" thickBot="1">
      <c r="A52" s="309" t="s">
        <v>2422</v>
      </c>
      <c r="B52" s="310"/>
      <c r="C52" s="311">
        <f ca="1">C31+C51</f>
        <v>26658</v>
      </c>
      <c r="D52" s="310"/>
      <c r="E52" s="310"/>
      <c r="F52" s="310"/>
      <c r="G52" s="312"/>
    </row>
    <row r="55" spans="1:7" ht="15">
      <c r="B55" s="314" t="s">
        <v>2423</v>
      </c>
      <c r="C55" s="315"/>
    </row>
    <row r="56" spans="1:7">
      <c r="B56" s="317" t="s">
        <v>1509</v>
      </c>
      <c r="C56" s="319">
        <f ca="1">1-C57</f>
        <v>0.94499999999999995</v>
      </c>
    </row>
    <row r="57" spans="1:7">
      <c r="B57" s="317" t="s">
        <v>1510</v>
      </c>
      <c r="C57" s="318">
        <f ca="1">ROUND(C51/C52,3)</f>
        <v>5.5E-2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2" t="s">
        <v>2424</v>
      </c>
      <c r="D1" s="242"/>
      <c r="E1" s="242"/>
      <c r="F1" s="242"/>
      <c r="G1" s="1379">
        <f>MATCH(B1,'数据-取费表'!A6:A16,0)+5</f>
        <v>9</v>
      </c>
      <c r="H1" s="1282" t="str">
        <f>IF(ISERROR(FIND("住宅",B1)),"非住宅","住宅")</f>
        <v>非住宅</v>
      </c>
    </row>
    <row r="2" spans="1:8" s="244" customFormat="1" ht="18" customHeight="1">
      <c r="A2" s="245" t="s">
        <v>2323</v>
      </c>
      <c r="B2" s="246">
        <f ca="1">ROUND(IF(D2="——",C52/10000,C52/10000-E2),0)</f>
        <v>16721</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4707</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3552612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'数据-取费表'!B48+'数据-取费表'!B49</f>
        <v>4.0500000000000001E-2</v>
      </c>
      <c r="G7" s="263"/>
    </row>
    <row r="8" spans="1:8" s="267" customFormat="1">
      <c r="A8" s="949" t="s">
        <v>2337</v>
      </c>
      <c r="B8" s="259" t="s">
        <v>2338</v>
      </c>
      <c r="C8" s="264">
        <f ca="1">IF(G8="已包含在土地购买价格中",0,C9+C10)</f>
        <v>3552612</v>
      </c>
      <c r="D8" s="266"/>
      <c r="E8" s="264"/>
      <c r="F8" s="265"/>
      <c r="G8" s="2549"/>
    </row>
    <row r="9" spans="1:8" s="258" customFormat="1" ht="13.5" customHeight="1">
      <c r="A9" s="950" t="s">
        <v>800</v>
      </c>
      <c r="B9" s="268" t="s">
        <v>2339</v>
      </c>
      <c r="C9" s="269">
        <f ca="1">ROUND(D9*E9,0)</f>
        <v>3552612</v>
      </c>
      <c r="D9" s="1032">
        <f ca="1">IF(B1="",'数据-汇总表'!E5,IF(INDIRECT("'数据-取费表'!c"&amp;$G$1)="住宅",INDIRECT("'数据-取费表'!k"&amp;$G$1),0))</f>
        <v>35526.120000000024</v>
      </c>
      <c r="E9" s="269">
        <f>'数据-取费表'!B27</f>
        <v>100</v>
      </c>
      <c r="F9" s="265"/>
      <c r="G9" s="270"/>
    </row>
    <row r="10" spans="1:8" s="258" customFormat="1" ht="13.5" customHeight="1">
      <c r="A10" s="950" t="s">
        <v>801</v>
      </c>
      <c r="B10" s="268" t="s">
        <v>2341</v>
      </c>
      <c r="C10" s="269">
        <f ca="1">ROUND(D10*E10,0)</f>
        <v>0</v>
      </c>
      <c r="D10" s="1032">
        <f ca="1">IF(B1="",'数据-汇总表'!E6,IF(INDIRECT("'数据-取费表'!c"&amp;$G$1)="住宅",INDIRECT("'数据-取费表'!s"&amp;$G$1),INDIRECT("'数据-取费表'!k"&amp;$G$1)+INDIRECT("'数据-取费表'!s"&amp;$G$1)))</f>
        <v>0</v>
      </c>
      <c r="E10" s="269">
        <f>'数据-取费表'!B28</f>
        <v>100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7105224</v>
      </c>
      <c r="D19" s="1036">
        <f ca="1">D9+D10</f>
        <v>35526.120000000024</v>
      </c>
      <c r="E19" s="255">
        <f>'数据-取费表'!B31</f>
        <v>200</v>
      </c>
      <c r="F19" s="275"/>
      <c r="G19" s="2549"/>
    </row>
    <row r="20" spans="1:7" s="258" customFormat="1" ht="13.5" customHeight="1">
      <c r="A20" s="299" t="s">
        <v>2435</v>
      </c>
      <c r="B20" s="254" t="s">
        <v>2436</v>
      </c>
      <c r="C20" s="276">
        <f ca="1">ROUND((C5+C19)*F20,0)</f>
        <v>213157</v>
      </c>
      <c r="D20" s="276"/>
      <c r="E20" s="276"/>
      <c r="F20" s="277">
        <f>'数据-取费表'!B37</f>
        <v>0.02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80">
        <f ca="1">ROUND(SUM(C23:C25),0)</f>
        <v>1046666</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345514</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691027</v>
      </c>
      <c r="D24" s="282"/>
      <c r="E24" s="282"/>
      <c r="F24" s="283"/>
      <c r="G24" s="284" t="s">
        <v>2447</v>
      </c>
    </row>
    <row r="25" spans="1:7" s="258" customFormat="1" ht="24">
      <c r="A25" s="951" t="s">
        <v>2337</v>
      </c>
      <c r="B25" s="259" t="s">
        <v>2448</v>
      </c>
      <c r="C25" s="1381">
        <f ca="1">ROUND(IF('数据-取费表'!B22&lt;=1,C20*F22*'数据-取费表'!B22/2,C20*(POWER((1+F22),'数据-取费表'!B22/2)-1)),0)</f>
        <v>10125</v>
      </c>
      <c r="D25" s="282"/>
      <c r="E25" s="285"/>
      <c r="F25" s="283"/>
      <c r="G25" s="286" t="s">
        <v>2449</v>
      </c>
    </row>
    <row r="26" spans="1:7" s="258" customFormat="1">
      <c r="A26" s="951" t="s">
        <v>795</v>
      </c>
      <c r="B26" s="259" t="s">
        <v>2372</v>
      </c>
      <c r="C26" s="282">
        <f ca="1">ROUND(IF('数据-取费表'!B22&lt;=1,F21*F22*'数据-取费表'!B22/2,F21*(POWER((1+F22),'数据-取费表'!B22/2)-1)),4)</f>
        <v>6.9999999999999999E-4</v>
      </c>
      <c r="D26" s="282"/>
      <c r="E26" s="285"/>
      <c r="F26" s="283"/>
      <c r="G26" s="287"/>
    </row>
    <row r="27" spans="1:7" s="258" customFormat="1" ht="24.75">
      <c r="A27" s="299" t="s">
        <v>2373</v>
      </c>
      <c r="B27" s="288" t="s">
        <v>2374</v>
      </c>
      <c r="C27" s="289">
        <f ca="1">C28</f>
        <v>1087099</v>
      </c>
      <c r="D27" s="279">
        <f ca="1">C29</f>
        <v>1.5E-3</v>
      </c>
      <c r="E27" s="280" t="s">
        <v>2375</v>
      </c>
      <c r="F27" s="290">
        <f ca="1">IF(B1="",'数据-取费表'!Q16,INDIRECT("'数据-取费表'!q"&amp;$G$1))</f>
        <v>0.1</v>
      </c>
      <c r="G27" s="291" t="s">
        <v>2376</v>
      </c>
    </row>
    <row r="28" spans="1:7" s="258" customFormat="1" ht="13.5" customHeight="1">
      <c r="A28" s="951" t="s">
        <v>791</v>
      </c>
      <c r="B28" s="292" t="s">
        <v>2377</v>
      </c>
      <c r="C28" s="293">
        <f ca="1">ROUND((C5+C19+C20)*F27,0)</f>
        <v>1087099</v>
      </c>
      <c r="D28" s="279"/>
      <c r="E28" s="280"/>
      <c r="F28" s="290"/>
      <c r="G28" s="291"/>
    </row>
    <row r="29" spans="1:7" s="258" customFormat="1" ht="13.5" customHeight="1">
      <c r="A29" s="951" t="s">
        <v>792</v>
      </c>
      <c r="B29" s="292" t="s">
        <v>2378</v>
      </c>
      <c r="C29" s="282">
        <f ca="1">ROUND(C21*F27,4)</f>
        <v>1.5E-3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13991133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121676961</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106578360</v>
      </c>
      <c r="D34" s="261"/>
      <c r="E34" s="264"/>
      <c r="F34" s="301"/>
      <c r="G34" s="263"/>
    </row>
    <row r="35" spans="1:7" ht="13.5" customHeight="1">
      <c r="A35" s="951" t="s">
        <v>796</v>
      </c>
      <c r="B35" s="259" t="s">
        <v>2388</v>
      </c>
      <c r="C35" s="264">
        <f ca="1">ROUND(C34*F35,0)</f>
        <v>3197351</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3197351</v>
      </c>
      <c r="D36" s="264"/>
      <c r="E36" s="264"/>
      <c r="F36" s="303">
        <f>'数据-取费表'!B34</f>
        <v>0.03</v>
      </c>
      <c r="G36" s="304" t="s">
        <v>2391</v>
      </c>
    </row>
    <row r="37" spans="1:7" s="302" customFormat="1" ht="13.5" customHeight="1">
      <c r="A37" s="951" t="s">
        <v>798</v>
      </c>
      <c r="B37" s="259" t="s">
        <v>2392</v>
      </c>
      <c r="C37" s="293">
        <f ca="1">ROUND(E37*D37,0)</f>
        <v>7105224</v>
      </c>
      <c r="D37" s="261">
        <f ca="1">D19</f>
        <v>35526.120000000024</v>
      </c>
      <c r="E37" s="293">
        <f>'数据-取费表'!B35</f>
        <v>200</v>
      </c>
      <c r="F37" s="303"/>
      <c r="G37" s="305"/>
    </row>
    <row r="38" spans="1:7" ht="13.5" customHeight="1">
      <c r="A38" s="951" t="s">
        <v>799</v>
      </c>
      <c r="B38" s="259" t="s">
        <v>2394</v>
      </c>
      <c r="C38" s="264">
        <f ca="1">ROUND(C34*F38,0)</f>
        <v>1598675</v>
      </c>
      <c r="D38" s="264"/>
      <c r="E38" s="264"/>
      <c r="F38" s="303">
        <f>'数据-取费表'!B36</f>
        <v>1.4999999999999999E-2</v>
      </c>
      <c r="G38" s="263" t="s">
        <v>2389</v>
      </c>
    </row>
    <row r="39" spans="1:7" s="258" customFormat="1" ht="13.5" customHeight="1">
      <c r="A39" s="299" t="s">
        <v>2395</v>
      </c>
      <c r="B39" s="254" t="s">
        <v>2396</v>
      </c>
      <c r="C39" s="276">
        <f ca="1">ROUND(C33*F20,0)</f>
        <v>2433539</v>
      </c>
      <c r="D39" s="276"/>
      <c r="E39" s="276"/>
      <c r="F39" s="277"/>
      <c r="G39" s="278" t="s">
        <v>2397</v>
      </c>
    </row>
    <row r="40" spans="1:7" s="258" customFormat="1" ht="13.5" customHeight="1">
      <c r="A40" s="299" t="s">
        <v>2398</v>
      </c>
      <c r="B40" s="254" t="s">
        <v>2399</v>
      </c>
      <c r="C40" s="1727">
        <f>F21</f>
        <v>1.4999999999999999E-2</v>
      </c>
      <c r="D40" s="280" t="s">
        <v>2400</v>
      </c>
      <c r="E40" s="276"/>
      <c r="F40" s="277"/>
      <c r="G40" s="278" t="s">
        <v>2401</v>
      </c>
    </row>
    <row r="41" spans="1:7" s="258" customFormat="1" ht="13.5" customHeight="1">
      <c r="A41" s="299" t="s">
        <v>2402</v>
      </c>
      <c r="B41" s="254" t="s">
        <v>2403</v>
      </c>
      <c r="C41" s="276">
        <f ca="1">ROUND(SUM(C42:C43),0)</f>
        <v>5895249</v>
      </c>
      <c r="D41" s="279">
        <f ca="1">C44</f>
        <v>6.9999999999999999E-4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5779656</v>
      </c>
      <c r="D42" s="282"/>
      <c r="E42" s="282"/>
      <c r="F42" s="283"/>
      <c r="G42" s="3247" t="s">
        <v>2452</v>
      </c>
    </row>
    <row r="43" spans="1:7" ht="13.5" customHeight="1">
      <c r="A43" s="951" t="s">
        <v>792</v>
      </c>
      <c r="B43" s="259" t="s">
        <v>2406</v>
      </c>
      <c r="C43" s="282">
        <f ca="1">ROUND(IF('数据-取费表'!B22&lt;=1,C39*F22*'数据-取费表'!B20/2,C39*(POWER((1+F22),'数据-取费表'!B20/2)-1)),0)</f>
        <v>115593</v>
      </c>
      <c r="D43" s="282"/>
      <c r="E43" s="282"/>
      <c r="F43" s="283"/>
      <c r="G43" s="3248"/>
    </row>
    <row r="44" spans="1:7" ht="13.5" customHeight="1">
      <c r="A44" s="951" t="s">
        <v>793</v>
      </c>
      <c r="B44" s="259" t="s">
        <v>2407</v>
      </c>
      <c r="C44" s="282">
        <f ca="1">ROUND(IF('数据-取费表'!B22&lt;=1,C40*F22*'数据-取费表'!B20/2,C40*(POWER((1+F22),'数据-取费表'!B20/2)-1)),4)</f>
        <v>6.9999999999999999E-4</v>
      </c>
      <c r="D44" s="282"/>
      <c r="E44" s="282"/>
      <c r="F44" s="283"/>
      <c r="G44" s="3249"/>
    </row>
    <row r="45" spans="1:7" s="258" customFormat="1" ht="13.5" customHeight="1">
      <c r="A45" s="299" t="s">
        <v>2408</v>
      </c>
      <c r="B45" s="288" t="s">
        <v>2374</v>
      </c>
      <c r="C45" s="289">
        <f ca="1">C46</f>
        <v>12411050</v>
      </c>
      <c r="D45" s="279">
        <f ca="1">C47</f>
        <v>1.5E-3</v>
      </c>
      <c r="E45" s="280" t="s">
        <v>2400</v>
      </c>
      <c r="F45" s="290"/>
      <c r="G45" s="291" t="s">
        <v>2409</v>
      </c>
    </row>
    <row r="46" spans="1:7" s="258" customFormat="1" ht="13.5" customHeight="1">
      <c r="A46" s="951" t="s">
        <v>791</v>
      </c>
      <c r="B46" s="292" t="s">
        <v>2410</v>
      </c>
      <c r="C46" s="293">
        <f ca="1">ROUND((C33+C39)*F27,0)</f>
        <v>12411050</v>
      </c>
      <c r="D46" s="307"/>
      <c r="E46" s="280"/>
      <c r="F46" s="290"/>
      <c r="G46" s="291"/>
    </row>
    <row r="47" spans="1:7" s="258" customFormat="1" ht="13.5" customHeight="1">
      <c r="A47" s="951" t="s">
        <v>792</v>
      </c>
      <c r="B47" s="292" t="s">
        <v>2411</v>
      </c>
      <c r="C47" s="282">
        <f ca="1">ROUND(C40*F27,4)</f>
        <v>1.5E-3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153218719</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153218719</v>
      </c>
      <c r="D51" s="276"/>
      <c r="E51" s="276"/>
      <c r="F51" s="308"/>
      <c r="G51" s="278" t="s">
        <v>2421</v>
      </c>
    </row>
    <row r="52" spans="1:7" s="252" customFormat="1" ht="16.5" thickBot="1">
      <c r="A52" s="309" t="s">
        <v>2422</v>
      </c>
      <c r="B52" s="310"/>
      <c r="C52" s="311">
        <f ca="1">C31+C51</f>
        <v>167209852</v>
      </c>
      <c r="D52" s="310"/>
      <c r="E52" s="310"/>
      <c r="F52" s="310"/>
      <c r="G52" s="312"/>
    </row>
    <row r="55" spans="1:7" ht="15">
      <c r="B55" s="314" t="s">
        <v>2423</v>
      </c>
      <c r="C55" s="315"/>
    </row>
    <row r="56" spans="1:7">
      <c r="B56" s="317" t="s">
        <v>1509</v>
      </c>
      <c r="C56" s="319">
        <f ca="1">1-C57</f>
        <v>8.3999999999999964E-2</v>
      </c>
    </row>
    <row r="57" spans="1:7">
      <c r="B57" s="317" t="s">
        <v>1510</v>
      </c>
      <c r="C57" s="318">
        <f ca="1">ROUND(C51/C52,3)</f>
        <v>0.91600000000000004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H14" sqref="H1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21344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6008</v>
      </c>
      <c r="C3" s="247" t="s">
        <v>2739</v>
      </c>
      <c r="D3" s="1582">
        <f>'数据-汇总表'!F31</f>
        <v>35526.120000000024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30" ht="15">
      <c r="A5" s="404"/>
      <c r="B5" s="405"/>
      <c r="C5" s="3261" t="s">
        <v>2535</v>
      </c>
      <c r="D5" s="3262"/>
      <c r="E5" s="3259" t="str">
        <f>土地案例!E7</f>
        <v>东西湖区径河街三店北路以南、径吴路以西</v>
      </c>
      <c r="F5" s="3260"/>
      <c r="G5" s="3261" t="str">
        <f>土地案例!E9</f>
        <v>东西湖区金山大道以北、新城十二路以西</v>
      </c>
      <c r="H5" s="3262"/>
      <c r="I5" s="3261" t="str">
        <f>土地案例!E11</f>
        <v>东西湖区金山大道以北、新城十二路以东</v>
      </c>
      <c r="J5" s="3262"/>
      <c r="K5" s="610"/>
      <c r="L5" s="1130"/>
      <c r="M5" s="1131"/>
      <c r="N5" s="1131"/>
      <c r="O5" s="1131"/>
      <c r="P5" s="3274"/>
      <c r="Q5" s="3275"/>
      <c r="R5" s="3257"/>
      <c r="S5" s="3258"/>
      <c r="T5" s="3257"/>
      <c r="U5" s="3258"/>
      <c r="V5" s="3280"/>
      <c r="W5" s="3280"/>
      <c r="X5" s="1812"/>
      <c r="Y5" s="3257"/>
      <c r="Z5" s="3258"/>
      <c r="AA5" s="3251"/>
      <c r="AB5" s="3251"/>
      <c r="AC5" s="3251"/>
    </row>
    <row r="6" spans="1:30" ht="15.75" thickBot="1">
      <c r="A6" s="406"/>
      <c r="B6" s="407"/>
      <c r="C6" s="3263" t="s">
        <v>2539</v>
      </c>
      <c r="D6" s="3264"/>
      <c r="E6" s="3265" t="str">
        <f>土地案例!G7</f>
        <v>P(2018)190号</v>
      </c>
      <c r="F6" s="3266"/>
      <c r="G6" s="3263" t="str">
        <f>土地案例!G9</f>
        <v>P(2018)164号</v>
      </c>
      <c r="H6" s="3264"/>
      <c r="I6" s="3263" t="str">
        <f>土地案例!G11</f>
        <v>P(2018)135号</v>
      </c>
      <c r="J6" s="3264"/>
      <c r="K6" s="610" t="s">
        <v>2540</v>
      </c>
      <c r="L6" s="1130"/>
      <c r="M6" s="1131"/>
      <c r="N6" s="1131"/>
      <c r="O6" s="1131"/>
      <c r="P6" s="3276"/>
      <c r="Q6" s="3277"/>
      <c r="R6" s="3257"/>
      <c r="S6" s="3258"/>
      <c r="T6" s="3278"/>
      <c r="U6" s="3279"/>
      <c r="V6" s="3280"/>
      <c r="W6" s="3280"/>
      <c r="X6" s="1812"/>
      <c r="Y6" s="3278"/>
      <c r="Z6" s="3279"/>
      <c r="AA6" s="3252"/>
      <c r="AB6" s="3252"/>
      <c r="AC6" s="3252"/>
    </row>
    <row r="7" spans="1:30" s="117" customFormat="1" ht="15.75" thickBot="1">
      <c r="A7" s="408" t="s">
        <v>2541</v>
      </c>
      <c r="B7" s="409"/>
      <c r="C7" s="410">
        <f>'数据-取费表'!B2</f>
        <v>43601</v>
      </c>
      <c r="D7" s="411">
        <v>100</v>
      </c>
      <c r="E7" s="412" t="str">
        <f>土地案例!L7</f>
        <v>2019-01-25</v>
      </c>
      <c r="F7" s="413">
        <f>SUMIF(70:70,YEAR(E7)&amp;"-"&amp;INT((MONTH(E7)+2)/3),71:71)</f>
        <v>99</v>
      </c>
      <c r="G7" s="2694" t="str">
        <f>土地案例!L9</f>
        <v>2018-12-25</v>
      </c>
      <c r="H7" s="411">
        <f>SUMIF(70:70,YEAR(G7)&amp;"-"&amp;INT((MONTH(G7)+2)/3),71:71)</f>
        <v>98</v>
      </c>
      <c r="I7" s="2694" t="str">
        <f>土地案例!L11</f>
        <v>2018-11-30</v>
      </c>
      <c r="J7" s="411">
        <f>SUMIF(70:70,YEAR(I7)&amp;"-"&amp;INT((MONTH(I7)+2)/3),71:71)</f>
        <v>98</v>
      </c>
      <c r="K7" s="611"/>
      <c r="L7" s="1132"/>
      <c r="M7" s="1133"/>
      <c r="N7" s="1133"/>
      <c r="O7" s="1133"/>
      <c r="P7" s="3253" t="s">
        <v>2542</v>
      </c>
      <c r="Q7" s="3281"/>
      <c r="R7" s="770" t="s">
        <v>17</v>
      </c>
      <c r="S7" s="771">
        <f t="shared" ref="S7:S15" si="0">F7</f>
        <v>99</v>
      </c>
      <c r="T7" s="770" t="s">
        <v>17</v>
      </c>
      <c r="U7" s="771">
        <f t="shared" ref="U7:U15" si="1">H7</f>
        <v>98</v>
      </c>
      <c r="V7" s="770" t="s">
        <v>17</v>
      </c>
      <c r="W7" s="771">
        <f t="shared" ref="W7:W15" si="2">J7</f>
        <v>98</v>
      </c>
      <c r="X7" s="772"/>
      <c r="Y7" s="3253" t="s">
        <v>2542</v>
      </c>
      <c r="Z7" s="3254"/>
      <c r="AA7" s="773">
        <f>D7/F7</f>
        <v>1.0101010101010102</v>
      </c>
      <c r="AB7" s="773">
        <f>D7/H7</f>
        <v>1.0204081632653061</v>
      </c>
      <c r="AC7" s="773">
        <f>D7/J7</f>
        <v>1.0204081632653061</v>
      </c>
    </row>
    <row r="8" spans="1:30" s="117" customFormat="1" ht="15.75" thickBot="1">
      <c r="A8" s="408" t="s">
        <v>2543</v>
      </c>
      <c r="B8" s="409"/>
      <c r="C8" s="414" t="s">
        <v>2544</v>
      </c>
      <c r="D8" s="411">
        <v>100</v>
      </c>
      <c r="E8" s="414" t="s">
        <v>3416</v>
      </c>
      <c r="F8" s="413">
        <f>SUMIF(73:73,E8,74:74)-SUMIF(73:73,C8,74:74)+100</f>
        <v>100</v>
      </c>
      <c r="G8" s="414" t="s">
        <v>3416</v>
      </c>
      <c r="H8" s="411">
        <f>SUMIF(73:73,G8,74:74)-SUMIF(73:73,C8,74:74)+100</f>
        <v>100</v>
      </c>
      <c r="I8" s="414" t="s">
        <v>3416</v>
      </c>
      <c r="J8" s="411">
        <f>SUMIF(73:73,I8,74:74)-SUMIF(73:73,C8,74:74)+100</f>
        <v>100</v>
      </c>
      <c r="K8" s="611"/>
      <c r="L8" s="1132"/>
      <c r="M8" s="1133"/>
      <c r="N8" s="1133"/>
      <c r="O8" s="1133"/>
      <c r="P8" s="3253" t="s">
        <v>2545</v>
      </c>
      <c r="Q8" s="3254"/>
      <c r="R8" s="770" t="s">
        <v>17</v>
      </c>
      <c r="S8" s="771">
        <f t="shared" si="0"/>
        <v>100</v>
      </c>
      <c r="T8" s="770" t="s">
        <v>17</v>
      </c>
      <c r="U8" s="771">
        <f t="shared" si="1"/>
        <v>100</v>
      </c>
      <c r="V8" s="770" t="s">
        <v>17</v>
      </c>
      <c r="W8" s="771">
        <f t="shared" si="2"/>
        <v>100</v>
      </c>
      <c r="X8" s="772"/>
      <c r="Y8" s="3253" t="s">
        <v>2545</v>
      </c>
      <c r="Z8" s="3254"/>
      <c r="AA8" s="773">
        <f t="shared" ref="AA8:AA45" si="3">D8/F8</f>
        <v>1</v>
      </c>
      <c r="AB8" s="773">
        <f t="shared" ref="AB8:AB45" si="4">D8/H8</f>
        <v>1</v>
      </c>
      <c r="AC8" s="773">
        <f t="shared" ref="AC8:AC45" si="5">D8/J8</f>
        <v>1</v>
      </c>
    </row>
    <row r="9" spans="1:30" s="117" customFormat="1">
      <c r="A9" s="415" t="s">
        <v>2546</v>
      </c>
      <c r="B9" s="71" t="s">
        <v>2547</v>
      </c>
      <c r="C9" s="2697" t="s">
        <v>3170</v>
      </c>
      <c r="D9" s="135">
        <v>100</v>
      </c>
      <c r="E9" s="2697" t="s">
        <v>3242</v>
      </c>
      <c r="F9" s="135">
        <f>SUMIF(75:75,E9,76:76)-SUMIF(75:75,C9,76:76)+100</f>
        <v>100</v>
      </c>
      <c r="G9" s="2697" t="s">
        <v>3242</v>
      </c>
      <c r="H9" s="135">
        <f>SUMIF(75:75,G9,76:76)-SUMIF(75:75,C9,76:76)+100</f>
        <v>100</v>
      </c>
      <c r="I9" s="2697" t="s">
        <v>3242</v>
      </c>
      <c r="J9" s="135">
        <f>SUMIF(75:75,I9,76:76)-SUMIF(75:75,C9,76:76)+100</f>
        <v>100</v>
      </c>
      <c r="K9" s="611"/>
      <c r="L9" s="1132"/>
      <c r="M9" s="1133"/>
      <c r="N9" s="1133"/>
      <c r="O9" s="1134"/>
      <c r="P9" s="3267"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30" ht="15">
      <c r="A11" s="428"/>
      <c r="B11" s="422" t="s">
        <v>2551</v>
      </c>
      <c r="C11" s="429">
        <v>2</v>
      </c>
      <c r="D11" s="136">
        <v>100</v>
      </c>
      <c r="E11" s="429">
        <v>2.83</v>
      </c>
      <c r="F11" s="136">
        <f>LOOKUP(E11,80:80,81:81)-LOOKUP(C11,80:80,81:81)+100</f>
        <v>95</v>
      </c>
      <c r="G11" s="430">
        <v>3</v>
      </c>
      <c r="H11" s="136">
        <f>LOOKUP(G11,80:80,81:81)-LOOKUP(C11,80:80,81:81)+100</f>
        <v>90</v>
      </c>
      <c r="I11" s="429">
        <v>3</v>
      </c>
      <c r="J11" s="136">
        <f>LOOKUP(I11,80:80,81:81)-LOOKUP(C11,80:80,81:81)+100</f>
        <v>90</v>
      </c>
      <c r="K11" s="673">
        <v>5</v>
      </c>
      <c r="L11" s="1138"/>
      <c r="M11" s="1131"/>
      <c r="N11" s="1131"/>
      <c r="O11" s="1139"/>
      <c r="P11" s="3267"/>
      <c r="Q11" s="1794" t="str">
        <f t="shared" si="6"/>
        <v>容积率</v>
      </c>
      <c r="R11" s="770" t="s">
        <v>17</v>
      </c>
      <c r="S11" s="771">
        <f t="shared" si="0"/>
        <v>95</v>
      </c>
      <c r="T11" s="770" t="s">
        <v>17</v>
      </c>
      <c r="U11" s="771">
        <f t="shared" si="1"/>
        <v>90</v>
      </c>
      <c r="V11" s="770" t="s">
        <v>17</v>
      </c>
      <c r="W11" s="771">
        <f t="shared" si="2"/>
        <v>90</v>
      </c>
      <c r="X11" s="772"/>
      <c r="Y11" s="3113"/>
      <c r="Z11" s="55" t="str">
        <f t="shared" si="7"/>
        <v>容积率</v>
      </c>
      <c r="AA11" s="773">
        <f t="shared" si="3"/>
        <v>1.0526315789473684</v>
      </c>
      <c r="AB11" s="773">
        <f t="shared" si="4"/>
        <v>1.1111111111111112</v>
      </c>
      <c r="AC11" s="773">
        <f t="shared" si="5"/>
        <v>1.1111111111111112</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7"/>
      <c r="Q12" s="1794" t="str">
        <f t="shared" si="6"/>
        <v>配建</v>
      </c>
      <c r="R12" s="770" t="s">
        <v>17</v>
      </c>
      <c r="S12" s="771">
        <f t="shared" si="0"/>
        <v>100</v>
      </c>
      <c r="T12" s="770" t="s">
        <v>17</v>
      </c>
      <c r="U12" s="771">
        <f t="shared" si="1"/>
        <v>100</v>
      </c>
      <c r="V12" s="770" t="s">
        <v>17</v>
      </c>
      <c r="W12" s="771">
        <f t="shared" si="2"/>
        <v>100</v>
      </c>
      <c r="X12" s="772"/>
      <c r="Y12" s="3113"/>
      <c r="Z12" s="55" t="str">
        <f t="shared" si="7"/>
        <v>配建</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7"/>
      <c r="Q13" s="1794">
        <f t="shared" si="6"/>
        <v>0</v>
      </c>
      <c r="R13" s="770" t="s">
        <v>17</v>
      </c>
      <c r="S13" s="771">
        <f t="shared" si="0"/>
        <v>100</v>
      </c>
      <c r="T13" s="770" t="s">
        <v>17</v>
      </c>
      <c r="U13" s="771">
        <f t="shared" si="1"/>
        <v>100</v>
      </c>
      <c r="V13" s="770" t="s">
        <v>17</v>
      </c>
      <c r="W13" s="771">
        <f t="shared" si="2"/>
        <v>100</v>
      </c>
      <c r="X13" s="772"/>
      <c r="Y13" s="3113"/>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7"/>
      <c r="Q14" s="1794">
        <f t="shared" si="6"/>
        <v>0</v>
      </c>
      <c r="R14" s="770" t="s">
        <v>17</v>
      </c>
      <c r="S14" s="771">
        <f t="shared" si="0"/>
        <v>100</v>
      </c>
      <c r="T14" s="770" t="s">
        <v>17</v>
      </c>
      <c r="U14" s="771">
        <f t="shared" si="1"/>
        <v>100</v>
      </c>
      <c r="V14" s="770" t="s">
        <v>17</v>
      </c>
      <c r="W14" s="771">
        <f t="shared" si="2"/>
        <v>100</v>
      </c>
      <c r="X14" s="772"/>
      <c r="Y14" s="3113"/>
      <c r="Z14" s="55">
        <f t="shared" si="7"/>
        <v>0</v>
      </c>
      <c r="AA14" s="773">
        <f>D14/F14</f>
        <v>1</v>
      </c>
      <c r="AB14" s="773">
        <f>D14/H14</f>
        <v>1</v>
      </c>
      <c r="AC14" s="773">
        <f>D14/J14</f>
        <v>1</v>
      </c>
    </row>
    <row r="15" spans="1:30" ht="99.75">
      <c r="A15" s="440" t="s">
        <v>2552</v>
      </c>
      <c r="B15" s="69" t="s">
        <v>2081</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2"/>
      <c r="J15" s="441">
        <f>SUMIF(88:88,I16,89:89)-SUMIF(88:88,C16,89:89)+100</f>
        <v>100</v>
      </c>
      <c r="K15" s="673">
        <v>3</v>
      </c>
      <c r="L15" s="1140"/>
      <c r="M15" s="1131"/>
      <c r="N15" s="1131"/>
      <c r="O15" s="1139"/>
      <c r="P15" s="3282" t="s">
        <v>2553</v>
      </c>
      <c r="Q15" s="1809" t="str">
        <f t="shared" si="6"/>
        <v>居住社区成熟度</v>
      </c>
      <c r="R15" s="774" t="s">
        <v>17</v>
      </c>
      <c r="S15" s="775">
        <f t="shared" si="0"/>
        <v>100</v>
      </c>
      <c r="T15" s="774" t="s">
        <v>17</v>
      </c>
      <c r="U15" s="775">
        <f t="shared" si="1"/>
        <v>100</v>
      </c>
      <c r="V15" s="774" t="s">
        <v>17</v>
      </c>
      <c r="W15" s="775">
        <f t="shared" si="2"/>
        <v>100</v>
      </c>
      <c r="X15" s="1812"/>
      <c r="Y15" s="3282" t="s">
        <v>2553</v>
      </c>
      <c r="Z15" s="1813" t="str">
        <f t="shared" si="7"/>
        <v>居住社区成熟度</v>
      </c>
      <c r="AA15" s="1810">
        <f t="shared" si="3"/>
        <v>1</v>
      </c>
      <c r="AB15" s="1810">
        <f t="shared" si="4"/>
        <v>1</v>
      </c>
      <c r="AC15" s="1810">
        <f t="shared" si="5"/>
        <v>1</v>
      </c>
    </row>
    <row r="16" spans="1:30" ht="15">
      <c r="A16" s="428"/>
      <c r="B16" s="446"/>
      <c r="C16" s="447" t="s">
        <v>3417</v>
      </c>
      <c r="D16" s="448"/>
      <c r="E16" s="447" t="s">
        <v>3417</v>
      </c>
      <c r="F16" s="448"/>
      <c r="G16" s="447" t="s">
        <v>3417</v>
      </c>
      <c r="H16" s="450"/>
      <c r="I16" s="447" t="s">
        <v>3417</v>
      </c>
      <c r="J16" s="448"/>
      <c r="K16" s="672"/>
      <c r="L16" s="1140"/>
      <c r="M16" s="1131"/>
      <c r="N16" s="1131"/>
      <c r="O16" s="1139"/>
      <c r="P16" s="3283"/>
      <c r="Q16" s="1809"/>
      <c r="R16" s="774"/>
      <c r="S16" s="775"/>
      <c r="T16" s="774"/>
      <c r="U16" s="775"/>
      <c r="V16" s="774"/>
      <c r="W16" s="775"/>
      <c r="X16" s="1812"/>
      <c r="Y16" s="3283"/>
      <c r="Z16" s="1813"/>
      <c r="AA16" s="1810">
        <v>1</v>
      </c>
      <c r="AB16" s="1810">
        <v>1</v>
      </c>
      <c r="AC16" s="1810">
        <v>1</v>
      </c>
    </row>
    <row r="17" spans="1:29" ht="71.25">
      <c r="A17" s="428"/>
      <c r="B17" s="451" t="s">
        <v>2646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2</v>
      </c>
      <c r="L17" s="1140"/>
      <c r="M17" s="1131"/>
      <c r="N17" s="1131"/>
      <c r="O17" s="1139"/>
      <c r="P17" s="3283"/>
      <c r="Q17" s="1809" t="str">
        <f>B17</f>
        <v>商业繁华度</v>
      </c>
      <c r="R17" s="774" t="s">
        <v>17</v>
      </c>
      <c r="S17" s="775">
        <f>F17</f>
        <v>100</v>
      </c>
      <c r="T17" s="774" t="s">
        <v>17</v>
      </c>
      <c r="U17" s="775">
        <f>H17</f>
        <v>100</v>
      </c>
      <c r="V17" s="774" t="s">
        <v>17</v>
      </c>
      <c r="W17" s="775">
        <f>J17</f>
        <v>100</v>
      </c>
      <c r="X17" s="1812"/>
      <c r="Y17" s="3283"/>
      <c r="Z17" s="1813" t="str">
        <f>Q17</f>
        <v>商业繁华度</v>
      </c>
      <c r="AA17" s="1810">
        <f t="shared" si="3"/>
        <v>1</v>
      </c>
      <c r="AB17" s="1810">
        <f t="shared" si="4"/>
        <v>1</v>
      </c>
      <c r="AC17" s="1810">
        <f t="shared" si="5"/>
        <v>1</v>
      </c>
    </row>
    <row r="18" spans="1:29" ht="15">
      <c r="A18" s="428"/>
      <c r="B18" s="456"/>
      <c r="C18" s="2607" t="s">
        <v>3417</v>
      </c>
      <c r="D18" s="450"/>
      <c r="E18" s="2609" t="s">
        <v>3417</v>
      </c>
      <c r="F18" s="450"/>
      <c r="G18" s="2609" t="s">
        <v>3417</v>
      </c>
      <c r="H18" s="448"/>
      <c r="I18" s="2609" t="s">
        <v>3417</v>
      </c>
      <c r="J18" s="448"/>
      <c r="K18" s="672"/>
      <c r="L18" s="1140"/>
      <c r="M18" s="1131"/>
      <c r="N18" s="1131"/>
      <c r="O18" s="1139"/>
      <c r="P18" s="3283"/>
      <c r="Q18" s="1809"/>
      <c r="R18" s="774"/>
      <c r="S18" s="775"/>
      <c r="T18" s="774"/>
      <c r="U18" s="775"/>
      <c r="V18" s="774"/>
      <c r="W18" s="775"/>
      <c r="X18" s="1812"/>
      <c r="Y18" s="3283"/>
      <c r="Z18" s="1813"/>
      <c r="AA18" s="1810">
        <v>1</v>
      </c>
      <c r="AB18" s="1810">
        <v>1</v>
      </c>
      <c r="AC18" s="1810">
        <v>1</v>
      </c>
    </row>
    <row r="19" spans="1:29" ht="71.25" hidden="1">
      <c r="A19" s="428"/>
      <c r="B19" s="451" t="s">
        <v>2680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283"/>
      <c r="Q19" s="1809" t="str">
        <f>B19</f>
        <v>办公集聚程度</v>
      </c>
      <c r="R19" s="774" t="s">
        <v>17</v>
      </c>
      <c r="S19" s="775">
        <f>F19</f>
        <v>100</v>
      </c>
      <c r="T19" s="774" t="s">
        <v>17</v>
      </c>
      <c r="U19" s="775">
        <f>H19</f>
        <v>100</v>
      </c>
      <c r="V19" s="774" t="s">
        <v>17</v>
      </c>
      <c r="W19" s="775">
        <f>J19</f>
        <v>100</v>
      </c>
      <c r="X19" s="1812"/>
      <c r="Y19" s="3283"/>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4"/>
      <c r="J20" s="448"/>
      <c r="K20" s="672"/>
      <c r="L20" s="1140"/>
      <c r="M20" s="1131"/>
      <c r="N20" s="1131"/>
      <c r="O20" s="1139"/>
      <c r="P20" s="3283"/>
      <c r="Q20" s="1809"/>
      <c r="R20" s="774"/>
      <c r="S20" s="775"/>
      <c r="T20" s="774"/>
      <c r="U20" s="775"/>
      <c r="V20" s="774"/>
      <c r="W20" s="775"/>
      <c r="X20" s="1812"/>
      <c r="Y20" s="3283"/>
      <c r="Z20" s="1813"/>
      <c r="AA20" s="1810">
        <v>1</v>
      </c>
      <c r="AB20" s="1810">
        <v>1</v>
      </c>
      <c r="AC20" s="1810">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95</v>
      </c>
      <c r="I21" s="452"/>
      <c r="J21" s="450">
        <f>SUMIF(94:94,I22,95:95)-SUMIF(94:94,C22,95:95)+100</f>
        <v>95</v>
      </c>
      <c r="K21" s="673">
        <v>5</v>
      </c>
      <c r="L21" s="1140"/>
      <c r="M21" s="1131"/>
      <c r="N21" s="1131"/>
      <c r="O21" s="1139"/>
      <c r="P21" s="3283"/>
      <c r="Q21" s="1809" t="str">
        <f>B21</f>
        <v>交通便捷度</v>
      </c>
      <c r="R21" s="774" t="s">
        <v>17</v>
      </c>
      <c r="S21" s="775">
        <f>F21</f>
        <v>100</v>
      </c>
      <c r="T21" s="774" t="s">
        <v>17</v>
      </c>
      <c r="U21" s="775">
        <f>H21</f>
        <v>95</v>
      </c>
      <c r="V21" s="774" t="s">
        <v>17</v>
      </c>
      <c r="W21" s="775">
        <f>J21</f>
        <v>95</v>
      </c>
      <c r="X21" s="1812"/>
      <c r="Y21" s="3283"/>
      <c r="Z21" s="1813" t="str">
        <f>Q21</f>
        <v>交通便捷度</v>
      </c>
      <c r="AA21" s="1810">
        <f t="shared" si="3"/>
        <v>1</v>
      </c>
      <c r="AB21" s="1810">
        <f t="shared" si="4"/>
        <v>1.0526315789473684</v>
      </c>
      <c r="AC21" s="1810">
        <f t="shared" si="5"/>
        <v>1.0526315789473684</v>
      </c>
    </row>
    <row r="22" spans="1:29" ht="15">
      <c r="A22" s="428"/>
      <c r="B22" s="1384"/>
      <c r="C22" s="447" t="s">
        <v>3418</v>
      </c>
      <c r="D22" s="450"/>
      <c r="E22" s="2604" t="s">
        <v>3418</v>
      </c>
      <c r="F22" s="448"/>
      <c r="G22" s="2604" t="s">
        <v>3417</v>
      </c>
      <c r="H22" s="448"/>
      <c r="I22" s="2604" t="s">
        <v>3417</v>
      </c>
      <c r="J22" s="448"/>
      <c r="K22" s="672"/>
      <c r="L22" s="1140"/>
      <c r="M22" s="1131"/>
      <c r="N22" s="1131"/>
      <c r="O22" s="1139"/>
      <c r="P22" s="3283"/>
      <c r="Q22" s="1809"/>
      <c r="R22" s="774"/>
      <c r="S22" s="775"/>
      <c r="T22" s="774"/>
      <c r="U22" s="775"/>
      <c r="V22" s="774"/>
      <c r="W22" s="775"/>
      <c r="X22" s="1812"/>
      <c r="Y22" s="3283"/>
      <c r="Z22" s="1813"/>
      <c r="AA22" s="1810">
        <v>1</v>
      </c>
      <c r="AB22" s="1810">
        <v>1</v>
      </c>
      <c r="AC22" s="1810">
        <v>1</v>
      </c>
    </row>
    <row r="23" spans="1:29" ht="15">
      <c r="A23" s="404"/>
      <c r="B23" s="451" t="s">
        <v>2741</v>
      </c>
      <c r="C23" s="1389">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40"/>
      <c r="M23" s="1131"/>
      <c r="N23" s="1131"/>
      <c r="O23" s="1139"/>
      <c r="P23" s="3283"/>
      <c r="Q23" s="1809" t="str">
        <f t="shared" ref="Q23:Q37" si="8">B23</f>
        <v>区域土地利用方向</v>
      </c>
      <c r="R23" s="774" t="s">
        <v>17</v>
      </c>
      <c r="S23" s="775">
        <f>F23</f>
        <v>100</v>
      </c>
      <c r="T23" s="774" t="s">
        <v>17</v>
      </c>
      <c r="U23" s="775">
        <f>H23</f>
        <v>100</v>
      </c>
      <c r="V23" s="774" t="s">
        <v>17</v>
      </c>
      <c r="W23" s="775">
        <f>J23</f>
        <v>100</v>
      </c>
      <c r="X23" s="1812"/>
      <c r="Y23" s="3283"/>
      <c r="Z23" s="1813" t="str">
        <f>Q23</f>
        <v>区域土地利用方向</v>
      </c>
      <c r="AA23" s="1810">
        <f t="shared" si="3"/>
        <v>1</v>
      </c>
      <c r="AB23" s="1810">
        <f t="shared" si="4"/>
        <v>1</v>
      </c>
      <c r="AC23" s="1810">
        <f t="shared" si="5"/>
        <v>1</v>
      </c>
    </row>
    <row r="24" spans="1:29" ht="15">
      <c r="A24" s="404"/>
      <c r="B24" s="456"/>
      <c r="C24" s="616" t="s">
        <v>3418</v>
      </c>
      <c r="D24" s="448"/>
      <c r="E24" s="2604" t="s">
        <v>3418</v>
      </c>
      <c r="F24" s="448"/>
      <c r="G24" s="2604" t="s">
        <v>3418</v>
      </c>
      <c r="H24" s="448"/>
      <c r="I24" s="2604" t="s">
        <v>3418</v>
      </c>
      <c r="J24" s="448"/>
      <c r="K24" s="812"/>
      <c r="L24" s="1140"/>
      <c r="M24" s="1131"/>
      <c r="N24" s="1131"/>
      <c r="O24" s="1139"/>
      <c r="P24" s="3283"/>
      <c r="Q24" s="1809"/>
      <c r="R24" s="774"/>
      <c r="S24" s="775"/>
      <c r="T24" s="774"/>
      <c r="U24" s="775"/>
      <c r="V24" s="774"/>
      <c r="W24" s="775"/>
      <c r="X24" s="1812"/>
      <c r="Y24" s="3283"/>
      <c r="Z24" s="1813"/>
      <c r="AA24" s="1810"/>
      <c r="AB24" s="1810"/>
      <c r="AC24" s="1810"/>
    </row>
    <row r="25" spans="1:29" ht="57">
      <c r="A25" s="404"/>
      <c r="B25" s="1384" t="s">
        <v>2742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2</v>
      </c>
      <c r="L25" s="1140"/>
      <c r="M25" s="1131"/>
      <c r="N25" s="1131"/>
      <c r="O25" s="1139"/>
      <c r="P25" s="3283"/>
      <c r="Q25" s="1809" t="str">
        <f t="shared" si="8"/>
        <v>自然及人文环境状况</v>
      </c>
      <c r="R25" s="774" t="s">
        <v>17</v>
      </c>
      <c r="S25" s="775">
        <f>F25</f>
        <v>100</v>
      </c>
      <c r="T25" s="774" t="s">
        <v>17</v>
      </c>
      <c r="U25" s="775">
        <f>H25</f>
        <v>100</v>
      </c>
      <c r="V25" s="774" t="s">
        <v>17</v>
      </c>
      <c r="W25" s="775">
        <f>J25</f>
        <v>100</v>
      </c>
      <c r="X25" s="1812"/>
      <c r="Y25" s="3283"/>
      <c r="Z25" s="1813" t="str">
        <f>Q25</f>
        <v>自然及人文环境状况</v>
      </c>
      <c r="AA25" s="1810">
        <f t="shared" si="3"/>
        <v>1</v>
      </c>
      <c r="AB25" s="1810">
        <f t="shared" si="4"/>
        <v>1</v>
      </c>
      <c r="AC25" s="1810">
        <f t="shared" si="5"/>
        <v>1</v>
      </c>
    </row>
    <row r="26" spans="1:29" ht="15">
      <c r="A26" s="404"/>
      <c r="B26" s="456"/>
      <c r="C26" s="447" t="s">
        <v>3417</v>
      </c>
      <c r="D26" s="448"/>
      <c r="E26" s="2610" t="s">
        <v>3417</v>
      </c>
      <c r="F26" s="448"/>
      <c r="G26" s="2610" t="s">
        <v>3417</v>
      </c>
      <c r="H26" s="448"/>
      <c r="I26" s="2610" t="s">
        <v>3417</v>
      </c>
      <c r="J26" s="448"/>
      <c r="K26" s="672"/>
      <c r="L26" s="1140"/>
      <c r="M26" s="1131"/>
      <c r="N26" s="1131"/>
      <c r="O26" s="1139"/>
      <c r="P26" s="3283"/>
      <c r="Q26" s="1809"/>
      <c r="R26" s="774"/>
      <c r="S26" s="775"/>
      <c r="T26" s="774"/>
      <c r="U26" s="775"/>
      <c r="V26" s="774"/>
      <c r="W26" s="775"/>
      <c r="X26" s="1812"/>
      <c r="Y26" s="3283"/>
      <c r="Z26" s="1813"/>
      <c r="AA26" s="1810">
        <v>1</v>
      </c>
      <c r="AB26" s="1810">
        <v>1</v>
      </c>
      <c r="AC26" s="1810">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32"/>
      <c r="M27" s="1133"/>
      <c r="N27" s="1133"/>
      <c r="O27" s="1134"/>
      <c r="P27" s="3283"/>
      <c r="Q27" s="1794" t="str">
        <f t="shared" si="8"/>
        <v>公共配套设施</v>
      </c>
      <c r="R27" s="770" t="s">
        <v>17</v>
      </c>
      <c r="S27" s="771">
        <f>F27</f>
        <v>100</v>
      </c>
      <c r="T27" s="770" t="s">
        <v>17</v>
      </c>
      <c r="U27" s="771">
        <f>H27</f>
        <v>100</v>
      </c>
      <c r="V27" s="770" t="s">
        <v>17</v>
      </c>
      <c r="W27" s="771">
        <f>J27</f>
        <v>100</v>
      </c>
      <c r="X27" s="772"/>
      <c r="Y27" s="3283"/>
      <c r="Z27" s="55" t="str">
        <f>Q27</f>
        <v>公共配套设施</v>
      </c>
      <c r="AA27" s="1810">
        <f>D27/F27</f>
        <v>1</v>
      </c>
      <c r="AB27" s="1810">
        <f>D27/H27</f>
        <v>1</v>
      </c>
      <c r="AC27" s="1810">
        <f>D27/J27</f>
        <v>1</v>
      </c>
    </row>
    <row r="28" spans="1:29" s="117" customFormat="1" ht="15">
      <c r="A28" s="649"/>
      <c r="B28" s="456"/>
      <c r="C28" s="2698" t="s">
        <v>3417</v>
      </c>
      <c r="D28" s="448"/>
      <c r="E28" s="2610" t="s">
        <v>3417</v>
      </c>
      <c r="F28" s="448"/>
      <c r="G28" s="2610" t="s">
        <v>3417</v>
      </c>
      <c r="H28" s="448"/>
      <c r="I28" s="2610" t="s">
        <v>3417</v>
      </c>
      <c r="J28" s="448"/>
      <c r="K28" s="672"/>
      <c r="L28" s="1132"/>
      <c r="M28" s="1133"/>
      <c r="N28" s="1133"/>
      <c r="O28" s="1134"/>
      <c r="P28" s="3283"/>
      <c r="Q28" s="1794"/>
      <c r="R28" s="770"/>
      <c r="S28" s="771"/>
      <c r="T28" s="770"/>
      <c r="U28" s="771"/>
      <c r="V28" s="770"/>
      <c r="W28" s="771"/>
      <c r="X28" s="772"/>
      <c r="Y28" s="3283"/>
      <c r="Z28" s="55"/>
      <c r="AA28" s="1810">
        <v>1</v>
      </c>
      <c r="AB28" s="1810">
        <v>1</v>
      </c>
      <c r="AC28" s="1810">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32"/>
      <c r="M29" s="1133"/>
      <c r="N29" s="1133"/>
      <c r="O29" s="1134"/>
      <c r="P29" s="3283"/>
      <c r="Q29" s="1794" t="str">
        <f t="shared" ref="Q29" si="9">B29</f>
        <v>基础设施水平</v>
      </c>
      <c r="R29" s="770" t="s">
        <v>17</v>
      </c>
      <c r="S29" s="771">
        <f>F29</f>
        <v>100</v>
      </c>
      <c r="T29" s="770" t="s">
        <v>17</v>
      </c>
      <c r="U29" s="771">
        <f>H29</f>
        <v>100</v>
      </c>
      <c r="V29" s="770" t="s">
        <v>17</v>
      </c>
      <c r="W29" s="771">
        <f>J29</f>
        <v>100</v>
      </c>
      <c r="X29" s="772"/>
      <c r="Y29" s="3283"/>
      <c r="Z29" s="55" t="str">
        <f>Q29</f>
        <v>基础设施水平</v>
      </c>
      <c r="AA29" s="1810">
        <f>D29/F29</f>
        <v>1</v>
      </c>
      <c r="AB29" s="1810">
        <f>D29/H29</f>
        <v>1</v>
      </c>
      <c r="AC29" s="1810">
        <f>D29/J29</f>
        <v>1</v>
      </c>
    </row>
    <row r="30" spans="1:29" s="117" customFormat="1" ht="15">
      <c r="A30" s="649"/>
      <c r="B30" s="456"/>
      <c r="C30" s="2698" t="s">
        <v>3419</v>
      </c>
      <c r="D30" s="448"/>
      <c r="E30" s="2699" t="s">
        <v>3419</v>
      </c>
      <c r="F30" s="448"/>
      <c r="G30" s="2699" t="s">
        <v>3419</v>
      </c>
      <c r="H30" s="448"/>
      <c r="I30" s="2699" t="s">
        <v>3419</v>
      </c>
      <c r="J30" s="448"/>
      <c r="K30" s="672"/>
      <c r="L30" s="1132"/>
      <c r="M30" s="1133"/>
      <c r="N30" s="1133"/>
      <c r="O30" s="1134"/>
      <c r="P30" s="3283"/>
      <c r="Q30" s="1794"/>
      <c r="R30" s="770"/>
      <c r="S30" s="771"/>
      <c r="T30" s="770"/>
      <c r="U30" s="771"/>
      <c r="V30" s="770"/>
      <c r="W30" s="771"/>
      <c r="X30" s="772"/>
      <c r="Y30" s="3283"/>
      <c r="Z30" s="55"/>
      <c r="AA30" s="1810">
        <v>1</v>
      </c>
      <c r="AB30" s="1810">
        <v>1</v>
      </c>
      <c r="AC30" s="1810">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83"/>
      <c r="Z31" s="1813" t="str">
        <f t="shared" ref="Z31:Z45" si="13">Q31</f>
        <v>临街状况</v>
      </c>
      <c r="AA31" s="1810">
        <f t="shared" si="3"/>
        <v>1</v>
      </c>
      <c r="AB31" s="1810">
        <f t="shared" si="4"/>
        <v>1</v>
      </c>
      <c r="AC31" s="1810">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40"/>
      <c r="M32" s="1131"/>
      <c r="N32" s="1131"/>
      <c r="O32" s="1139"/>
      <c r="P32" s="3283"/>
      <c r="Q32" s="1809" t="str">
        <f t="shared" si="8"/>
        <v>毗邻道路的类型与等级</v>
      </c>
      <c r="R32" s="774" t="s">
        <v>17</v>
      </c>
      <c r="S32" s="775">
        <f t="shared" si="10"/>
        <v>100</v>
      </c>
      <c r="T32" s="774" t="s">
        <v>17</v>
      </c>
      <c r="U32" s="775">
        <f t="shared" si="11"/>
        <v>100</v>
      </c>
      <c r="V32" s="774" t="s">
        <v>17</v>
      </c>
      <c r="W32" s="775">
        <f t="shared" si="12"/>
        <v>100</v>
      </c>
      <c r="X32" s="1812"/>
      <c r="Y32" s="328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2610"/>
      <c r="J33" s="448"/>
      <c r="K33" s="613"/>
      <c r="L33" s="1140"/>
      <c r="M33" s="1131"/>
      <c r="N33" s="1131"/>
      <c r="O33" s="1139"/>
      <c r="P33" s="3283"/>
      <c r="Q33" s="1809"/>
      <c r="R33" s="774"/>
      <c r="S33" s="775"/>
      <c r="T33" s="774"/>
      <c r="U33" s="775"/>
      <c r="V33" s="774"/>
      <c r="W33" s="775"/>
      <c r="X33" s="1812"/>
      <c r="Y33" s="3283"/>
      <c r="Z33" s="1813"/>
      <c r="AA33" s="1810">
        <v>1</v>
      </c>
      <c r="AB33" s="1810">
        <v>1</v>
      </c>
      <c r="AC33" s="1810">
        <v>1</v>
      </c>
    </row>
    <row r="34" spans="1:29" ht="15">
      <c r="A34" s="428"/>
      <c r="B34" s="422" t="s">
        <v>2743</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0"/>
      <c r="M34" s="1131"/>
      <c r="N34" s="1131"/>
      <c r="O34" s="1139"/>
      <c r="P34" s="3283"/>
      <c r="Q34" s="1809" t="str">
        <f t="shared" si="8"/>
        <v>土地级别</v>
      </c>
      <c r="R34" s="774" t="s">
        <v>17</v>
      </c>
      <c r="S34" s="775">
        <f t="shared" si="10"/>
        <v>100</v>
      </c>
      <c r="T34" s="774" t="s">
        <v>17</v>
      </c>
      <c r="U34" s="775">
        <f t="shared" si="11"/>
        <v>100</v>
      </c>
      <c r="V34" s="774" t="s">
        <v>17</v>
      </c>
      <c r="W34" s="775">
        <f t="shared" si="12"/>
        <v>100</v>
      </c>
      <c r="X34" s="1812"/>
      <c r="Y34" s="3283"/>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3"/>
      <c r="Q35" s="1809">
        <f t="shared" si="8"/>
        <v>0</v>
      </c>
      <c r="R35" s="774" t="s">
        <v>17</v>
      </c>
      <c r="S35" s="775">
        <f t="shared" si="10"/>
        <v>100</v>
      </c>
      <c r="T35" s="774" t="s">
        <v>17</v>
      </c>
      <c r="U35" s="775">
        <f t="shared" si="11"/>
        <v>100</v>
      </c>
      <c r="V35" s="774" t="s">
        <v>17</v>
      </c>
      <c r="W35" s="775">
        <f t="shared" si="12"/>
        <v>100</v>
      </c>
      <c r="X35" s="1812"/>
      <c r="Y35" s="3283"/>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4" t="s">
        <v>2558</v>
      </c>
      <c r="Q36" s="1809">
        <f t="shared" si="8"/>
        <v>0</v>
      </c>
      <c r="R36" s="774" t="s">
        <v>17</v>
      </c>
      <c r="S36" s="775">
        <f t="shared" si="10"/>
        <v>100</v>
      </c>
      <c r="T36" s="774" t="s">
        <v>17</v>
      </c>
      <c r="U36" s="775">
        <f t="shared" si="11"/>
        <v>100</v>
      </c>
      <c r="V36" s="774" t="s">
        <v>17</v>
      </c>
      <c r="W36" s="775">
        <f t="shared" si="12"/>
        <v>100</v>
      </c>
      <c r="X36" s="1812"/>
      <c r="Y36" s="3285" t="s">
        <v>2558</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5"/>
      <c r="Q37" s="1809">
        <f t="shared" si="8"/>
        <v>0</v>
      </c>
      <c r="R37" s="777" t="s">
        <v>17</v>
      </c>
      <c r="S37" s="778">
        <f t="shared" si="10"/>
        <v>100</v>
      </c>
      <c r="T37" s="777" t="s">
        <v>17</v>
      </c>
      <c r="U37" s="778">
        <f t="shared" si="11"/>
        <v>100</v>
      </c>
      <c r="V37" s="777" t="s">
        <v>17</v>
      </c>
      <c r="W37" s="778">
        <f t="shared" si="12"/>
        <v>100</v>
      </c>
      <c r="X37" s="779"/>
      <c r="Y37" s="3285"/>
      <c r="Z37" s="780">
        <f t="shared" si="13"/>
        <v>0</v>
      </c>
      <c r="AA37" s="1810">
        <f t="shared" si="3"/>
        <v>1</v>
      </c>
      <c r="AB37" s="1810">
        <f t="shared" si="4"/>
        <v>1</v>
      </c>
      <c r="AC37" s="1810">
        <f t="shared" si="5"/>
        <v>1</v>
      </c>
    </row>
    <row r="38" spans="1:29" ht="15">
      <c r="A38" s="472" t="s">
        <v>2556</v>
      </c>
      <c r="B38" s="456" t="s">
        <v>2744</v>
      </c>
      <c r="C38" s="679">
        <f>不动产权证书!K6</f>
        <v>128539.31</v>
      </c>
      <c r="D38" s="467">
        <v>100</v>
      </c>
      <c r="E38" s="679">
        <f>土地案例!I7</f>
        <v>171986.6</v>
      </c>
      <c r="F38" s="467">
        <f>LOOKUP(E38,117:117,118:118)-LOOKUP(C38,117:117,118:118)+100</f>
        <v>100</v>
      </c>
      <c r="G38" s="679">
        <f>土地案例!I9</f>
        <v>50450.66</v>
      </c>
      <c r="H38" s="467">
        <f>LOOKUP(G38,117:117,118:118)-LOOKUP(C38,117:117,118:118)+100</f>
        <v>99.5</v>
      </c>
      <c r="I38" s="530">
        <f>土地案例!I11</f>
        <v>47314.37</v>
      </c>
      <c r="J38" s="467">
        <f>LOOKUP(I38,117:117,118:118)-LOOKUP(C38,117:117,118:118)+100</f>
        <v>99</v>
      </c>
      <c r="K38" s="613"/>
      <c r="L38" s="1140"/>
      <c r="M38" s="1131"/>
      <c r="N38" s="1131"/>
      <c r="O38" s="1139"/>
      <c r="P38" s="3285"/>
      <c r="Q38" s="1809" t="str">
        <f>B38</f>
        <v>宗地面积</v>
      </c>
      <c r="R38" s="774" t="s">
        <v>17</v>
      </c>
      <c r="S38" s="775">
        <f t="shared" si="10"/>
        <v>100</v>
      </c>
      <c r="T38" s="774" t="s">
        <v>17</v>
      </c>
      <c r="U38" s="775">
        <f t="shared" si="11"/>
        <v>99.5</v>
      </c>
      <c r="V38" s="774" t="s">
        <v>17</v>
      </c>
      <c r="W38" s="775">
        <f t="shared" si="12"/>
        <v>99</v>
      </c>
      <c r="X38" s="1812"/>
      <c r="Y38" s="3285"/>
      <c r="Z38" s="1813" t="str">
        <f t="shared" si="13"/>
        <v>宗地面积</v>
      </c>
      <c r="AA38" s="1810">
        <f t="shared" si="3"/>
        <v>1</v>
      </c>
      <c r="AB38" s="1810">
        <f t="shared" si="4"/>
        <v>1.0050251256281406</v>
      </c>
      <c r="AC38" s="1810">
        <f t="shared" si="5"/>
        <v>1.0101010101010102</v>
      </c>
    </row>
    <row r="39" spans="1:29" ht="15">
      <c r="A39" s="472"/>
      <c r="B39" s="422" t="s">
        <v>2745</v>
      </c>
      <c r="C39" s="2612" t="s">
        <v>3423</v>
      </c>
      <c r="D39" s="435">
        <v>100</v>
      </c>
      <c r="E39" s="2612" t="s">
        <v>3423</v>
      </c>
      <c r="F39" s="435">
        <f>SUMIF(119:119,E39,120:120)-SUMIF(119:119,C39,120:120)+100</f>
        <v>100</v>
      </c>
      <c r="G39" s="2612" t="s">
        <v>3423</v>
      </c>
      <c r="H39" s="435">
        <f>SUMIF(119:119,G39,120:120)-SUMIF(119:119,C39,120:120)+100</f>
        <v>100</v>
      </c>
      <c r="I39" s="2612" t="s">
        <v>3423</v>
      </c>
      <c r="J39" s="435">
        <f>SUMIF(119:119,I39,120:120)-SUMIF(119:119,C39,120:120)+100</f>
        <v>100</v>
      </c>
      <c r="K39" s="612">
        <v>2</v>
      </c>
      <c r="L39" s="1140"/>
      <c r="M39" s="1131"/>
      <c r="N39" s="1131"/>
      <c r="O39" s="1139"/>
      <c r="P39" s="3285"/>
      <c r="Q39" s="1809" t="str">
        <f t="shared" ref="Q39:Q45" si="14">B39</f>
        <v>宗地形状</v>
      </c>
      <c r="R39" s="774" t="s">
        <v>17</v>
      </c>
      <c r="S39" s="775">
        <f t="shared" si="10"/>
        <v>100</v>
      </c>
      <c r="T39" s="774" t="s">
        <v>17</v>
      </c>
      <c r="U39" s="775">
        <f t="shared" si="11"/>
        <v>100</v>
      </c>
      <c r="V39" s="774" t="s">
        <v>17</v>
      </c>
      <c r="W39" s="775">
        <f t="shared" si="12"/>
        <v>100</v>
      </c>
      <c r="X39" s="1812"/>
      <c r="Y39" s="3285"/>
      <c r="Z39" s="1813" t="str">
        <f t="shared" si="13"/>
        <v>宗地形状</v>
      </c>
      <c r="AA39" s="1810">
        <f t="shared" si="3"/>
        <v>1</v>
      </c>
      <c r="AB39" s="1810">
        <f t="shared" si="4"/>
        <v>1</v>
      </c>
      <c r="AC39" s="1810">
        <f t="shared" si="5"/>
        <v>1</v>
      </c>
    </row>
    <row r="40" spans="1:29" ht="15">
      <c r="A40" s="472"/>
      <c r="B40" s="422" t="s">
        <v>2746</v>
      </c>
      <c r="C40" s="2980" t="s">
        <v>3430</v>
      </c>
      <c r="D40" s="435">
        <v>100</v>
      </c>
      <c r="E40" s="2980" t="s">
        <v>3430</v>
      </c>
      <c r="F40" s="435">
        <f>SUMIF(121:121,E40,122:122)-SUMIF(121:121,C40,122:122)+100</f>
        <v>100</v>
      </c>
      <c r="G40" s="2980" t="s">
        <v>3430</v>
      </c>
      <c r="H40" s="435">
        <f>SUMIF(121:121,G40,122:122)-SUMIF(121:121,C40,122:122)+100</f>
        <v>100</v>
      </c>
      <c r="I40" s="2980" t="s">
        <v>3430</v>
      </c>
      <c r="J40" s="435">
        <f>SUMIF(121:121,I40,122:122)-SUMIF(121:121,C40,122:122)+100</f>
        <v>100</v>
      </c>
      <c r="K40" s="612">
        <v>2</v>
      </c>
      <c r="L40" s="1140"/>
      <c r="M40" s="1131"/>
      <c r="N40" s="1131"/>
      <c r="O40" s="1139"/>
      <c r="P40" s="3285"/>
      <c r="Q40" s="1809" t="str">
        <f t="shared" si="14"/>
        <v>临街宽度及深度</v>
      </c>
      <c r="R40" s="774" t="s">
        <v>17</v>
      </c>
      <c r="S40" s="775">
        <f t="shared" si="10"/>
        <v>100</v>
      </c>
      <c r="T40" s="774" t="s">
        <v>17</v>
      </c>
      <c r="U40" s="775">
        <f t="shared" si="11"/>
        <v>100</v>
      </c>
      <c r="V40" s="774" t="s">
        <v>17</v>
      </c>
      <c r="W40" s="775">
        <f t="shared" si="12"/>
        <v>100</v>
      </c>
      <c r="X40" s="1812"/>
      <c r="Y40" s="3285"/>
      <c r="Z40" s="1813" t="str">
        <f t="shared" si="13"/>
        <v>临街宽度及深度</v>
      </c>
      <c r="AA40" s="1810">
        <f t="shared" si="3"/>
        <v>1</v>
      </c>
      <c r="AB40" s="1810">
        <f t="shared" si="4"/>
        <v>1</v>
      </c>
      <c r="AC40" s="1810">
        <f t="shared" si="5"/>
        <v>1</v>
      </c>
    </row>
    <row r="41" spans="1:29" s="117" customFormat="1" ht="15">
      <c r="A41" s="473"/>
      <c r="B41" s="422" t="s">
        <v>2747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v>2</v>
      </c>
      <c r="L41" s="1132"/>
      <c r="M41" s="1133"/>
      <c r="N41" s="1133"/>
      <c r="O41" s="1134"/>
      <c r="P41" s="3285"/>
      <c r="Q41" s="1809" t="str">
        <f t="shared" si="14"/>
        <v>宗地开发程度</v>
      </c>
      <c r="R41" s="770" t="s">
        <v>17</v>
      </c>
      <c r="S41" s="771">
        <f t="shared" si="10"/>
        <v>100</v>
      </c>
      <c r="T41" s="770" t="s">
        <v>17</v>
      </c>
      <c r="U41" s="771">
        <f t="shared" si="11"/>
        <v>100</v>
      </c>
      <c r="V41" s="770" t="s">
        <v>17</v>
      </c>
      <c r="W41" s="771">
        <f t="shared" si="12"/>
        <v>100</v>
      </c>
      <c r="X41" s="772"/>
      <c r="Y41" s="3285"/>
      <c r="Z41" s="55" t="str">
        <f t="shared" si="13"/>
        <v>宗地开发程度</v>
      </c>
      <c r="AA41" s="773">
        <f t="shared" si="3"/>
        <v>1</v>
      </c>
      <c r="AB41" s="773">
        <f t="shared" si="4"/>
        <v>1</v>
      </c>
      <c r="AC41" s="773">
        <f t="shared" si="5"/>
        <v>1</v>
      </c>
    </row>
    <row r="42" spans="1:29" ht="15">
      <c r="A42" s="472"/>
      <c r="B42" s="422" t="s">
        <v>2748</v>
      </c>
      <c r="C42" s="2612" t="s">
        <v>3418</v>
      </c>
      <c r="D42" s="435">
        <v>100</v>
      </c>
      <c r="E42" s="2612" t="s">
        <v>3418</v>
      </c>
      <c r="F42" s="435">
        <f>SUMIF(125:125,E42,126:126)-SUMIF(125:125,C42,126:126)+100</f>
        <v>100</v>
      </c>
      <c r="G42" s="2612" t="s">
        <v>3418</v>
      </c>
      <c r="H42" s="435">
        <f>SUMIF(125:125,G42,126:126)-SUMIF(125:125,C42,126:126)+100</f>
        <v>100</v>
      </c>
      <c r="I42" s="2612" t="s">
        <v>3418</v>
      </c>
      <c r="J42" s="435">
        <f>SUMIF(125:125,I42,126:126)-SUMIF(125:125,C42,126:126)+100</f>
        <v>100</v>
      </c>
      <c r="K42" s="612">
        <v>2</v>
      </c>
      <c r="L42" s="1140"/>
      <c r="M42" s="1131"/>
      <c r="N42" s="1131"/>
      <c r="O42" s="1139"/>
      <c r="P42" s="3285" t="s">
        <v>2558</v>
      </c>
      <c r="Q42" s="1809" t="str">
        <f t="shared" si="14"/>
        <v>工程地质条件</v>
      </c>
      <c r="R42" s="774" t="s">
        <v>17</v>
      </c>
      <c r="S42" s="775">
        <f t="shared" si="10"/>
        <v>100</v>
      </c>
      <c r="T42" s="774" t="s">
        <v>17</v>
      </c>
      <c r="U42" s="775">
        <f t="shared" si="11"/>
        <v>100</v>
      </c>
      <c r="V42" s="774" t="s">
        <v>17</v>
      </c>
      <c r="W42" s="775">
        <f t="shared" si="12"/>
        <v>100</v>
      </c>
      <c r="X42" s="1812"/>
      <c r="Y42" s="3285" t="s">
        <v>2558</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5"/>
      <c r="Q43" s="1809">
        <f t="shared" si="14"/>
        <v>0</v>
      </c>
      <c r="R43" s="774" t="s">
        <v>17</v>
      </c>
      <c r="S43" s="775">
        <f t="shared" si="10"/>
        <v>100</v>
      </c>
      <c r="T43" s="774" t="s">
        <v>17</v>
      </c>
      <c r="U43" s="775">
        <f t="shared" si="11"/>
        <v>100</v>
      </c>
      <c r="V43" s="774" t="s">
        <v>17</v>
      </c>
      <c r="W43" s="775">
        <f t="shared" si="12"/>
        <v>100</v>
      </c>
      <c r="X43" s="1812"/>
      <c r="Y43" s="3285"/>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5"/>
      <c r="Q44" s="1809">
        <f t="shared" si="14"/>
        <v>0</v>
      </c>
      <c r="R44" s="774" t="s">
        <v>17</v>
      </c>
      <c r="S44" s="775">
        <f t="shared" si="10"/>
        <v>100</v>
      </c>
      <c r="T44" s="774" t="s">
        <v>17</v>
      </c>
      <c r="U44" s="775">
        <f t="shared" si="11"/>
        <v>100</v>
      </c>
      <c r="V44" s="774" t="s">
        <v>17</v>
      </c>
      <c r="W44" s="775">
        <f t="shared" si="12"/>
        <v>100</v>
      </c>
      <c r="X44" s="1812"/>
      <c r="Y44" s="3285"/>
      <c r="Z44" s="1813">
        <f t="shared" si="13"/>
        <v>0</v>
      </c>
      <c r="AA44" s="1810">
        <f t="shared" si="3"/>
        <v>1</v>
      </c>
      <c r="AB44" s="1810">
        <f t="shared" si="4"/>
        <v>1</v>
      </c>
      <c r="AC44" s="1810">
        <f t="shared" si="5"/>
        <v>1</v>
      </c>
    </row>
    <row r="45" spans="1:29" s="471" customFormat="1" ht="15.75"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5"/>
      <c r="Q45" s="1809">
        <f t="shared" si="14"/>
        <v>0</v>
      </c>
      <c r="R45" s="777" t="s">
        <v>17</v>
      </c>
      <c r="S45" s="778">
        <f t="shared" si="10"/>
        <v>100</v>
      </c>
      <c r="T45" s="777" t="s">
        <v>17</v>
      </c>
      <c r="U45" s="778">
        <f t="shared" si="11"/>
        <v>100</v>
      </c>
      <c r="V45" s="777" t="s">
        <v>17</v>
      </c>
      <c r="W45" s="778">
        <f t="shared" si="12"/>
        <v>100</v>
      </c>
      <c r="X45" s="779"/>
      <c r="Y45" s="3285"/>
      <c r="Z45" s="780">
        <f t="shared" si="13"/>
        <v>0</v>
      </c>
      <c r="AA45" s="1810">
        <f t="shared" si="3"/>
        <v>1</v>
      </c>
      <c r="AB45" s="1810">
        <f t="shared" si="4"/>
        <v>1</v>
      </c>
      <c r="AC45" s="1810">
        <f t="shared" si="5"/>
        <v>1</v>
      </c>
    </row>
    <row r="46" spans="1:29" ht="15">
      <c r="A46" s="479" t="s">
        <v>2713</v>
      </c>
      <c r="B46" s="2702" t="s">
        <v>2749</v>
      </c>
      <c r="C46" s="682" t="s">
        <v>1</v>
      </c>
      <c r="D46" s="481"/>
      <c r="E46" s="482">
        <v>5150</v>
      </c>
      <c r="F46" s="483"/>
      <c r="G46" s="484">
        <v>5200</v>
      </c>
      <c r="H46" s="485"/>
      <c r="I46" s="482">
        <v>5235</v>
      </c>
      <c r="J46" s="485"/>
      <c r="K46" s="783"/>
      <c r="L46" s="1143"/>
      <c r="M46" s="1144"/>
      <c r="N46" s="1131"/>
      <c r="O46" s="1144"/>
      <c r="P46" s="3267" t="str">
        <f>A46</f>
        <v>成交单价</v>
      </c>
      <c r="Q46" s="3267"/>
      <c r="R46" s="3280">
        <f>E46</f>
        <v>5150</v>
      </c>
      <c r="S46" s="3280"/>
      <c r="T46" s="3280">
        <f>G46</f>
        <v>5200</v>
      </c>
      <c r="U46" s="3280"/>
      <c r="V46" s="3280">
        <f>I46</f>
        <v>5235</v>
      </c>
      <c r="W46" s="3280"/>
      <c r="X46" s="759"/>
      <c r="Y46" s="781"/>
      <c r="Z46" s="759"/>
      <c r="AA46" s="759"/>
      <c r="AB46" s="759"/>
      <c r="AC46" s="759"/>
    </row>
    <row r="47" spans="1:29" ht="15.75" thickBot="1">
      <c r="A47" s="486" t="s">
        <v>2662</v>
      </c>
      <c r="B47" s="683"/>
      <c r="C47" s="490">
        <f>R48</f>
        <v>6008</v>
      </c>
      <c r="D47" s="489"/>
      <c r="E47" s="490">
        <f>R47</f>
        <v>5476</v>
      </c>
      <c r="F47" s="491"/>
      <c r="G47" s="488">
        <f>T47</f>
        <v>6237</v>
      </c>
      <c r="H47" s="489"/>
      <c r="I47" s="490">
        <f>V47</f>
        <v>6311</v>
      </c>
      <c r="J47" s="489"/>
      <c r="K47" s="784"/>
      <c r="L47" s="1143"/>
      <c r="M47" s="1144"/>
      <c r="N47" s="1144"/>
      <c r="O47" s="1144"/>
      <c r="P47" s="3267" t="str">
        <f>A47</f>
        <v>比较价值（元/平方米）</v>
      </c>
      <c r="Q47" s="3267"/>
      <c r="R47" s="3286">
        <f>ROUND(PRODUCT(R46,AA7:AA45),0)</f>
        <v>5476</v>
      </c>
      <c r="S47" s="3286"/>
      <c r="T47" s="3286">
        <f>ROUND(PRODUCT(T46,AB7:AB45),0)</f>
        <v>6237</v>
      </c>
      <c r="U47" s="3286"/>
      <c r="V47" s="3286">
        <f>ROUND(PRODUCT(V46,AC7:AC45),0)</f>
        <v>6311</v>
      </c>
      <c r="W47" s="3286"/>
      <c r="X47" s="759"/>
      <c r="Y47" s="759"/>
      <c r="Z47" s="759"/>
      <c r="AA47" s="759"/>
      <c r="AB47" s="759"/>
      <c r="AC47" s="759"/>
    </row>
    <row r="48" spans="1:29" ht="15.75" thickBot="1">
      <c r="A48" s="492" t="s">
        <v>2750</v>
      </c>
      <c r="B48" s="493"/>
      <c r="C48" s="494">
        <f>R48</f>
        <v>6008</v>
      </c>
      <c r="D48" s="494"/>
      <c r="E48" s="494"/>
      <c r="F48" s="494"/>
      <c r="G48" s="494"/>
      <c r="H48" s="494"/>
      <c r="I48" s="494"/>
      <c r="J48" s="494"/>
      <c r="K48" s="785"/>
      <c r="L48" s="1143"/>
      <c r="M48" s="1144"/>
      <c r="N48" s="1144"/>
      <c r="O48" s="1144"/>
      <c r="P48" s="3287" t="str">
        <f>A48</f>
        <v>估价对象XX用房的比较价值（楼面单价，元/平方米）</v>
      </c>
      <c r="Q48" s="3288"/>
      <c r="R48" s="3289">
        <f>ROUND(AVERAGE(R47:V47),0)</f>
        <v>6008</v>
      </c>
      <c r="S48" s="3289"/>
      <c r="T48" s="3289"/>
      <c r="U48" s="3289"/>
      <c r="V48" s="3289"/>
      <c r="W48" s="328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f>IF(E46&lt;E47,E47/E46-1,E46/E47-1)</f>
        <v>6.3300970873786389E-2</v>
      </c>
      <c r="F51" s="500" t="str">
        <f>IF(OR(E51&gt;=0.3,E51&lt;=-0.3),"超过30%","")</f>
        <v/>
      </c>
      <c r="G51" s="499">
        <f>IF(G46&lt;G47,G47/G46-1,G46/G47-1)</f>
        <v>0.19942307692307693</v>
      </c>
      <c r="H51" s="500" t="str">
        <f>IF(OR(G51&gt;=0.3,G51&lt;=-0.3),"超过30%","")</f>
        <v/>
      </c>
      <c r="I51" s="499">
        <f>IF(I46&lt;I47,I47/I46-1,I46/I47-1)</f>
        <v>0.20553963705826162</v>
      </c>
      <c r="J51" s="500" t="str">
        <f>IF(OR(I51&gt;=0.3,I51&lt;=-0.3),"超过30%","")</f>
        <v/>
      </c>
      <c r="K51" s="1105"/>
      <c r="L51" s="1106"/>
      <c r="M51" s="1144"/>
      <c r="N51" s="1144"/>
      <c r="O51" s="1144"/>
    </row>
    <row r="52" spans="1:15" ht="13.5" customHeight="1">
      <c r="A52" s="1144"/>
      <c r="B52" s="1144"/>
      <c r="C52" s="497" t="s">
        <v>2665</v>
      </c>
      <c r="D52" s="501"/>
      <c r="E52" s="499">
        <f>IF(E47&lt;G47,G47/E47-1,E47/G47-1)</f>
        <v>0.13897005113221339</v>
      </c>
      <c r="F52" s="500" t="str">
        <f>IF(OR(E52&gt;=0.2,E52&lt;=-0.2),"超过20%","")</f>
        <v/>
      </c>
      <c r="G52" s="499">
        <f>IF(G47&lt;I47,I47/G47-1,G47/I47-1)</f>
        <v>1.1864678531345207E-2</v>
      </c>
      <c r="H52" s="500" t="str">
        <f>IF(OR(G52&gt;=0.2,G52&lt;=-0.2),"超过20%","")</f>
        <v/>
      </c>
      <c r="I52" s="499">
        <f>IF(I47&lt;E47,E47/I47-1,I47/E47-1)</f>
        <v>0.15248356464572677</v>
      </c>
      <c r="J52" s="500" t="str">
        <f>IF(OR(I52&gt;=0.2,I52&lt;=-0.2),"超过20%","")</f>
        <v/>
      </c>
      <c r="K52" s="1105"/>
      <c r="L52" s="1106"/>
      <c r="M52" s="1144"/>
      <c r="N52" s="1144"/>
      <c r="O52" s="1144"/>
    </row>
    <row r="53" spans="1:15" s="502" customFormat="1" ht="13.5" customHeight="1">
      <c r="A53" s="1145"/>
      <c r="B53" s="1145"/>
      <c r="C53" s="497" t="s">
        <v>2666</v>
      </c>
      <c r="D53" s="501"/>
      <c r="E53" s="499">
        <f>IF(E46&lt;G46,G46/E46-1,E46/G46-1)</f>
        <v>9.7087378640776656E-3</v>
      </c>
      <c r="F53" s="500" t="str">
        <f>IF(OR(E53&gt;=0.3,E53&lt;=-0.3),"超过30%","")</f>
        <v/>
      </c>
      <c r="G53" s="499">
        <f>IF(G46&lt;I46,I46/G46-1,G46/I46-1)</f>
        <v>6.7307692307692069E-3</v>
      </c>
      <c r="H53" s="500" t="str">
        <f>IF(OR(G53&gt;=0.3,G53&lt;=-0.3),"超过30%","")</f>
        <v/>
      </c>
      <c r="I53" s="499">
        <f>IF(I46&lt;E46,E46/I46-1,I46/E46-1)</f>
        <v>1.650485436893212E-2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3" t="s">
        <v>3431</v>
      </c>
      <c r="D55" s="2704" t="s">
        <v>2754</v>
      </c>
      <c r="E55" s="686" t="s">
        <v>2755</v>
      </c>
      <c r="F55" s="1107" t="s">
        <v>2756</v>
      </c>
      <c r="G55" s="3268" t="s">
        <v>2757</v>
      </c>
      <c r="H55" s="3290"/>
      <c r="I55" s="144" t="s">
        <v>2758</v>
      </c>
      <c r="J55" s="2705" t="str">
        <f>项目基本情况!F35</f>
        <v>湖北省武汉市</v>
      </c>
      <c r="K55" s="2706" t="s">
        <v>2759</v>
      </c>
      <c r="L55" s="1106"/>
      <c r="M55" s="1144"/>
      <c r="N55" s="1144"/>
      <c r="O55" s="1144"/>
    </row>
    <row r="56" spans="1:15" s="692" customFormat="1">
      <c r="A56" s="688" t="s">
        <v>2760</v>
      </c>
      <c r="B56" s="689">
        <f>C48</f>
        <v>6008</v>
      </c>
      <c r="C56" s="690">
        <v>1</v>
      </c>
      <c r="D56" s="1163">
        <v>1</v>
      </c>
      <c r="E56" s="690">
        <f>'数据-汇总表'!E8+'数据-汇总表'!E9</f>
        <v>35526.120000000024</v>
      </c>
      <c r="F56" s="1103">
        <f t="shared" ref="F56:F65" si="15">ROUND(B56*E56/10000,0)</f>
        <v>21344</v>
      </c>
      <c r="G56" s="3291"/>
      <c r="H56" s="3267"/>
      <c r="I56" s="1108">
        <v>1</v>
      </c>
      <c r="J56" s="1111">
        <v>1</v>
      </c>
      <c r="K56" s="1145"/>
      <c r="L56" s="941"/>
      <c r="M56" s="941"/>
      <c r="N56" s="941"/>
      <c r="O56" s="941"/>
    </row>
    <row r="57" spans="1:15" s="692" customFormat="1">
      <c r="A57" s="693" t="s">
        <v>2761</v>
      </c>
      <c r="B57" s="262">
        <f>ROUND($C$48*C57*D57,0)</f>
        <v>0</v>
      </c>
      <c r="C57" s="200">
        <f t="shared" ref="C57:C65" si="16">IF($C$55="北京市系数",I57,J57)</f>
        <v>0</v>
      </c>
      <c r="D57" s="1164">
        <v>0.25</v>
      </c>
      <c r="E57" s="694"/>
      <c r="F57" s="1103">
        <f t="shared" si="15"/>
        <v>0</v>
      </c>
      <c r="G57" s="3292" t="s">
        <v>2762</v>
      </c>
      <c r="H57" s="1104">
        <f>项目基本情况!B37</f>
        <v>0</v>
      </c>
      <c r="I57" s="1108">
        <f>SUMIF(修正!A45:A56,H57,修正!B45:B56)</f>
        <v>0</v>
      </c>
      <c r="J57" s="1112"/>
      <c r="K57" s="1144"/>
      <c r="L57" s="941"/>
      <c r="M57" s="941"/>
      <c r="N57" s="941"/>
      <c r="O57" s="941"/>
    </row>
    <row r="58" spans="1:15" s="692" customFormat="1">
      <c r="A58" s="693" t="s">
        <v>2763</v>
      </c>
      <c r="B58" s="262">
        <f t="shared" ref="B58:B65" si="17">ROUND($C$48*C58*D58,0)</f>
        <v>0</v>
      </c>
      <c r="C58" s="200">
        <f t="shared" si="16"/>
        <v>0</v>
      </c>
      <c r="D58" s="1164">
        <v>0.25</v>
      </c>
      <c r="E58" s="694"/>
      <c r="F58" s="1103">
        <f t="shared" si="15"/>
        <v>0</v>
      </c>
      <c r="G58" s="3292"/>
      <c r="H58" s="1104">
        <f>项目基本情况!B37</f>
        <v>0</v>
      </c>
      <c r="I58" s="1108">
        <f>SUMIF(修正!A45:A56,H58,修正!C45:C56)</f>
        <v>0</v>
      </c>
      <c r="J58" s="1112"/>
      <c r="K58" s="1145"/>
      <c r="L58" s="941"/>
      <c r="M58" s="941"/>
      <c r="N58" s="941"/>
      <c r="O58" s="941"/>
    </row>
    <row r="59" spans="1:15" s="692" customFormat="1">
      <c r="A59" s="693" t="s">
        <v>2764</v>
      </c>
      <c r="B59" s="262">
        <f t="shared" si="17"/>
        <v>0</v>
      </c>
      <c r="C59" s="200">
        <f t="shared" si="16"/>
        <v>0</v>
      </c>
      <c r="D59" s="1164">
        <v>0.25</v>
      </c>
      <c r="E59" s="694"/>
      <c r="F59" s="1103">
        <f t="shared" si="15"/>
        <v>0</v>
      </c>
      <c r="G59" s="3292"/>
      <c r="H59" s="1104">
        <f>项目基本情况!B37</f>
        <v>0</v>
      </c>
      <c r="I59" s="1108">
        <f>SUMIF(修正!A45:A56,H59,修正!D45:D56)</f>
        <v>0</v>
      </c>
      <c r="J59" s="1112"/>
      <c r="K59" s="1144"/>
      <c r="L59" s="941"/>
      <c r="M59" s="941"/>
      <c r="N59" s="941"/>
      <c r="O59" s="941"/>
    </row>
    <row r="60" spans="1:15" s="692" customFormat="1">
      <c r="A60" s="693" t="s">
        <v>2765</v>
      </c>
      <c r="B60" s="262">
        <f t="shared" si="17"/>
        <v>0</v>
      </c>
      <c r="C60" s="200">
        <f t="shared" si="16"/>
        <v>0</v>
      </c>
      <c r="D60" s="1164">
        <v>0.25</v>
      </c>
      <c r="E60" s="694"/>
      <c r="F60" s="1103">
        <f t="shared" si="15"/>
        <v>0</v>
      </c>
      <c r="G60" s="3292"/>
      <c r="H60" s="1104">
        <f>项目基本情况!B37</f>
        <v>0</v>
      </c>
      <c r="I60" s="1108">
        <f>SUMIF(修正!A45:A56,H60,修正!E45:E56)</f>
        <v>0</v>
      </c>
      <c r="J60" s="1112"/>
      <c r="K60" s="1145"/>
      <c r="L60" s="941"/>
      <c r="M60" s="941"/>
      <c r="N60" s="941"/>
      <c r="O60" s="941"/>
    </row>
    <row r="61" spans="1:15" s="692" customFormat="1">
      <c r="A61" s="693" t="s">
        <v>2766</v>
      </c>
      <c r="B61" s="262">
        <f t="shared" si="17"/>
        <v>0</v>
      </c>
      <c r="C61" s="200">
        <f t="shared" si="16"/>
        <v>0</v>
      </c>
      <c r="D61" s="1164">
        <v>0.25</v>
      </c>
      <c r="E61" s="261">
        <f>'数据-汇总表'!E11</f>
        <v>0</v>
      </c>
      <c r="F61" s="1103">
        <f t="shared" si="15"/>
        <v>0</v>
      </c>
      <c r="G61" s="2707" t="s">
        <v>2767</v>
      </c>
      <c r="H61" s="1104">
        <f>项目基本情况!C37</f>
        <v>0</v>
      </c>
      <c r="I61" s="1108">
        <f>SUMIF(修正!A45:A56,H61,修正!F45:F56)</f>
        <v>0</v>
      </c>
      <c r="J61" s="1112"/>
      <c r="K61" s="1144"/>
      <c r="L61" s="941"/>
      <c r="M61" s="941"/>
      <c r="N61" s="941"/>
      <c r="O61" s="941"/>
    </row>
    <row r="62" spans="1:15" s="692" customFormat="1">
      <c r="A62" s="693" t="s">
        <v>2768</v>
      </c>
      <c r="B62" s="262">
        <f t="shared" si="17"/>
        <v>0</v>
      </c>
      <c r="C62" s="200">
        <f t="shared" si="16"/>
        <v>0</v>
      </c>
      <c r="D62" s="1164">
        <v>0.25</v>
      </c>
      <c r="E62" s="261">
        <f>'数据-汇总表'!E12</f>
        <v>0</v>
      </c>
      <c r="F62" s="1103">
        <f t="shared" si="15"/>
        <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0</v>
      </c>
      <c r="C64" s="200">
        <f t="shared" si="16"/>
        <v>0</v>
      </c>
      <c r="D64" s="1164">
        <v>0.25</v>
      </c>
      <c r="E64" s="261">
        <f>'数据-汇总表'!E14</f>
        <v>0</v>
      </c>
      <c r="F64" s="1103">
        <f t="shared" si="15"/>
        <v>0</v>
      </c>
      <c r="G64" s="2707" t="s">
        <v>2762</v>
      </c>
      <c r="H64" s="1104">
        <f>项目基本情况!B37</f>
        <v>0</v>
      </c>
      <c r="I64" s="1108">
        <f>SUMIF(修正!A45:A56,H64,修正!H45:H56)</f>
        <v>0</v>
      </c>
      <c r="J64" s="1112"/>
      <c r="K64" s="1145"/>
      <c r="L64" s="941"/>
      <c r="M64" s="941"/>
      <c r="N64" s="941"/>
      <c r="O64" s="941"/>
    </row>
    <row r="65" spans="1:17" s="692" customFormat="1" ht="15" thickBot="1">
      <c r="A65" s="693" t="s">
        <v>2773</v>
      </c>
      <c r="B65" s="262">
        <f t="shared" si="17"/>
        <v>0</v>
      </c>
      <c r="C65" s="200">
        <f t="shared" si="16"/>
        <v>0</v>
      </c>
      <c r="D65" s="1164">
        <v>0.25</v>
      </c>
      <c r="E65" s="261">
        <f>'数据-汇总表'!E15</f>
        <v>0</v>
      </c>
      <c r="F65" s="1103">
        <f t="shared" si="15"/>
        <v>0</v>
      </c>
      <c r="G65" s="2708"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35526.120000000024</v>
      </c>
      <c r="F66" s="697">
        <f>IF(B46="楼面地价",SUM(F56:F65),ROUND(C48*E66/10000,0))</f>
        <v>21344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09" t="s">
        <v>2775</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2776</v>
      </c>
      <c r="B71" s="332" t="str">
        <f>"北京市平均增长率"&amp;TEXT(SUMIF(基准地价修正!N21:N25,A71,基准地价修正!P21:P25),"0.00%")</f>
        <v>北京市平均增长率2.26%</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2578</v>
      </c>
      <c r="B72" s="516"/>
      <c r="C72" s="517">
        <v>1</v>
      </c>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661" t="str">
        <f>项目基本情况!B16</f>
        <v>住宅、商业</v>
      </c>
      <c r="D75" s="530" t="str">
        <f>土地案例!H17</f>
        <v>住宅</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2（含）-2.5</v>
      </c>
      <c r="D79" s="547" t="str">
        <f t="shared" ref="D79:L79" si="21">D80&amp;"（含）"&amp;"-"&amp;E80</f>
        <v>2.5（含）-3</v>
      </c>
      <c r="E79" s="547" t="str">
        <f t="shared" si="21"/>
        <v>3（含）-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2</v>
      </c>
      <c r="D80" s="549">
        <v>2.5</v>
      </c>
      <c r="E80" s="549">
        <v>3</v>
      </c>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2684</v>
      </c>
      <c r="C106" s="2979" t="s">
        <v>3425</v>
      </c>
      <c r="D106" s="2979" t="s">
        <v>3426</v>
      </c>
      <c r="E106" s="2979" t="s">
        <v>3427</v>
      </c>
      <c r="F106" s="2979" t="s">
        <v>3428</v>
      </c>
      <c r="G106" s="2979" t="s">
        <v>3429</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2556</v>
      </c>
      <c r="B116" s="528" t="s">
        <v>2784</v>
      </c>
      <c r="C116" s="529" t="str">
        <f>C117&amp;"(含)"&amp;"-"&amp;D117</f>
        <v>0(含)-20000</v>
      </c>
      <c r="D116" s="529" t="str">
        <f t="shared" ref="D116:M116" si="26">D117&amp;"(含)"&amp;"-"&amp;E117</f>
        <v>20000(含)-50000</v>
      </c>
      <c r="E116" s="529" t="str">
        <f t="shared" si="26"/>
        <v>50000(含)-100000</v>
      </c>
      <c r="F116" s="529" t="str">
        <f t="shared" si="26"/>
        <v>100000(含)-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50000</v>
      </c>
      <c r="F117" s="595">
        <v>100000</v>
      </c>
      <c r="G117" s="595"/>
      <c r="H117" s="595"/>
      <c r="I117" s="595"/>
      <c r="J117" s="596"/>
      <c r="K117" s="596"/>
      <c r="L117" s="597"/>
      <c r="M117" s="598"/>
      <c r="N117" s="1152"/>
      <c r="O117" s="1152"/>
      <c r="P117" s="45"/>
      <c r="Q117" s="504"/>
    </row>
    <row r="118" spans="1:17" ht="15.75" thickBot="1">
      <c r="A118" s="534"/>
      <c r="B118" s="543"/>
      <c r="C118" s="570">
        <v>100</v>
      </c>
      <c r="D118" s="591">
        <f>C118+0.5</f>
        <v>100.5</v>
      </c>
      <c r="E118" s="591">
        <f t="shared" ref="E118:M118" si="27">D118+0.5</f>
        <v>101</v>
      </c>
      <c r="F118" s="591">
        <f t="shared" si="27"/>
        <v>101.5</v>
      </c>
      <c r="G118" s="591">
        <f t="shared" si="27"/>
        <v>102</v>
      </c>
      <c r="H118" s="591">
        <f t="shared" si="27"/>
        <v>102.5</v>
      </c>
      <c r="I118" s="591">
        <f t="shared" si="27"/>
        <v>103</v>
      </c>
      <c r="J118" s="591">
        <f t="shared" si="27"/>
        <v>103.5</v>
      </c>
      <c r="K118" s="591">
        <f t="shared" si="27"/>
        <v>104</v>
      </c>
      <c r="L118" s="591">
        <f t="shared" si="27"/>
        <v>104.5</v>
      </c>
      <c r="M118" s="591">
        <f t="shared" si="27"/>
        <v>105</v>
      </c>
      <c r="N118" s="1153"/>
      <c r="O118" s="1153"/>
      <c r="P118" s="45"/>
      <c r="Q118" s="504"/>
    </row>
    <row r="119" spans="1:17" ht="15" thickTop="1">
      <c r="A119" s="599"/>
      <c r="B119" s="538" t="s">
        <v>2785</v>
      </c>
      <c r="C119" s="2978" t="s">
        <v>3424</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2786</v>
      </c>
      <c r="C121" s="2977" t="s">
        <v>3422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2787</v>
      </c>
      <c r="C123" s="2977" t="s">
        <v>3421</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2788</v>
      </c>
      <c r="C125" s="2977" t="s">
        <v>3420</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K1" workbookViewId="0">
      <selection activeCell="P11" sqref="P11"/>
    </sheetView>
  </sheetViews>
  <sheetFormatPr defaultRowHeight="13.5"/>
  <cols>
    <col min="1" max="4" width="0" style="2950" hidden="1" customWidth="1"/>
    <col min="5" max="5" width="46.875" style="2950" customWidth="1"/>
    <col min="6" max="6" width="0" style="2950" hidden="1" customWidth="1"/>
    <col min="7" max="7" width="16.375" style="2950" customWidth="1"/>
    <col min="8" max="8" width="18.875" style="2950" customWidth="1"/>
    <col min="9" max="10" width="15.375" style="2950" customWidth="1"/>
    <col min="11" max="11" width="9" style="2950"/>
    <col min="12" max="12" width="13.625" style="2950" customWidth="1"/>
    <col min="13" max="13" width="0" style="2950" hidden="1" customWidth="1"/>
    <col min="14" max="14" width="32.75" style="2950" customWidth="1"/>
    <col min="15" max="17" width="15.75" style="2950" customWidth="1"/>
    <col min="18" max="18" width="9" style="2950"/>
    <col min="19" max="19" width="20" style="2950" customWidth="1"/>
    <col min="20" max="16384" width="9" style="2950"/>
  </cols>
  <sheetData>
    <row r="1" spans="1:21" s="2968" customFormat="1" ht="32.25" customHeight="1">
      <c r="A1" s="2967" t="s">
        <v>3198</v>
      </c>
      <c r="B1" s="2967" t="s">
        <v>3199</v>
      </c>
      <c r="C1" s="2967" t="s">
        <v>3200</v>
      </c>
      <c r="D1" s="2967" t="s">
        <v>3201</v>
      </c>
      <c r="E1" s="2967" t="s">
        <v>3202</v>
      </c>
      <c r="F1" s="2967" t="s">
        <v>3203</v>
      </c>
      <c r="G1" s="2967" t="s">
        <v>3204</v>
      </c>
      <c r="H1" s="2967" t="s">
        <v>3205</v>
      </c>
      <c r="I1" s="2967" t="s">
        <v>3206</v>
      </c>
      <c r="J1" s="2967" t="s">
        <v>3207</v>
      </c>
      <c r="K1" s="2967" t="s">
        <v>3208</v>
      </c>
      <c r="L1" s="2967" t="s">
        <v>3209</v>
      </c>
      <c r="M1" s="2967" t="s">
        <v>3210</v>
      </c>
      <c r="N1" s="2967" t="s">
        <v>3211</v>
      </c>
      <c r="O1" s="2967" t="s">
        <v>3212</v>
      </c>
      <c r="P1" s="2967" t="s">
        <v>3213</v>
      </c>
      <c r="Q1" s="2967" t="s">
        <v>3214</v>
      </c>
      <c r="R1" s="2967" t="s">
        <v>3215</v>
      </c>
      <c r="S1" s="2967" t="s">
        <v>3216</v>
      </c>
      <c r="T1" s="2967" t="s">
        <v>3217</v>
      </c>
    </row>
    <row r="2" spans="1:21" s="2968" customFormat="1" ht="32.25" customHeight="1">
      <c r="A2" s="2967" t="s">
        <v>3218</v>
      </c>
      <c r="B2" s="2967" t="s">
        <v>3219</v>
      </c>
      <c r="C2" s="2967" t="s">
        <v>3220</v>
      </c>
      <c r="D2" s="2967" t="s">
        <v>1327</v>
      </c>
      <c r="E2" s="2967" t="s">
        <v>3218</v>
      </c>
      <c r="F2" s="2967" t="s">
        <v>3221</v>
      </c>
      <c r="G2" s="2967" t="s">
        <v>3222</v>
      </c>
      <c r="H2" s="2967" t="s">
        <v>3223</v>
      </c>
      <c r="I2" s="2967">
        <v>151926.1</v>
      </c>
      <c r="J2" s="2967">
        <v>683667.4</v>
      </c>
      <c r="K2" s="2967" t="s">
        <v>3224</v>
      </c>
      <c r="L2" s="2967" t="s">
        <v>3225</v>
      </c>
      <c r="M2" s="2967" t="s">
        <v>3226</v>
      </c>
      <c r="N2" s="2967" t="s">
        <v>3227</v>
      </c>
      <c r="O2" s="2967">
        <v>282350</v>
      </c>
      <c r="P2" s="2967">
        <v>1238.98</v>
      </c>
      <c r="Q2" s="2967">
        <v>4129.93</v>
      </c>
      <c r="R2" s="2967">
        <v>0</v>
      </c>
      <c r="S2" s="2967" t="s">
        <v>3228</v>
      </c>
      <c r="T2" s="2967" t="s">
        <v>3229</v>
      </c>
    </row>
    <row r="3" spans="1:21" s="2968" customFormat="1" ht="32.25" customHeight="1">
      <c r="A3" s="2967" t="s">
        <v>3230</v>
      </c>
      <c r="B3" s="2967" t="s">
        <v>3219</v>
      </c>
      <c r="C3" s="2967" t="s">
        <v>3231</v>
      </c>
      <c r="D3" s="2967" t="s">
        <v>1327</v>
      </c>
      <c r="E3" s="2967" t="s">
        <v>3230</v>
      </c>
      <c r="F3" s="2967" t="s">
        <v>3221</v>
      </c>
      <c r="G3" s="2967" t="s">
        <v>3232</v>
      </c>
      <c r="H3" s="2967" t="s">
        <v>3233</v>
      </c>
      <c r="I3" s="2967">
        <v>139342.20000000001</v>
      </c>
      <c r="J3" s="2967">
        <v>295414</v>
      </c>
      <c r="K3" s="2967" t="s">
        <v>3234</v>
      </c>
      <c r="L3" s="2967" t="s">
        <v>3235</v>
      </c>
      <c r="M3" s="2967" t="s">
        <v>3236</v>
      </c>
      <c r="N3" s="2967" t="s">
        <v>3237</v>
      </c>
      <c r="O3" s="2967">
        <v>90580</v>
      </c>
      <c r="P3" s="2967">
        <v>433.37</v>
      </c>
      <c r="Q3" s="2967">
        <v>3066.21</v>
      </c>
      <c r="R3" s="2967">
        <v>0</v>
      </c>
      <c r="S3" s="2967" t="s">
        <v>3238</v>
      </c>
      <c r="T3" s="2967" t="s">
        <v>3239</v>
      </c>
    </row>
    <row r="4" spans="1:21" s="2968" customFormat="1" ht="32.25" customHeight="1">
      <c r="A4" s="2967" t="s">
        <v>3240</v>
      </c>
      <c r="B4" s="2967" t="s">
        <v>3219</v>
      </c>
      <c r="C4" s="2967" t="s">
        <v>3231</v>
      </c>
      <c r="D4" s="2967" t="s">
        <v>1327</v>
      </c>
      <c r="E4" s="2967" t="s">
        <v>3240</v>
      </c>
      <c r="F4" s="2967" t="s">
        <v>3221</v>
      </c>
      <c r="G4" s="2967" t="s">
        <v>3241</v>
      </c>
      <c r="H4" s="2967" t="s">
        <v>3242</v>
      </c>
      <c r="I4" s="2967">
        <v>31132.7</v>
      </c>
      <c r="J4" s="2967">
        <v>124530.8</v>
      </c>
      <c r="K4" s="2967" t="s">
        <v>3243</v>
      </c>
      <c r="L4" s="2967" t="s">
        <v>3235</v>
      </c>
      <c r="M4" s="2967" t="s">
        <v>3244</v>
      </c>
      <c r="N4" s="2967" t="s">
        <v>3245</v>
      </c>
      <c r="O4" s="2967">
        <v>61020</v>
      </c>
      <c r="P4" s="2967">
        <v>1306.6600000000001</v>
      </c>
      <c r="Q4" s="2967">
        <v>4899.9799999999996</v>
      </c>
      <c r="R4" s="2967">
        <v>0</v>
      </c>
      <c r="S4" s="2967" t="s">
        <v>3246</v>
      </c>
      <c r="T4" s="2967" t="s">
        <v>3229</v>
      </c>
    </row>
    <row r="5" spans="1:21" s="2968" customFormat="1" ht="32.25" customHeight="1">
      <c r="A5" s="2967" t="s">
        <v>3247</v>
      </c>
      <c r="B5" s="2967" t="s">
        <v>3219</v>
      </c>
      <c r="C5" s="2967" t="s">
        <v>3231</v>
      </c>
      <c r="D5" s="2967" t="s">
        <v>1327</v>
      </c>
      <c r="E5" s="2967" t="s">
        <v>3247</v>
      </c>
      <c r="F5" s="2967" t="s">
        <v>3221</v>
      </c>
      <c r="G5" s="2967" t="s">
        <v>3248</v>
      </c>
      <c r="H5" s="2967" t="s">
        <v>3242</v>
      </c>
      <c r="I5" s="2967">
        <v>72465.119999999995</v>
      </c>
      <c r="J5" s="2967">
        <v>320000</v>
      </c>
      <c r="K5" s="2967" t="s">
        <v>3249</v>
      </c>
      <c r="L5" s="2967" t="s">
        <v>3250</v>
      </c>
      <c r="M5" s="2967" t="s">
        <v>3251</v>
      </c>
      <c r="N5" s="2967" t="s">
        <v>3252</v>
      </c>
      <c r="O5" s="2967">
        <v>144200</v>
      </c>
      <c r="P5" s="2967">
        <v>1326.62</v>
      </c>
      <c r="Q5" s="2967">
        <v>4506.25</v>
      </c>
      <c r="R5" s="2967">
        <v>36.49</v>
      </c>
      <c r="S5" s="2967" t="s">
        <v>3246</v>
      </c>
      <c r="T5" s="2967" t="s">
        <v>3229</v>
      </c>
    </row>
    <row r="6" spans="1:21" s="2968" customFormat="1" ht="32.25" customHeight="1">
      <c r="A6" s="2967" t="s">
        <v>3253</v>
      </c>
      <c r="B6" s="2967" t="s">
        <v>3219</v>
      </c>
      <c r="C6" s="2967" t="s">
        <v>3220</v>
      </c>
      <c r="D6" s="2967" t="s">
        <v>1327</v>
      </c>
      <c r="E6" s="2967" t="s">
        <v>3253</v>
      </c>
      <c r="F6" s="2967" t="s">
        <v>3221</v>
      </c>
      <c r="G6" s="2967" t="s">
        <v>3254</v>
      </c>
      <c r="H6" s="2967" t="s">
        <v>3223</v>
      </c>
      <c r="I6" s="2967">
        <v>66940.44</v>
      </c>
      <c r="J6" s="2967">
        <v>200821</v>
      </c>
      <c r="K6" s="2967" t="s">
        <v>3255</v>
      </c>
      <c r="L6" s="2967" t="s">
        <v>3256</v>
      </c>
      <c r="M6" s="2967" t="s">
        <v>3257</v>
      </c>
      <c r="N6" s="2967" t="s">
        <v>3258</v>
      </c>
      <c r="O6" s="2967">
        <v>48550</v>
      </c>
      <c r="P6" s="2967">
        <v>483.51</v>
      </c>
      <c r="Q6" s="2967">
        <v>2417.5700000000002</v>
      </c>
      <c r="R6" s="2967">
        <v>0</v>
      </c>
      <c r="S6" s="2967" t="s">
        <v>3228</v>
      </c>
      <c r="T6" s="2967" t="s">
        <v>3229</v>
      </c>
    </row>
    <row r="7" spans="1:21" s="2973" customFormat="1" ht="32.25" customHeight="1">
      <c r="A7" s="2972" t="s">
        <v>3259</v>
      </c>
      <c r="B7" s="2972" t="s">
        <v>3219</v>
      </c>
      <c r="C7" s="2972" t="s">
        <v>3231</v>
      </c>
      <c r="D7" s="2972" t="s">
        <v>1327</v>
      </c>
      <c r="E7" s="2972" t="s">
        <v>3259</v>
      </c>
      <c r="F7" s="2972" t="s">
        <v>3221</v>
      </c>
      <c r="G7" s="2972" t="s">
        <v>3260</v>
      </c>
      <c r="H7" s="2972" t="s">
        <v>3242</v>
      </c>
      <c r="I7" s="2972">
        <v>171986.6</v>
      </c>
      <c r="J7" s="2972">
        <v>487022</v>
      </c>
      <c r="K7" s="2972" t="s">
        <v>3261</v>
      </c>
      <c r="L7" s="2972" t="s">
        <v>3256</v>
      </c>
      <c r="M7" s="2972" t="s">
        <v>3262</v>
      </c>
      <c r="N7" s="2972" t="s">
        <v>3263</v>
      </c>
      <c r="O7" s="2972">
        <v>250820</v>
      </c>
      <c r="P7" s="2972">
        <v>972.25</v>
      </c>
      <c r="Q7" s="2972">
        <v>5150.07</v>
      </c>
      <c r="R7" s="2972">
        <v>0</v>
      </c>
      <c r="S7" s="2972" t="s">
        <v>3246</v>
      </c>
      <c r="T7" s="2972" t="s">
        <v>3264</v>
      </c>
    </row>
    <row r="8" spans="1:21" s="2971" customFormat="1" ht="32.25" customHeight="1">
      <c r="A8" s="2969" t="s">
        <v>3265</v>
      </c>
      <c r="B8" s="2969" t="s">
        <v>3219</v>
      </c>
      <c r="C8" s="2969" t="s">
        <v>3220</v>
      </c>
      <c r="D8" s="2969" t="s">
        <v>1327</v>
      </c>
      <c r="E8" s="2969" t="s">
        <v>3265</v>
      </c>
      <c r="F8" s="2969" t="s">
        <v>3221</v>
      </c>
      <c r="G8" s="2969" t="s">
        <v>3266</v>
      </c>
      <c r="H8" s="2969" t="s">
        <v>3267</v>
      </c>
      <c r="I8" s="2969">
        <v>79696.23</v>
      </c>
      <c r="J8" s="2969">
        <v>280391</v>
      </c>
      <c r="K8" s="2969" t="s">
        <v>3268</v>
      </c>
      <c r="L8" s="2969" t="s">
        <v>3269</v>
      </c>
      <c r="M8" s="2969" t="s">
        <v>3270</v>
      </c>
      <c r="N8" s="2969" t="s">
        <v>3271</v>
      </c>
      <c r="O8" s="2969">
        <v>91040</v>
      </c>
      <c r="P8" s="2969">
        <v>761.56</v>
      </c>
      <c r="Q8" s="2969">
        <v>3246.88</v>
      </c>
      <c r="R8" s="2969">
        <v>0</v>
      </c>
      <c r="S8" s="2969" t="s">
        <v>3272</v>
      </c>
      <c r="T8" s="2969" t="s">
        <v>3273</v>
      </c>
      <c r="U8" s="2970" t="s">
        <v>3274</v>
      </c>
    </row>
    <row r="9" spans="1:21" s="2973" customFormat="1" ht="32.25" customHeight="1">
      <c r="A9" s="2972" t="s">
        <v>3275</v>
      </c>
      <c r="B9" s="2972" t="s">
        <v>3219</v>
      </c>
      <c r="C9" s="2972" t="s">
        <v>3231</v>
      </c>
      <c r="D9" s="2972" t="s">
        <v>1327</v>
      </c>
      <c r="E9" s="2972" t="s">
        <v>3275</v>
      </c>
      <c r="F9" s="2972" t="s">
        <v>3221</v>
      </c>
      <c r="G9" s="2972" t="s">
        <v>3276</v>
      </c>
      <c r="H9" s="2972" t="s">
        <v>3242</v>
      </c>
      <c r="I9" s="2972">
        <v>50450.66</v>
      </c>
      <c r="J9" s="2972">
        <v>151351</v>
      </c>
      <c r="K9" s="2972" t="s">
        <v>3277</v>
      </c>
      <c r="L9" s="2972" t="s">
        <v>3278</v>
      </c>
      <c r="M9" s="2972" t="s">
        <v>3279</v>
      </c>
      <c r="N9" s="2972" t="s">
        <v>3280</v>
      </c>
      <c r="O9" s="2972">
        <v>78710</v>
      </c>
      <c r="P9" s="2972">
        <v>1040.0899999999999</v>
      </c>
      <c r="Q9" s="2972">
        <v>5200.4799999999996</v>
      </c>
      <c r="R9" s="2972">
        <v>0</v>
      </c>
      <c r="S9" s="2972" t="s">
        <v>3246</v>
      </c>
      <c r="T9" s="2972" t="s">
        <v>3264</v>
      </c>
    </row>
    <row r="10" spans="1:21" s="2993" customFormat="1" ht="32.25" customHeight="1">
      <c r="A10" s="2992" t="s">
        <v>3281</v>
      </c>
      <c r="B10" s="2992" t="s">
        <v>3219</v>
      </c>
      <c r="C10" s="2992" t="s">
        <v>3231</v>
      </c>
      <c r="D10" s="2992" t="s">
        <v>1327</v>
      </c>
      <c r="E10" s="2992" t="s">
        <v>3281</v>
      </c>
      <c r="F10" s="2992" t="s">
        <v>3221</v>
      </c>
      <c r="G10" s="2992" t="s">
        <v>3282</v>
      </c>
      <c r="H10" s="2992" t="s">
        <v>3242</v>
      </c>
      <c r="I10" s="2992">
        <v>72239.850000000006</v>
      </c>
      <c r="J10" s="2992">
        <v>216719</v>
      </c>
      <c r="K10" s="2992" t="s">
        <v>3277</v>
      </c>
      <c r="L10" s="2992" t="s">
        <v>3278</v>
      </c>
      <c r="M10" s="2992" t="s">
        <v>3283</v>
      </c>
      <c r="N10" s="2992" t="s">
        <v>3284</v>
      </c>
      <c r="O10" s="2992">
        <v>46100</v>
      </c>
      <c r="P10" s="2992">
        <v>425.43</v>
      </c>
      <c r="Q10" s="2992">
        <v>2127.17</v>
      </c>
      <c r="R10" s="2992">
        <v>0.44</v>
      </c>
      <c r="S10" s="2992" t="s">
        <v>3246</v>
      </c>
      <c r="T10" s="2992" t="s">
        <v>3264</v>
      </c>
    </row>
    <row r="11" spans="1:21" s="2973" customFormat="1" ht="32.25" customHeight="1">
      <c r="A11" s="2972" t="s">
        <v>3285</v>
      </c>
      <c r="B11" s="2972" t="s">
        <v>3219</v>
      </c>
      <c r="C11" s="2972" t="s">
        <v>3231</v>
      </c>
      <c r="D11" s="2972" t="s">
        <v>1327</v>
      </c>
      <c r="E11" s="2972" t="s">
        <v>3285</v>
      </c>
      <c r="F11" s="2972" t="s">
        <v>3221</v>
      </c>
      <c r="G11" s="2972" t="s">
        <v>3286</v>
      </c>
      <c r="H11" s="2972" t="s">
        <v>3242</v>
      </c>
      <c r="I11" s="2972">
        <v>47314.37</v>
      </c>
      <c r="J11" s="2972">
        <v>141943.1</v>
      </c>
      <c r="K11" s="2972" t="s">
        <v>3277</v>
      </c>
      <c r="L11" s="2972" t="s">
        <v>3287</v>
      </c>
      <c r="M11" s="2972" t="s">
        <v>3288</v>
      </c>
      <c r="N11" s="2972" t="s">
        <v>3289</v>
      </c>
      <c r="O11" s="2972">
        <v>74320</v>
      </c>
      <c r="P11" s="2972">
        <v>1047.18</v>
      </c>
      <c r="Q11" s="2972">
        <v>5235.8900000000003</v>
      </c>
      <c r="R11" s="2972">
        <v>0.68</v>
      </c>
      <c r="S11" s="2972" t="s">
        <v>3246</v>
      </c>
      <c r="T11" s="2972" t="s">
        <v>3264</v>
      </c>
    </row>
    <row r="12" spans="1:21" s="2968" customFormat="1" ht="32.25" customHeight="1">
      <c r="A12" s="2967" t="s">
        <v>3285</v>
      </c>
      <c r="B12" s="2967" t="s">
        <v>3219</v>
      </c>
      <c r="C12" s="2967" t="s">
        <v>3231</v>
      </c>
      <c r="D12" s="2967" t="s">
        <v>1327</v>
      </c>
      <c r="E12" s="2967" t="s">
        <v>3285</v>
      </c>
      <c r="F12" s="2967" t="s">
        <v>3221</v>
      </c>
      <c r="G12" s="2967" t="s">
        <v>3290</v>
      </c>
      <c r="H12" s="2967" t="s">
        <v>3242</v>
      </c>
      <c r="I12" s="2967">
        <v>55480.68</v>
      </c>
      <c r="J12" s="2967">
        <v>155345.9</v>
      </c>
      <c r="K12" s="2967" t="s">
        <v>3291</v>
      </c>
      <c r="L12" s="2967" t="s">
        <v>3287</v>
      </c>
      <c r="M12" s="2967" t="s">
        <v>3292</v>
      </c>
      <c r="N12" s="2967" t="s">
        <v>3293</v>
      </c>
      <c r="O12" s="2967">
        <v>80780</v>
      </c>
      <c r="P12" s="2967">
        <v>970.67</v>
      </c>
      <c r="Q12" s="2967">
        <v>5200.01</v>
      </c>
      <c r="R12" s="2967">
        <v>0</v>
      </c>
      <c r="S12" s="2967" t="s">
        <v>3246</v>
      </c>
      <c r="T12" s="2967" t="s">
        <v>3264</v>
      </c>
    </row>
    <row r="13" spans="1:21" s="2968" customFormat="1" ht="32.25" customHeight="1">
      <c r="A13" s="2967" t="s">
        <v>3294</v>
      </c>
      <c r="B13" s="2967" t="s">
        <v>3219</v>
      </c>
      <c r="C13" s="2967" t="s">
        <v>3220</v>
      </c>
      <c r="D13" s="2967" t="s">
        <v>1327</v>
      </c>
      <c r="E13" s="2967" t="s">
        <v>3294</v>
      </c>
      <c r="F13" s="2967" t="s">
        <v>3221</v>
      </c>
      <c r="G13" s="2967" t="s">
        <v>3295</v>
      </c>
      <c r="H13" s="2967" t="s">
        <v>3233</v>
      </c>
      <c r="I13" s="2967">
        <v>128280</v>
      </c>
      <c r="J13" s="2967">
        <v>484130</v>
      </c>
      <c r="K13" s="2967" t="s">
        <v>3296</v>
      </c>
      <c r="L13" s="2967" t="s">
        <v>3297</v>
      </c>
      <c r="M13" s="2967" t="s">
        <v>3298</v>
      </c>
      <c r="N13" s="2967" t="s">
        <v>3299</v>
      </c>
      <c r="O13" s="2967">
        <v>315660</v>
      </c>
      <c r="P13" s="2967">
        <v>1640.47</v>
      </c>
      <c r="Q13" s="2967">
        <v>6520.14</v>
      </c>
      <c r="R13" s="2967">
        <v>0</v>
      </c>
      <c r="S13" s="2967" t="s">
        <v>3238</v>
      </c>
      <c r="T13" s="2967" t="s">
        <v>3229</v>
      </c>
    </row>
    <row r="14" spans="1:21" s="2968" customFormat="1" ht="32.25" customHeight="1">
      <c r="A14" s="2967" t="s">
        <v>3300</v>
      </c>
      <c r="B14" s="2967" t="s">
        <v>3219</v>
      </c>
      <c r="C14" s="2967" t="s">
        <v>3220</v>
      </c>
      <c r="D14" s="2967" t="s">
        <v>1327</v>
      </c>
      <c r="E14" s="2967" t="s">
        <v>3300</v>
      </c>
      <c r="F14" s="2967" t="s">
        <v>3221</v>
      </c>
      <c r="G14" s="2967" t="s">
        <v>3301</v>
      </c>
      <c r="H14" s="2967" t="s">
        <v>3233</v>
      </c>
      <c r="I14" s="2967">
        <v>59430.94</v>
      </c>
      <c r="J14" s="2967">
        <v>171452</v>
      </c>
      <c r="K14" s="2967" t="s">
        <v>3302</v>
      </c>
      <c r="L14" s="2967" t="s">
        <v>3303</v>
      </c>
      <c r="M14" s="2967" t="s">
        <v>3304</v>
      </c>
      <c r="N14" s="2967" t="s">
        <v>3305</v>
      </c>
      <c r="O14" s="2967">
        <v>122150</v>
      </c>
      <c r="P14" s="2967">
        <v>1370.22</v>
      </c>
      <c r="Q14" s="2967">
        <v>7124.43</v>
      </c>
      <c r="R14" s="2967">
        <v>0</v>
      </c>
      <c r="S14" s="2967" t="s">
        <v>3238</v>
      </c>
      <c r="T14" s="2967" t="s">
        <v>3273</v>
      </c>
    </row>
    <row r="15" spans="1:21" s="2968" customFormat="1" ht="32.25" customHeight="1">
      <c r="A15" s="2967" t="s">
        <v>3306</v>
      </c>
      <c r="B15" s="2967" t="s">
        <v>3219</v>
      </c>
      <c r="C15" s="2967" t="s">
        <v>3220</v>
      </c>
      <c r="D15" s="2967" t="s">
        <v>1327</v>
      </c>
      <c r="E15" s="2967" t="s">
        <v>3306</v>
      </c>
      <c r="F15" s="2967" t="s">
        <v>3221</v>
      </c>
      <c r="G15" s="2967" t="s">
        <v>3307</v>
      </c>
      <c r="H15" s="2967" t="s">
        <v>3223</v>
      </c>
      <c r="I15" s="2967">
        <v>66657</v>
      </c>
      <c r="J15" s="2967">
        <v>228790</v>
      </c>
      <c r="K15" s="2967" t="s">
        <v>3308</v>
      </c>
      <c r="L15" s="2967" t="s">
        <v>3303</v>
      </c>
      <c r="M15" s="2967" t="s">
        <v>3309</v>
      </c>
      <c r="N15" s="2967" t="s">
        <v>3310</v>
      </c>
      <c r="O15" s="2967">
        <v>139570</v>
      </c>
      <c r="P15" s="2967">
        <v>1395.9</v>
      </c>
      <c r="Q15" s="2967">
        <v>6100.35</v>
      </c>
      <c r="R15" s="2967">
        <v>0</v>
      </c>
      <c r="S15" s="2967" t="s">
        <v>3228</v>
      </c>
      <c r="T15" s="2967" t="s">
        <v>3229</v>
      </c>
    </row>
    <row r="16" spans="1:21" s="2968" customFormat="1" ht="32.25" customHeight="1">
      <c r="A16" s="2967" t="s">
        <v>3311</v>
      </c>
      <c r="B16" s="2967" t="s">
        <v>3219</v>
      </c>
      <c r="C16" s="2967" t="s">
        <v>3220</v>
      </c>
      <c r="D16" s="2967" t="s">
        <v>1327</v>
      </c>
      <c r="E16" s="2967" t="s">
        <v>3311</v>
      </c>
      <c r="F16" s="2967" t="s">
        <v>3221</v>
      </c>
      <c r="G16" s="2967" t="s">
        <v>3312</v>
      </c>
      <c r="H16" s="2967" t="s">
        <v>3223</v>
      </c>
      <c r="I16" s="2967">
        <v>22312.080000000002</v>
      </c>
      <c r="J16" s="2967">
        <v>82038.399999999994</v>
      </c>
      <c r="K16" s="2967" t="s">
        <v>3313</v>
      </c>
      <c r="L16" s="2967" t="s">
        <v>3314</v>
      </c>
      <c r="M16" s="2967" t="s">
        <v>3315</v>
      </c>
      <c r="N16" s="2967" t="s">
        <v>3316</v>
      </c>
      <c r="O16" s="2967">
        <v>42050</v>
      </c>
      <c r="P16" s="2967">
        <v>1256.42</v>
      </c>
      <c r="Q16" s="2967">
        <v>5125.6400000000003</v>
      </c>
      <c r="R16" s="2967">
        <v>0</v>
      </c>
      <c r="S16" s="2967" t="s">
        <v>3228</v>
      </c>
      <c r="T16" s="2967" t="s">
        <v>3229</v>
      </c>
    </row>
    <row r="17" spans="1:20" s="2993" customFormat="1" ht="32.25" customHeight="1">
      <c r="A17" s="2992" t="s">
        <v>3317</v>
      </c>
      <c r="B17" s="2992" t="s">
        <v>3219</v>
      </c>
      <c r="C17" s="2992" t="s">
        <v>3231</v>
      </c>
      <c r="D17" s="2992" t="s">
        <v>1327</v>
      </c>
      <c r="E17" s="2992" t="s">
        <v>3317</v>
      </c>
      <c r="F17" s="2992" t="s">
        <v>3221</v>
      </c>
      <c r="G17" s="2992" t="s">
        <v>3318</v>
      </c>
      <c r="H17" s="2992" t="s">
        <v>3242</v>
      </c>
      <c r="I17" s="2992">
        <v>42807.56</v>
      </c>
      <c r="J17" s="2992">
        <v>119861.2</v>
      </c>
      <c r="K17" s="2992" t="s">
        <v>3291</v>
      </c>
      <c r="L17" s="2992" t="s">
        <v>3314</v>
      </c>
      <c r="M17" s="2992" t="s">
        <v>3319</v>
      </c>
      <c r="N17" s="2992" t="s">
        <v>3320</v>
      </c>
      <c r="O17" s="2992">
        <v>84180</v>
      </c>
      <c r="P17" s="2992">
        <v>1310.98</v>
      </c>
      <c r="Q17" s="2992">
        <v>7023.11</v>
      </c>
      <c r="R17" s="2992">
        <v>11.97</v>
      </c>
      <c r="S17" s="2992" t="s">
        <v>3246</v>
      </c>
      <c r="T17" s="2992" t="s">
        <v>3229</v>
      </c>
    </row>
    <row r="18" spans="1:20" s="2968" customFormat="1" ht="32.25" customHeight="1">
      <c r="A18" s="2967" t="s">
        <v>3321</v>
      </c>
      <c r="B18" s="2967" t="s">
        <v>3219</v>
      </c>
      <c r="C18" s="2967" t="s">
        <v>3231</v>
      </c>
      <c r="D18" s="2967" t="s">
        <v>1327</v>
      </c>
      <c r="E18" s="2967" t="s">
        <v>3321</v>
      </c>
      <c r="F18" s="2967" t="s">
        <v>3221</v>
      </c>
      <c r="G18" s="2967" t="s">
        <v>3322</v>
      </c>
      <c r="H18" s="2967" t="s">
        <v>3242</v>
      </c>
      <c r="I18" s="2967">
        <v>114473.9</v>
      </c>
      <c r="J18" s="2967">
        <v>171710.8</v>
      </c>
      <c r="K18" s="2967" t="s">
        <v>3323</v>
      </c>
      <c r="L18" s="2967" t="s">
        <v>3324</v>
      </c>
      <c r="M18" s="2967" t="s">
        <v>3325</v>
      </c>
      <c r="N18" s="2967" t="s">
        <v>3326</v>
      </c>
      <c r="O18" s="2967">
        <v>107200</v>
      </c>
      <c r="P18" s="2967">
        <v>624.30999999999995</v>
      </c>
      <c r="Q18" s="2967">
        <v>6243.06</v>
      </c>
      <c r="R18" s="2967">
        <v>0</v>
      </c>
      <c r="S18" s="2967" t="s">
        <v>3246</v>
      </c>
      <c r="T18" s="2967" t="s">
        <v>3239</v>
      </c>
    </row>
    <row r="19" spans="1:20" s="2973" customFormat="1" ht="32.25" customHeight="1">
      <c r="A19" s="2972" t="s">
        <v>3327</v>
      </c>
      <c r="B19" s="2972" t="s">
        <v>3219</v>
      </c>
      <c r="C19" s="2972" t="s">
        <v>3231</v>
      </c>
      <c r="D19" s="2972" t="s">
        <v>1327</v>
      </c>
      <c r="E19" s="2972" t="s">
        <v>3327</v>
      </c>
      <c r="F19" s="2972" t="s">
        <v>3221</v>
      </c>
      <c r="G19" s="2972" t="s">
        <v>3328</v>
      </c>
      <c r="H19" s="2972" t="s">
        <v>3242</v>
      </c>
      <c r="I19" s="2972">
        <v>45231.53</v>
      </c>
      <c r="J19" s="2972">
        <v>122125.1</v>
      </c>
      <c r="K19" s="2972" t="s">
        <v>3329</v>
      </c>
      <c r="L19" s="2972" t="s">
        <v>3330</v>
      </c>
      <c r="M19" s="2972" t="s">
        <v>3331</v>
      </c>
      <c r="N19" s="2972" t="s">
        <v>3332</v>
      </c>
      <c r="O19" s="2972">
        <v>78720</v>
      </c>
      <c r="P19" s="2972">
        <v>1160.25</v>
      </c>
      <c r="Q19" s="2972">
        <v>6445.85</v>
      </c>
      <c r="R19" s="2972">
        <v>0.64</v>
      </c>
      <c r="S19" s="2972" t="s">
        <v>3246</v>
      </c>
      <c r="T19" s="2972" t="s">
        <v>3264</v>
      </c>
    </row>
    <row r="20" spans="1:20" s="2973" customFormat="1" ht="32.25" customHeight="1">
      <c r="A20" s="2972" t="s">
        <v>3333</v>
      </c>
      <c r="B20" s="2972" t="s">
        <v>3219</v>
      </c>
      <c r="C20" s="2972" t="s">
        <v>3231</v>
      </c>
      <c r="D20" s="2972" t="s">
        <v>1327</v>
      </c>
      <c r="E20" s="2972" t="s">
        <v>3333</v>
      </c>
      <c r="F20" s="2972" t="s">
        <v>3221</v>
      </c>
      <c r="G20" s="2972" t="s">
        <v>3334</v>
      </c>
      <c r="H20" s="2972" t="s">
        <v>3242</v>
      </c>
      <c r="I20" s="2972">
        <v>46061.01</v>
      </c>
      <c r="J20" s="2972">
        <v>124364.7</v>
      </c>
      <c r="K20" s="2972" t="s">
        <v>3329</v>
      </c>
      <c r="L20" s="2972" t="s">
        <v>3330</v>
      </c>
      <c r="M20" s="2972" t="s">
        <v>3335</v>
      </c>
      <c r="N20" s="2972" t="s">
        <v>3336</v>
      </c>
      <c r="O20" s="2972">
        <v>80150</v>
      </c>
      <c r="P20" s="2972">
        <v>1160.06</v>
      </c>
      <c r="Q20" s="2972">
        <v>6444.75</v>
      </c>
      <c r="R20" s="2972">
        <v>0.63</v>
      </c>
      <c r="S20" s="2972" t="s">
        <v>3246</v>
      </c>
      <c r="T20" s="2972" t="s">
        <v>3264</v>
      </c>
    </row>
    <row r="21" spans="1:20" s="2968" customFormat="1" ht="32.25" customHeight="1">
      <c r="A21" s="2967" t="s">
        <v>3337</v>
      </c>
      <c r="B21" s="2967" t="s">
        <v>3219</v>
      </c>
      <c r="C21" s="2967" t="s">
        <v>3220</v>
      </c>
      <c r="D21" s="2967" t="s">
        <v>1327</v>
      </c>
      <c r="E21" s="2967" t="s">
        <v>3337</v>
      </c>
      <c r="F21" s="2967" t="s">
        <v>3221</v>
      </c>
      <c r="G21" s="2967" t="s">
        <v>3338</v>
      </c>
      <c r="H21" s="2967" t="s">
        <v>3223</v>
      </c>
      <c r="I21" s="2967">
        <v>68130.7</v>
      </c>
      <c r="J21" s="2967">
        <v>229947</v>
      </c>
      <c r="K21" s="2967">
        <v>3.38</v>
      </c>
      <c r="L21" s="2967" t="s">
        <v>3339</v>
      </c>
      <c r="M21" s="2967" t="s">
        <v>3340</v>
      </c>
      <c r="N21" s="2967" t="s">
        <v>3341</v>
      </c>
      <c r="O21" s="2967">
        <v>58830</v>
      </c>
      <c r="P21" s="2967">
        <v>575.66</v>
      </c>
      <c r="Q21" s="2967">
        <v>2558.42</v>
      </c>
      <c r="R21" s="2967">
        <v>0</v>
      </c>
      <c r="S21" s="2967" t="s">
        <v>3228</v>
      </c>
      <c r="T21" s="2967" t="s">
        <v>3229</v>
      </c>
    </row>
    <row r="22" spans="1:20" s="2968" customFormat="1" ht="32.25" customHeight="1">
      <c r="A22" s="2967" t="s">
        <v>3342</v>
      </c>
      <c r="B22" s="2967" t="s">
        <v>3219</v>
      </c>
      <c r="C22" s="2967" t="s">
        <v>3231</v>
      </c>
      <c r="D22" s="2967" t="s">
        <v>1327</v>
      </c>
      <c r="E22" s="2967" t="s">
        <v>3342</v>
      </c>
      <c r="F22" s="2967" t="s">
        <v>3221</v>
      </c>
      <c r="G22" s="2967" t="s">
        <v>3343</v>
      </c>
      <c r="H22" s="2967" t="s">
        <v>3242</v>
      </c>
      <c r="I22" s="2967">
        <v>40366</v>
      </c>
      <c r="J22" s="2967">
        <v>141281</v>
      </c>
      <c r="K22" s="2967">
        <v>3.5</v>
      </c>
      <c r="L22" s="2967" t="s">
        <v>3344</v>
      </c>
      <c r="M22" s="2967" t="s">
        <v>3345</v>
      </c>
      <c r="N22" s="2967" t="s">
        <v>3346</v>
      </c>
      <c r="O22" s="2967">
        <v>99220</v>
      </c>
      <c r="P22" s="2967">
        <v>1638.67</v>
      </c>
      <c r="Q22" s="2967">
        <v>7022.88</v>
      </c>
      <c r="R22" s="2967">
        <v>0</v>
      </c>
      <c r="S22" s="2967" t="s">
        <v>3246</v>
      </c>
      <c r="T22" s="2967" t="s">
        <v>3229</v>
      </c>
    </row>
    <row r="23" spans="1:20" s="2968" customFormat="1" ht="32.25" customHeight="1">
      <c r="A23" s="2967" t="s">
        <v>3347</v>
      </c>
      <c r="B23" s="2967" t="s">
        <v>3219</v>
      </c>
      <c r="C23" s="2967" t="s">
        <v>3231</v>
      </c>
      <c r="D23" s="2967" t="s">
        <v>1327</v>
      </c>
      <c r="E23" s="2967" t="s">
        <v>3347</v>
      </c>
      <c r="F23" s="2967" t="s">
        <v>3221</v>
      </c>
      <c r="G23" s="2967" t="s">
        <v>3348</v>
      </c>
      <c r="H23" s="2967" t="s">
        <v>3242</v>
      </c>
      <c r="I23" s="2967">
        <v>53037</v>
      </c>
      <c r="J23" s="2967">
        <v>185629.5</v>
      </c>
      <c r="K23" s="2967">
        <v>3.5</v>
      </c>
      <c r="L23" s="2967" t="s">
        <v>3344</v>
      </c>
      <c r="M23" s="2967" t="s">
        <v>3349</v>
      </c>
      <c r="N23" s="2967" t="s">
        <v>3350</v>
      </c>
      <c r="O23" s="2967">
        <v>130790</v>
      </c>
      <c r="P23" s="2967">
        <v>1644.01</v>
      </c>
      <c r="Q23" s="2967">
        <v>7045.76</v>
      </c>
      <c r="R23" s="2967">
        <v>0</v>
      </c>
      <c r="S23" s="2967" t="s">
        <v>3246</v>
      </c>
      <c r="T23" s="2967" t="s">
        <v>3229</v>
      </c>
    </row>
    <row r="24" spans="1:20" s="2968" customFormat="1" ht="32.25" customHeight="1">
      <c r="A24" s="2967" t="s">
        <v>3351</v>
      </c>
      <c r="B24" s="2967" t="s">
        <v>3219</v>
      </c>
      <c r="C24" s="2967" t="s">
        <v>3231</v>
      </c>
      <c r="D24" s="2967" t="s">
        <v>1327</v>
      </c>
      <c r="E24" s="2967" t="s">
        <v>3351</v>
      </c>
      <c r="F24" s="2967" t="s">
        <v>3221</v>
      </c>
      <c r="G24" s="2967" t="s">
        <v>3352</v>
      </c>
      <c r="H24" s="2967" t="s">
        <v>3242</v>
      </c>
      <c r="I24" s="2967">
        <v>19293.099999999999</v>
      </c>
      <c r="J24" s="2967">
        <v>55178.27</v>
      </c>
      <c r="K24" s="2967">
        <v>2.86</v>
      </c>
      <c r="L24" s="2967" t="s">
        <v>3344</v>
      </c>
      <c r="M24" s="2967" t="s">
        <v>3353</v>
      </c>
      <c r="N24" s="2967" t="s">
        <v>3354</v>
      </c>
      <c r="O24" s="2967">
        <v>29150</v>
      </c>
      <c r="P24" s="2967">
        <v>1007.27</v>
      </c>
      <c r="Q24" s="2967">
        <v>5282.88</v>
      </c>
      <c r="R24" s="2967">
        <v>0</v>
      </c>
      <c r="S24" s="2967" t="s">
        <v>3246</v>
      </c>
      <c r="T24" s="2967" t="s">
        <v>3229</v>
      </c>
    </row>
    <row r="25" spans="1:20" s="2968" customFormat="1" ht="32.25" customHeight="1">
      <c r="A25" s="2967" t="s">
        <v>3355</v>
      </c>
      <c r="B25" s="2967" t="s">
        <v>3219</v>
      </c>
      <c r="C25" s="2967" t="s">
        <v>3231</v>
      </c>
      <c r="D25" s="2967" t="s">
        <v>1327</v>
      </c>
      <c r="E25" s="2967" t="s">
        <v>3355</v>
      </c>
      <c r="F25" s="2967" t="s">
        <v>3221</v>
      </c>
      <c r="G25" s="2967" t="s">
        <v>3356</v>
      </c>
      <c r="H25" s="2967" t="s">
        <v>3242</v>
      </c>
      <c r="I25" s="2967">
        <v>41761.980000000003</v>
      </c>
      <c r="J25" s="2967">
        <v>127226</v>
      </c>
      <c r="K25" s="2967">
        <v>3.05</v>
      </c>
      <c r="L25" s="2967" t="s">
        <v>3357</v>
      </c>
      <c r="M25" s="2967" t="s">
        <v>3358</v>
      </c>
      <c r="N25" s="2967" t="s">
        <v>3359</v>
      </c>
      <c r="O25" s="2967">
        <v>133820</v>
      </c>
      <c r="P25" s="2967">
        <v>2136.23</v>
      </c>
      <c r="Q25" s="2967">
        <v>10518.29</v>
      </c>
      <c r="R25" s="2967">
        <v>50.01</v>
      </c>
      <c r="S25" s="2967" t="s">
        <v>3246</v>
      </c>
      <c r="T25" s="2967" t="s">
        <v>3273</v>
      </c>
    </row>
    <row r="26" spans="1:20" s="2968" customFormat="1" ht="32.25" customHeight="1">
      <c r="A26" s="2967" t="s">
        <v>3360</v>
      </c>
      <c r="B26" s="2967" t="s">
        <v>3219</v>
      </c>
      <c r="C26" s="2967" t="s">
        <v>3220</v>
      </c>
      <c r="D26" s="2967" t="s">
        <v>1327</v>
      </c>
      <c r="E26" s="2967" t="s">
        <v>3360</v>
      </c>
      <c r="F26" s="2967" t="s">
        <v>3221</v>
      </c>
      <c r="G26" s="2967" t="s">
        <v>3361</v>
      </c>
      <c r="H26" s="2967" t="s">
        <v>3223</v>
      </c>
      <c r="I26" s="2967">
        <v>67816.88</v>
      </c>
      <c r="J26" s="2967">
        <v>250128</v>
      </c>
      <c r="K26" s="2967">
        <v>3.9</v>
      </c>
      <c r="L26" s="2967" t="s">
        <v>3362</v>
      </c>
      <c r="M26" s="2967" t="s">
        <v>3363</v>
      </c>
      <c r="N26" s="2967" t="s">
        <v>3364</v>
      </c>
      <c r="O26" s="2967">
        <v>130850</v>
      </c>
      <c r="P26" s="2967">
        <v>1286.31</v>
      </c>
      <c r="Q26" s="2967">
        <v>5231.3100000000004</v>
      </c>
      <c r="R26" s="2967">
        <v>0.38</v>
      </c>
      <c r="S26" s="2967" t="s">
        <v>3272</v>
      </c>
      <c r="T26" s="2967" t="s">
        <v>3229</v>
      </c>
    </row>
    <row r="27" spans="1:20" s="2968" customFormat="1" ht="32.25" customHeight="1">
      <c r="A27" s="2967" t="s">
        <v>3306</v>
      </c>
      <c r="B27" s="2967" t="s">
        <v>3219</v>
      </c>
      <c r="C27" s="2967" t="s">
        <v>3220</v>
      </c>
      <c r="D27" s="2967" t="s">
        <v>1327</v>
      </c>
      <c r="E27" s="2967" t="s">
        <v>3306</v>
      </c>
      <c r="F27" s="2967" t="s">
        <v>3221</v>
      </c>
      <c r="G27" s="2967" t="s">
        <v>3365</v>
      </c>
      <c r="H27" s="2967" t="s">
        <v>3223</v>
      </c>
      <c r="I27" s="2967">
        <v>57007</v>
      </c>
      <c r="J27" s="2967">
        <v>188924</v>
      </c>
      <c r="K27" s="2967">
        <v>3.31</v>
      </c>
      <c r="L27" s="2967" t="s">
        <v>3362</v>
      </c>
      <c r="M27" s="2967" t="s">
        <v>3366</v>
      </c>
      <c r="N27" s="2967" t="s">
        <v>3367</v>
      </c>
      <c r="O27" s="2967">
        <v>133140</v>
      </c>
      <c r="P27" s="2967">
        <v>1557</v>
      </c>
      <c r="Q27" s="2967">
        <v>7047.27</v>
      </c>
      <c r="R27" s="2967">
        <v>0</v>
      </c>
      <c r="S27" s="2967" t="s">
        <v>3272</v>
      </c>
      <c r="T27" s="2967" t="s">
        <v>3229</v>
      </c>
    </row>
    <row r="28" spans="1:20" s="2975" customFormat="1" ht="32.25" customHeight="1">
      <c r="A28" s="2974" t="s">
        <v>3368</v>
      </c>
      <c r="B28" s="2974" t="s">
        <v>3219</v>
      </c>
      <c r="C28" s="2974" t="s">
        <v>3220</v>
      </c>
      <c r="D28" s="2974" t="s">
        <v>1327</v>
      </c>
      <c r="E28" s="2974" t="s">
        <v>3368</v>
      </c>
      <c r="F28" s="2974" t="s">
        <v>3221</v>
      </c>
      <c r="G28" s="2974" t="s">
        <v>3369</v>
      </c>
      <c r="H28" s="2974" t="s">
        <v>3370</v>
      </c>
      <c r="I28" s="2974">
        <v>335071.8</v>
      </c>
      <c r="J28" s="2974">
        <v>837679.6</v>
      </c>
      <c r="K28" s="2974" t="s">
        <v>3371</v>
      </c>
      <c r="L28" s="2974" t="s">
        <v>3372</v>
      </c>
      <c r="M28" s="2974" t="s">
        <v>3373</v>
      </c>
      <c r="N28" s="2974" t="s">
        <v>3374</v>
      </c>
      <c r="O28" s="2974">
        <v>113360</v>
      </c>
      <c r="P28" s="2974">
        <v>225.54</v>
      </c>
      <c r="Q28" s="2974">
        <v>1353.25</v>
      </c>
      <c r="R28" s="2974">
        <v>0</v>
      </c>
      <c r="S28" s="2974" t="s">
        <v>3375</v>
      </c>
      <c r="T28" s="2974" t="s">
        <v>3264</v>
      </c>
    </row>
    <row r="29" spans="1:20" s="2968" customFormat="1" ht="32.25" customHeight="1">
      <c r="A29" s="2967" t="s">
        <v>3376</v>
      </c>
      <c r="B29" s="2967" t="s">
        <v>3219</v>
      </c>
      <c r="C29" s="2967" t="s">
        <v>3220</v>
      </c>
      <c r="D29" s="2967" t="s">
        <v>1327</v>
      </c>
      <c r="E29" s="2967" t="s">
        <v>3376</v>
      </c>
      <c r="F29" s="2967" t="s">
        <v>3221</v>
      </c>
      <c r="G29" s="2967" t="s">
        <v>3377</v>
      </c>
      <c r="H29" s="2967" t="s">
        <v>3378</v>
      </c>
      <c r="I29" s="2967">
        <v>93800</v>
      </c>
      <c r="J29" s="2967">
        <v>315168</v>
      </c>
      <c r="K29" s="2967">
        <v>3.36</v>
      </c>
      <c r="L29" s="2967" t="s">
        <v>3379</v>
      </c>
      <c r="M29" s="2967" t="s">
        <v>3380</v>
      </c>
      <c r="N29" s="2967" t="s">
        <v>3381</v>
      </c>
      <c r="O29" s="2967">
        <v>176740</v>
      </c>
      <c r="P29" s="2967">
        <v>1256.1500000000001</v>
      </c>
      <c r="Q29" s="2967">
        <v>5607.8</v>
      </c>
      <c r="R29" s="2967">
        <v>0</v>
      </c>
      <c r="S29" s="2967" t="s">
        <v>3246</v>
      </c>
      <c r="T29" s="2967" t="s">
        <v>3229</v>
      </c>
    </row>
    <row r="30" spans="1:20" s="2968" customFormat="1" ht="32.25" customHeight="1">
      <c r="A30" s="2967" t="s">
        <v>3376</v>
      </c>
      <c r="B30" s="2967" t="s">
        <v>3219</v>
      </c>
      <c r="C30" s="2967" t="s">
        <v>3220</v>
      </c>
      <c r="D30" s="2967" t="s">
        <v>1327</v>
      </c>
      <c r="E30" s="2967" t="s">
        <v>3376</v>
      </c>
      <c r="F30" s="2967" t="s">
        <v>3221</v>
      </c>
      <c r="G30" s="2967" t="s">
        <v>3382</v>
      </c>
      <c r="H30" s="2967" t="s">
        <v>3383</v>
      </c>
      <c r="I30" s="2967">
        <v>152200</v>
      </c>
      <c r="J30" s="2967">
        <v>418550</v>
      </c>
      <c r="K30" s="2967">
        <v>2.75</v>
      </c>
      <c r="L30" s="2967" t="s">
        <v>3379</v>
      </c>
      <c r="M30" s="2967" t="s">
        <v>3384</v>
      </c>
      <c r="N30" s="2967" t="s">
        <v>3381</v>
      </c>
      <c r="O30" s="2967">
        <v>234810</v>
      </c>
      <c r="P30" s="2967">
        <v>1028.52</v>
      </c>
      <c r="Q30" s="2967">
        <v>5610.07</v>
      </c>
      <c r="R30" s="2967">
        <v>0</v>
      </c>
      <c r="S30" s="2967" t="s">
        <v>3385</v>
      </c>
      <c r="T30" s="2967" t="s">
        <v>3229</v>
      </c>
    </row>
    <row r="31" spans="1:20" s="2968" customFormat="1" ht="32.25" customHeight="1">
      <c r="A31" s="2967" t="s">
        <v>3386</v>
      </c>
      <c r="B31" s="2967" t="s">
        <v>3219</v>
      </c>
      <c r="C31" s="2967" t="s">
        <v>3220</v>
      </c>
      <c r="D31" s="2967" t="s">
        <v>1327</v>
      </c>
      <c r="E31" s="2967" t="s">
        <v>3386</v>
      </c>
      <c r="F31" s="2967" t="s">
        <v>3221</v>
      </c>
      <c r="G31" s="2967" t="s">
        <v>3387</v>
      </c>
      <c r="H31" s="2967" t="s">
        <v>3388</v>
      </c>
      <c r="I31" s="2967">
        <v>50499.7</v>
      </c>
      <c r="J31" s="2967">
        <v>176750</v>
      </c>
      <c r="K31" s="2967">
        <v>3.5</v>
      </c>
      <c r="L31" s="2967" t="s">
        <v>3379</v>
      </c>
      <c r="M31" s="2967" t="s">
        <v>3389</v>
      </c>
      <c r="N31" s="2967" t="s">
        <v>3390</v>
      </c>
      <c r="O31" s="2967">
        <v>163999</v>
      </c>
      <c r="P31" s="2967">
        <v>2165.02</v>
      </c>
      <c r="Q31" s="2967">
        <v>9278.59</v>
      </c>
      <c r="R31" s="2967">
        <v>40.04</v>
      </c>
      <c r="S31" s="2967" t="s">
        <v>3228</v>
      </c>
      <c r="T31" s="2967" t="s">
        <v>3229</v>
      </c>
    </row>
    <row r="32" spans="1:20" s="2968" customFormat="1" ht="32.25" customHeight="1">
      <c r="A32" s="2967" t="s">
        <v>3391</v>
      </c>
      <c r="B32" s="2967" t="s">
        <v>3219</v>
      </c>
      <c r="C32" s="2967" t="s">
        <v>3231</v>
      </c>
      <c r="D32" s="2967" t="s">
        <v>1327</v>
      </c>
      <c r="E32" s="2967" t="s">
        <v>3391</v>
      </c>
      <c r="F32" s="2967" t="s">
        <v>3221</v>
      </c>
      <c r="G32" s="2967" t="s">
        <v>3392</v>
      </c>
      <c r="H32" s="2967" t="s">
        <v>3231</v>
      </c>
      <c r="I32" s="2967">
        <v>9448.59</v>
      </c>
      <c r="J32" s="2967">
        <v>30080</v>
      </c>
      <c r="K32" s="2967">
        <v>3.2</v>
      </c>
      <c r="L32" s="2967" t="s">
        <v>3379</v>
      </c>
      <c r="M32" s="2967" t="s">
        <v>3393</v>
      </c>
      <c r="N32" s="2967" t="s">
        <v>3394</v>
      </c>
      <c r="O32" s="2967">
        <v>9362</v>
      </c>
      <c r="P32" s="2967">
        <v>660.56</v>
      </c>
      <c r="Q32" s="2967">
        <v>3112.36</v>
      </c>
      <c r="R32" s="2967">
        <v>50.03</v>
      </c>
      <c r="S32" s="2967" t="s">
        <v>3395</v>
      </c>
      <c r="T32" s="2967" t="s">
        <v>3273</v>
      </c>
    </row>
    <row r="33" spans="1:20" s="2968" customFormat="1" ht="32.25" customHeight="1">
      <c r="A33" s="2967" t="s">
        <v>3396</v>
      </c>
      <c r="B33" s="2967" t="s">
        <v>3219</v>
      </c>
      <c r="C33" s="2967" t="s">
        <v>3231</v>
      </c>
      <c r="D33" s="2967" t="s">
        <v>1327</v>
      </c>
      <c r="E33" s="2967" t="s">
        <v>3396</v>
      </c>
      <c r="F33" s="2967" t="s">
        <v>3221</v>
      </c>
      <c r="G33" s="2967" t="s">
        <v>3397</v>
      </c>
      <c r="H33" s="2967" t="s">
        <v>3231</v>
      </c>
      <c r="I33" s="2967">
        <v>26666.73</v>
      </c>
      <c r="J33" s="2967">
        <v>83884</v>
      </c>
      <c r="K33" s="2967">
        <v>3.5</v>
      </c>
      <c r="L33" s="2967" t="s">
        <v>3398</v>
      </c>
      <c r="M33" s="2967" t="s">
        <v>3399</v>
      </c>
      <c r="N33" s="2967" t="s">
        <v>3400</v>
      </c>
      <c r="O33" s="2967">
        <v>85000</v>
      </c>
      <c r="P33" s="2967">
        <v>2124.9899999999998</v>
      </c>
      <c r="Q33" s="2967">
        <v>10133.040000000001</v>
      </c>
      <c r="R33" s="2967">
        <v>48.99</v>
      </c>
      <c r="S33" s="2967" t="s">
        <v>3246</v>
      </c>
      <c r="T33" s="2967" t="s">
        <v>3229</v>
      </c>
    </row>
    <row r="34" spans="1:20" s="2968" customFormat="1" ht="32.25" customHeight="1">
      <c r="A34" s="2967" t="s">
        <v>3401</v>
      </c>
      <c r="B34" s="2967" t="s">
        <v>3219</v>
      </c>
      <c r="C34" s="2967" t="s">
        <v>3231</v>
      </c>
      <c r="D34" s="2967" t="s">
        <v>1327</v>
      </c>
      <c r="E34" s="2967" t="s">
        <v>3401</v>
      </c>
      <c r="F34" s="2967" t="s">
        <v>3221</v>
      </c>
      <c r="G34" s="2967" t="s">
        <v>3402</v>
      </c>
      <c r="H34" s="2967" t="s">
        <v>3231</v>
      </c>
      <c r="I34" s="2967">
        <v>86178.16</v>
      </c>
      <c r="J34" s="2967">
        <v>270627.7</v>
      </c>
      <c r="K34" s="2967" t="s">
        <v>3403</v>
      </c>
      <c r="L34" s="2967" t="s">
        <v>3404</v>
      </c>
      <c r="M34" s="2967" t="s">
        <v>3405</v>
      </c>
      <c r="N34" s="2967" t="s">
        <v>3406</v>
      </c>
      <c r="O34" s="2967">
        <v>289210</v>
      </c>
      <c r="P34" s="2967">
        <v>2237.3000000000002</v>
      </c>
      <c r="Q34" s="2967">
        <v>10686.63</v>
      </c>
      <c r="R34" s="2967">
        <v>396.84</v>
      </c>
      <c r="S34" s="2967" t="s">
        <v>3395</v>
      </c>
      <c r="T34" s="2967" t="s">
        <v>3229</v>
      </c>
    </row>
    <row r="35" spans="1:20" s="2968" customFormat="1" ht="32.25" customHeight="1">
      <c r="A35" s="2967" t="s">
        <v>3407</v>
      </c>
      <c r="B35" s="2967" t="s">
        <v>3219</v>
      </c>
      <c r="C35" s="2967" t="s">
        <v>3231</v>
      </c>
      <c r="D35" s="2967" t="s">
        <v>1327</v>
      </c>
      <c r="E35" s="2967" t="s">
        <v>3407</v>
      </c>
      <c r="F35" s="2967" t="s">
        <v>3221</v>
      </c>
      <c r="G35" s="2967" t="s">
        <v>3408</v>
      </c>
      <c r="H35" s="2967" t="s">
        <v>3231</v>
      </c>
      <c r="I35" s="2967">
        <v>34701.199999999997</v>
      </c>
      <c r="J35" s="2967">
        <v>119514</v>
      </c>
      <c r="K35" s="2967">
        <v>3.5</v>
      </c>
      <c r="L35" s="2967" t="s">
        <v>3409</v>
      </c>
      <c r="M35" s="2967" t="s">
        <v>3410</v>
      </c>
      <c r="N35" s="2967" t="s">
        <v>3411</v>
      </c>
      <c r="O35" s="2967">
        <v>55330</v>
      </c>
      <c r="P35" s="2967">
        <v>1062.98</v>
      </c>
      <c r="Q35" s="2967">
        <v>4629.57</v>
      </c>
      <c r="R35" s="2967">
        <v>208.59</v>
      </c>
      <c r="S35" s="2967" t="s">
        <v>3395</v>
      </c>
      <c r="T35" s="2967" t="s">
        <v>3229</v>
      </c>
    </row>
  </sheetData>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O7"/>
  <sheetViews>
    <sheetView workbookViewId="0">
      <selection activeCell="M26" sqref="M26"/>
    </sheetView>
  </sheetViews>
  <sheetFormatPr defaultRowHeight="13.5"/>
  <cols>
    <col min="1" max="12" width="9" style="2950"/>
    <col min="13" max="15" width="11" style="2950" customWidth="1"/>
    <col min="16" max="16384" width="9" style="2950"/>
  </cols>
  <sheetData>
    <row r="1" spans="13:15">
      <c r="M1" s="3293" t="s">
        <v>3412</v>
      </c>
      <c r="N1" s="3293"/>
      <c r="O1" s="3293"/>
    </row>
    <row r="2" spans="13:15">
      <c r="M2" s="2976" t="s">
        <v>3413</v>
      </c>
      <c r="N2" s="2976" t="s">
        <v>3414</v>
      </c>
      <c r="O2" s="2976" t="s">
        <v>3415</v>
      </c>
    </row>
    <row r="3" spans="13:15">
      <c r="M3" s="2976">
        <v>2018.1</v>
      </c>
      <c r="N3" s="2976">
        <v>7626</v>
      </c>
      <c r="O3" s="2976">
        <v>1.49</v>
      </c>
    </row>
    <row r="4" spans="13:15">
      <c r="M4" s="2976">
        <v>2018.2</v>
      </c>
      <c r="N4" s="2976">
        <v>7766</v>
      </c>
      <c r="O4" s="2976">
        <v>1.84</v>
      </c>
    </row>
    <row r="5" spans="13:15">
      <c r="M5" s="2976">
        <v>2018.3</v>
      </c>
      <c r="N5" s="2976">
        <v>7971</v>
      </c>
      <c r="O5" s="2976">
        <v>2.64</v>
      </c>
    </row>
    <row r="6" spans="13:15">
      <c r="M6" s="2976">
        <v>2018.4</v>
      </c>
      <c r="N6" s="2976">
        <v>8152</v>
      </c>
      <c r="O6" s="2976">
        <v>2.27</v>
      </c>
    </row>
    <row r="7" spans="13:15">
      <c r="M7" s="2976">
        <v>2019.1</v>
      </c>
      <c r="N7" s="2976">
        <v>8296</v>
      </c>
      <c r="O7" s="2976">
        <v>1.77</v>
      </c>
    </row>
  </sheetData>
  <mergeCells count="1">
    <mergeCell ref="M1:O1"/>
  </mergeCells>
  <phoneticPr fontId="14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33" sqref="L3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9</v>
      </c>
    </row>
    <row r="2" spans="1:33" ht="18" customHeight="1">
      <c r="A2" s="245" t="s">
        <v>2323</v>
      </c>
      <c r="B2" s="248">
        <f ca="1">C32</f>
        <v>23875</v>
      </c>
      <c r="C2" s="320" t="s">
        <v>2456</v>
      </c>
      <c r="D2" s="320"/>
      <c r="E2" s="320"/>
      <c r="F2" s="320"/>
      <c r="G2" s="320"/>
      <c r="H2" s="320"/>
      <c r="I2" s="320"/>
      <c r="J2" s="320"/>
      <c r="K2" s="320"/>
    </row>
    <row r="3" spans="1:33" ht="18" customHeight="1" thickBot="1">
      <c r="A3" s="247" t="s">
        <v>2325</v>
      </c>
      <c r="B3" s="248">
        <f ca="1">ROUND(B2*10000/IF(C1="",'数据-汇总表'!E3,INDIRECT("'数据-取费表'!K"&amp;$K$1)),0)</f>
        <v>6720</v>
      </c>
      <c r="C3" s="320" t="s">
        <v>2457</v>
      </c>
      <c r="D3" s="320"/>
      <c r="E3" s="320"/>
      <c r="F3" s="320"/>
      <c r="G3" s="320"/>
      <c r="H3" s="320"/>
      <c r="I3" s="320"/>
      <c r="J3" s="320"/>
      <c r="K3" s="320"/>
    </row>
    <row r="4" spans="1:33" s="956" customFormat="1" ht="16.5" customHeight="1">
      <c r="A4" s="953" t="s">
        <v>2458</v>
      </c>
      <c r="B4" s="954"/>
      <c r="C4" s="996">
        <f>SUM(C8:K8)</f>
        <v>45051</v>
      </c>
      <c r="D4" s="954"/>
      <c r="E4" s="954"/>
      <c r="F4" s="954"/>
      <c r="G4" s="954"/>
      <c r="H4" s="954"/>
      <c r="I4" s="954"/>
      <c r="J4" s="954"/>
      <c r="K4" s="955"/>
    </row>
    <row r="5" spans="1:33" s="960" customFormat="1" ht="15">
      <c r="A5" s="957" t="s">
        <v>2459</v>
      </c>
      <c r="B5" s="958" t="s">
        <v>2460</v>
      </c>
      <c r="C5" s="2553" t="s">
        <v>3187</v>
      </c>
      <c r="D5" s="2553" t="s">
        <v>3189</v>
      </c>
      <c r="E5" s="2553" t="s">
        <v>1373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f>ROUND(D6*1.1,0)</f>
        <v>13949</v>
      </c>
      <c r="D6" s="962">
        <f>'比较法-住宅'!B3</f>
        <v>12681</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35526.120000000024</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f>ROUND(C6*C7/10000,0)</f>
        <v>0</v>
      </c>
      <c r="D8" s="997">
        <f>ROUND(D6*D7/10000,0)</f>
        <v>45051</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9592</v>
      </c>
      <c r="D11" s="973"/>
      <c r="E11" s="375"/>
      <c r="F11" s="974">
        <f ca="1">1-IF('数据-取费表'!B24=0,1,IF(C1="",'数据-取费表'!N16,INDIRECT("'数据-取费表'!n"&amp;$K$1)))</f>
        <v>0.9</v>
      </c>
      <c r="G11" s="8"/>
      <c r="H11" s="968"/>
      <c r="I11" s="968"/>
      <c r="J11" s="968"/>
      <c r="K11" s="969"/>
    </row>
    <row r="12" spans="1:33" s="975" customFormat="1" ht="13.5" customHeight="1">
      <c r="A12" s="971" t="s">
        <v>1331</v>
      </c>
      <c r="B12" s="972" t="s">
        <v>2474</v>
      </c>
      <c r="C12" s="24">
        <f ca="1">ROUND(C11*F12,0)</f>
        <v>288</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288</v>
      </c>
      <c r="D13" s="1033"/>
      <c r="E13" s="375"/>
      <c r="F13" s="976">
        <f>'数据-取费表'!B34</f>
        <v>0.03</v>
      </c>
      <c r="G13" s="8" t="s">
        <v>2477</v>
      </c>
      <c r="H13" s="968"/>
      <c r="I13" s="968"/>
      <c r="J13" s="968"/>
      <c r="K13" s="969"/>
    </row>
    <row r="14" spans="1:33" s="977" customFormat="1" ht="13.5" customHeight="1">
      <c r="A14" s="971" t="s">
        <v>1333</v>
      </c>
      <c r="B14" s="972" t="s">
        <v>2478</v>
      </c>
      <c r="C14" s="24">
        <f ca="1">ROUND(D14*E14*F11/10000,0)</f>
        <v>639</v>
      </c>
      <c r="D14" s="1033">
        <f ca="1">IF(C1="",'数据-汇总表'!E3,INDIRECT("'数据-取费表'!K"&amp;$K$1)+INDIRECT("'数据-取费表'!S"&amp;$K$1))</f>
        <v>35526.120000000024</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144</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10951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35526.120000000024</v>
      </c>
      <c r="E17" s="24">
        <f>'数据-取费表'!B32</f>
        <v>0</v>
      </c>
      <c r="F17" s="978"/>
      <c r="G17" s="140" t="s">
        <v>2484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5"/>
      <c r="H18" s="1576"/>
      <c r="I18" s="2556" t="s">
        <v>2486</v>
      </c>
      <c r="J18" s="979"/>
      <c r="K18" s="980"/>
    </row>
    <row r="19" spans="1:33" s="975" customFormat="1" ht="13.5" customHeight="1">
      <c r="A19" s="971" t="s">
        <v>805</v>
      </c>
      <c r="B19" s="972" t="s">
        <v>2487</v>
      </c>
      <c r="C19" s="24">
        <f ca="1">ROUND(D19*E19/10000,0)</f>
        <v>355</v>
      </c>
      <c r="D19" s="1033">
        <f ca="1">IF(C1="",'数据-汇总表'!E5,IF(INDIRECT("'数据-取费表'!c"&amp;$K$1)="住宅",INDIRECT("'数据-取费表'!k"&amp;$K$1),0))</f>
        <v>35526.120000000024</v>
      </c>
      <c r="E19" s="24">
        <f>'数据-取费表'!B27</f>
        <v>100</v>
      </c>
      <c r="F19" s="976"/>
      <c r="G19" s="15"/>
      <c r="H19" s="1578"/>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2489</v>
      </c>
      <c r="C21" s="986">
        <f ca="1">C16+C17+C18</f>
        <v>10951</v>
      </c>
      <c r="D21" s="987"/>
      <c r="E21" s="325"/>
      <c r="F21" s="325"/>
      <c r="G21" s="140" t="s">
        <v>2490</v>
      </c>
      <c r="H21" s="979"/>
      <c r="I21" s="979"/>
      <c r="J21" s="979"/>
      <c r="K21" s="980"/>
    </row>
    <row r="22" spans="1:33" s="975" customFormat="1" ht="13.5" customHeight="1">
      <c r="A22" s="961" t="s">
        <v>2462</v>
      </c>
      <c r="B22" s="985" t="s">
        <v>2491</v>
      </c>
      <c r="C22" s="986">
        <f ca="1">ROUND(C21*F22,0)</f>
        <v>219</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608</v>
      </c>
      <c r="D23" s="325"/>
      <c r="E23" s="325"/>
      <c r="F23" s="988">
        <f>'数据-取费表'!B38</f>
        <v>1.4999999999999999E-2</v>
      </c>
      <c r="G23" s="8" t="s">
        <v>2494</v>
      </c>
      <c r="H23" s="968"/>
      <c r="I23" s="968"/>
      <c r="J23" s="968"/>
      <c r="K23" s="969"/>
    </row>
    <row r="24" spans="1:33" s="975" customFormat="1" ht="13.5" customHeight="1">
      <c r="A24" s="961" t="s">
        <v>2495</v>
      </c>
      <c r="B24" s="985" t="s">
        <v>2496</v>
      </c>
      <c r="C24" s="324">
        <f>ROUND(F24/(1+'数据-取费表'!C42),4)</f>
        <v>3.8600000000000002E-2</v>
      </c>
      <c r="D24" s="325" t="s">
        <v>15</v>
      </c>
      <c r="E24" s="325"/>
      <c r="F24" s="988">
        <f>'数据-取费表'!B48+'数据-取费表'!B49</f>
        <v>4.0500000000000001E-2</v>
      </c>
      <c r="G24" s="8" t="s">
        <v>2497</v>
      </c>
      <c r="H24" s="990"/>
      <c r="I24" s="990"/>
      <c r="J24" s="990"/>
      <c r="K24" s="991"/>
    </row>
    <row r="25" spans="1:33" s="975" customFormat="1" ht="13.5" customHeight="1">
      <c r="A25" s="961" t="s">
        <v>2498</v>
      </c>
      <c r="B25" s="987" t="s">
        <v>2499</v>
      </c>
      <c r="C25" s="1356">
        <f ca="1">C27</f>
        <v>502</v>
      </c>
      <c r="D25" s="324">
        <f ca="1">C26</f>
        <v>9.0499999999999997E-2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9.0499999999999997E-2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502</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1178</v>
      </c>
      <c r="D28" s="324">
        <f ca="1">C29</f>
        <v>9.35E-2</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9.35E-2</v>
      </c>
      <c r="D29" s="328"/>
      <c r="E29" s="329"/>
      <c r="F29" s="334"/>
      <c r="G29" s="140" t="s">
        <v>2505</v>
      </c>
      <c r="H29" s="979"/>
      <c r="I29" s="979"/>
      <c r="J29" s="979"/>
      <c r="K29" s="980"/>
    </row>
    <row r="30" spans="1:33" s="335" customFormat="1" ht="13.5" customHeight="1">
      <c r="A30" s="971" t="s">
        <v>804</v>
      </c>
      <c r="B30" s="994" t="s">
        <v>2506</v>
      </c>
      <c r="C30" s="336">
        <f ca="1">ROUND((C21+C22+C23)*F28,0)</f>
        <v>1178</v>
      </c>
      <c r="D30" s="328"/>
      <c r="E30" s="329"/>
      <c r="F30" s="334"/>
      <c r="G30" s="140"/>
      <c r="H30" s="979"/>
      <c r="I30" s="979"/>
      <c r="J30" s="979"/>
      <c r="K30" s="980"/>
    </row>
    <row r="31" spans="1:33" s="975" customFormat="1" ht="13.5" customHeight="1" thickBot="1">
      <c r="A31" s="2559" t="s">
        <v>2507</v>
      </c>
      <c r="B31" s="1005" t="s">
        <v>2508</v>
      </c>
      <c r="C31" s="1006">
        <f>ROUND(C4*F31/(1+'数据-取费表'!C42),0)</f>
        <v>2403</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23875</v>
      </c>
      <c r="D32" s="1001"/>
      <c r="E32" s="1001"/>
      <c r="F32" s="1001"/>
      <c r="G32" s="1003" t="s">
        <v>2511</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B17" sqref="B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81" t="s">
        <v>2522</v>
      </c>
      <c r="C1" s="1633" t="s">
        <v>2523</v>
      </c>
      <c r="D1" s="1620" t="s">
        <v>3189</v>
      </c>
      <c r="E1" s="2582"/>
      <c r="F1" s="2583" t="s">
        <v>2524</v>
      </c>
      <c r="G1" s="1630" t="s">
        <v>2525</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45051</v>
      </c>
      <c r="C2" s="2585" t="s">
        <v>70</v>
      </c>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12681</v>
      </c>
      <c r="C3" s="400" t="s">
        <v>2527</v>
      </c>
      <c r="D3" s="399">
        <f>IF(D1="",'数据-汇总表'!E3,SUMIF('数据-汇总表'!$C19:$C33,D1,'数据-汇总表'!$E19:$E33))</f>
        <v>35526.120000000024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268" t="s">
        <v>2529</v>
      </c>
      <c r="D4" s="3269"/>
      <c r="E4" s="3270" t="s">
        <v>2530</v>
      </c>
      <c r="F4" s="3271"/>
      <c r="G4" s="3268" t="s">
        <v>2531</v>
      </c>
      <c r="H4" s="3269"/>
      <c r="I4" s="3268" t="s">
        <v>2532</v>
      </c>
      <c r="J4" s="3269"/>
      <c r="K4" s="2595" t="s">
        <v>2533</v>
      </c>
      <c r="L4" s="1130"/>
      <c r="M4" s="1131"/>
      <c r="N4" s="1131"/>
      <c r="O4" s="1131"/>
      <c r="P4" s="3272" t="s">
        <v>2534</v>
      </c>
      <c r="Q4" s="3273"/>
      <c r="R4" s="3255" t="s">
        <v>2530</v>
      </c>
      <c r="S4" s="3256"/>
      <c r="T4" s="3255" t="s">
        <v>2531</v>
      </c>
      <c r="U4" s="3256"/>
      <c r="V4" s="3280" t="s">
        <v>2532</v>
      </c>
      <c r="W4" s="3280"/>
      <c r="X4" s="1812"/>
      <c r="Y4" s="3255" t="s">
        <v>2534</v>
      </c>
      <c r="Z4" s="3256"/>
      <c r="AA4" s="3250" t="s">
        <v>2530</v>
      </c>
      <c r="AB4" s="3250" t="s">
        <v>2531</v>
      </c>
      <c r="AC4" s="3250" t="s">
        <v>2532</v>
      </c>
    </row>
    <row r="5" spans="1:29" ht="28.5" customHeight="1">
      <c r="A5" s="404"/>
      <c r="B5" s="405"/>
      <c r="C5" s="3261" t="s">
        <v>2535</v>
      </c>
      <c r="D5" s="3262"/>
      <c r="E5" s="3259" t="s">
        <v>3436</v>
      </c>
      <c r="F5" s="3260"/>
      <c r="G5" s="3261" t="s">
        <v>3438</v>
      </c>
      <c r="H5" s="3262"/>
      <c r="I5" s="3261" t="s">
        <v>3440</v>
      </c>
      <c r="J5" s="3262"/>
      <c r="K5" s="2596"/>
      <c r="L5" s="1130"/>
      <c r="M5" s="1131"/>
      <c r="N5" s="1131"/>
      <c r="O5" s="1131"/>
      <c r="P5" s="3274"/>
      <c r="Q5" s="3275"/>
      <c r="R5" s="3257"/>
      <c r="S5" s="3258"/>
      <c r="T5" s="3257"/>
      <c r="U5" s="3258"/>
      <c r="V5" s="3280"/>
      <c r="W5" s="3280"/>
      <c r="X5" s="1812"/>
      <c r="Y5" s="3257"/>
      <c r="Z5" s="3258"/>
      <c r="AA5" s="3251"/>
      <c r="AB5" s="3251"/>
      <c r="AC5" s="3251"/>
    </row>
    <row r="6" spans="1:29" ht="28.5" customHeight="1" thickBot="1">
      <c r="A6" s="406"/>
      <c r="B6" s="407"/>
      <c r="C6" s="3263" t="s">
        <v>2539</v>
      </c>
      <c r="D6" s="3264"/>
      <c r="E6" s="3265" t="s">
        <v>3437</v>
      </c>
      <c r="F6" s="3266"/>
      <c r="G6" s="3263" t="s">
        <v>3439</v>
      </c>
      <c r="H6" s="3264"/>
      <c r="I6" s="3263" t="s">
        <v>3441</v>
      </c>
      <c r="J6" s="3264"/>
      <c r="K6" s="2596"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v>43586</v>
      </c>
      <c r="F7" s="413">
        <f>SUMIF(58:58,YEAR(E7)&amp;"-"&amp;MONTH(E7),59:59)</f>
        <v>100</v>
      </c>
      <c r="G7" s="412">
        <f>E7</f>
        <v>43586</v>
      </c>
      <c r="H7" s="411">
        <f>SUMIF(58:58,YEAR(G7)&amp;"-"&amp;MONTH(G7),59:59)</f>
        <v>100</v>
      </c>
      <c r="I7" s="412">
        <f>G7</f>
        <v>43586</v>
      </c>
      <c r="J7" s="411">
        <f>SUMIF(58:58,YEAR(I7)&amp;"-"&amp;MONTH(I7),59:59)</f>
        <v>100</v>
      </c>
      <c r="K7" s="2597"/>
      <c r="L7" s="1132"/>
      <c r="M7" s="1133"/>
      <c r="N7" s="1133"/>
      <c r="O7" s="1133"/>
      <c r="P7" s="3253" t="s">
        <v>2542</v>
      </c>
      <c r="Q7" s="3281"/>
      <c r="R7" s="770" t="s">
        <v>23</v>
      </c>
      <c r="S7" s="771">
        <f t="shared" ref="S7:S15" si="0">F7</f>
        <v>100</v>
      </c>
      <c r="T7" s="770" t="s">
        <v>23</v>
      </c>
      <c r="U7" s="771">
        <f t="shared" ref="U7:U15" si="1">H7</f>
        <v>100</v>
      </c>
      <c r="V7" s="770" t="s">
        <v>23</v>
      </c>
      <c r="W7" s="771">
        <f t="shared" ref="W7:W15" si="2">J7</f>
        <v>100</v>
      </c>
      <c r="X7" s="772"/>
      <c r="Y7" s="3253" t="s">
        <v>2542</v>
      </c>
      <c r="Z7" s="3254"/>
      <c r="AA7" s="773">
        <f>D7/F7</f>
        <v>1</v>
      </c>
      <c r="AB7" s="773">
        <f>D7/H7</f>
        <v>1</v>
      </c>
      <c r="AC7" s="773">
        <f>D7/J7</f>
        <v>1</v>
      </c>
    </row>
    <row r="8" spans="1:29" s="117" customFormat="1" ht="15.75" thickBot="1">
      <c r="A8" s="408" t="s">
        <v>2543</v>
      </c>
      <c r="B8" s="409"/>
      <c r="C8" s="414" t="s">
        <v>2544</v>
      </c>
      <c r="D8" s="411">
        <v>100</v>
      </c>
      <c r="E8" s="2598" t="s">
        <v>3416</v>
      </c>
      <c r="F8" s="413">
        <f>SUMIF(61:61,E8,62:62)-SUMIF(61:61,C8,62:62)+100</f>
        <v>100</v>
      </c>
      <c r="G8" s="414" t="s">
        <v>3416</v>
      </c>
      <c r="H8" s="411">
        <f>SUMIF(61:61,G8,62:62)-SUMIF(61:61,C8,62:62)+100</f>
        <v>100</v>
      </c>
      <c r="I8" s="414" t="s">
        <v>3416</v>
      </c>
      <c r="J8" s="411">
        <f>SUMIF(61:61,I8,62:62)-SUMIF(61:61,C8,62:62)+100</f>
        <v>100</v>
      </c>
      <c r="K8" s="2597"/>
      <c r="L8" s="1132"/>
      <c r="M8" s="1133"/>
      <c r="N8" s="1133"/>
      <c r="O8" s="1133"/>
      <c r="P8" s="3253" t="s">
        <v>2545</v>
      </c>
      <c r="Q8" s="3254"/>
      <c r="R8" s="770" t="s">
        <v>23</v>
      </c>
      <c r="S8" s="771">
        <f t="shared" si="0"/>
        <v>100</v>
      </c>
      <c r="T8" s="770" t="s">
        <v>23</v>
      </c>
      <c r="U8" s="771">
        <f t="shared" si="1"/>
        <v>100</v>
      </c>
      <c r="V8" s="770" t="s">
        <v>23</v>
      </c>
      <c r="W8" s="771">
        <f t="shared" si="2"/>
        <v>100</v>
      </c>
      <c r="X8" s="772"/>
      <c r="Y8" s="3253" t="s">
        <v>2545</v>
      </c>
      <c r="Z8" s="3254"/>
      <c r="AA8" s="773">
        <f t="shared" ref="AA8:AA19" si="3">D8/F8</f>
        <v>1</v>
      </c>
      <c r="AB8" s="773">
        <f t="shared" ref="AB8:AB19" si="4">D8/H8</f>
        <v>1</v>
      </c>
      <c r="AC8" s="773">
        <f t="shared" ref="AC8:AC19" si="5">D8/J8</f>
        <v>1</v>
      </c>
    </row>
    <row r="9" spans="1:29" s="117" customFormat="1">
      <c r="A9" s="415" t="s">
        <v>2546</v>
      </c>
      <c r="B9" s="71" t="s">
        <v>2547</v>
      </c>
      <c r="C9" s="2981" t="s">
        <v>3435</v>
      </c>
      <c r="D9" s="135">
        <v>100</v>
      </c>
      <c r="E9" s="417" t="s">
        <v>3242</v>
      </c>
      <c r="F9" s="418">
        <f>SUMIF(63:63,E9,64:64)-SUMIF(63:63,C9,64:64)+100</f>
        <v>100</v>
      </c>
      <c r="G9" s="419" t="s">
        <v>3242</v>
      </c>
      <c r="H9" s="135">
        <f>SUMIF(63:63,G9,64:64)-SUMIF(63:63,C9,64:64)+100</f>
        <v>100</v>
      </c>
      <c r="I9" s="419" t="s">
        <v>3242</v>
      </c>
      <c r="J9" s="135">
        <f>SUMIF(63:63,I9,64:64)-SUMIF(63:63,C9,64:64)+100</f>
        <v>100</v>
      </c>
      <c r="K9" s="2597"/>
      <c r="L9" s="1132"/>
      <c r="M9" s="1133"/>
      <c r="N9" s="1133"/>
      <c r="O9" s="1133"/>
      <c r="P9" s="3291"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t="s">
        <v>3434</v>
      </c>
      <c r="D10" s="136">
        <v>100</v>
      </c>
      <c r="E10" s="424" t="s">
        <v>3434</v>
      </c>
      <c r="F10" s="425">
        <f>SUMIF(65:65,E10,66:66)-SUMIF(65:65,C10,66:66)+100</f>
        <v>100</v>
      </c>
      <c r="G10" s="423" t="s">
        <v>3434</v>
      </c>
      <c r="H10" s="136">
        <f>SUMIF(65:65,G10,66:66)-SUMIF(65:65,C10,66:66)+100</f>
        <v>100</v>
      </c>
      <c r="I10" s="423" t="s">
        <v>3434</v>
      </c>
      <c r="J10" s="136">
        <f>SUMIF(65:65,I10,66:66)-SUMIF(65:65,C10,66:66)+100</f>
        <v>100</v>
      </c>
      <c r="K10" s="426">
        <v>1</v>
      </c>
      <c r="L10" s="1135"/>
      <c r="M10" s="1136"/>
      <c r="N10" s="1136"/>
      <c r="O10" s="1136"/>
      <c r="P10" s="3291"/>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75" thickBot="1">
      <c r="A11" s="428"/>
      <c r="B11" s="422" t="s">
        <v>2551</v>
      </c>
      <c r="C11" s="429">
        <f>'土地比较法-住宅、综合'!C11</f>
        <v>2</v>
      </c>
      <c r="D11" s="136">
        <v>100</v>
      </c>
      <c r="E11" s="430">
        <v>2.0499999999999998</v>
      </c>
      <c r="F11" s="425">
        <f>LOOKUP(E11,68:68,69:69)-LOOKUP(C11,68:68,69:69)+100</f>
        <v>100</v>
      </c>
      <c r="G11" s="429">
        <v>3.9</v>
      </c>
      <c r="H11" s="136">
        <f>LOOKUP(G11,68:68,69:69)-LOOKUP(C11,68:68,69:69)+100</f>
        <v>100</v>
      </c>
      <c r="I11" s="429">
        <v>3.5</v>
      </c>
      <c r="J11" s="136">
        <f>LOOKUP(I11,68:68,69:69)-LOOKUP(C11,68:68,69:69)+100</f>
        <v>100</v>
      </c>
      <c r="K11" s="426">
        <v>0</v>
      </c>
      <c r="L11" s="1138"/>
      <c r="M11" s="1131"/>
      <c r="N11" s="1131"/>
      <c r="O11" s="1131"/>
      <c r="P11" s="3291"/>
      <c r="Q11" s="1794" t="str">
        <f t="shared" si="6"/>
        <v>容积率</v>
      </c>
      <c r="R11" s="770" t="s">
        <v>21</v>
      </c>
      <c r="S11" s="771">
        <f t="shared" si="0"/>
        <v>100</v>
      </c>
      <c r="T11" s="770" t="s">
        <v>21</v>
      </c>
      <c r="U11" s="771">
        <f t="shared" si="1"/>
        <v>100</v>
      </c>
      <c r="V11" s="770" t="s">
        <v>21</v>
      </c>
      <c r="W11" s="771">
        <f t="shared" si="2"/>
        <v>100</v>
      </c>
      <c r="X11" s="772"/>
      <c r="Y11" s="3113"/>
      <c r="Z11" s="55" t="str">
        <f t="shared" si="7"/>
        <v>容积率</v>
      </c>
      <c r="AA11" s="773">
        <f t="shared" si="3"/>
        <v>1</v>
      </c>
      <c r="AB11" s="773">
        <f t="shared" si="4"/>
        <v>1</v>
      </c>
      <c r="AC11" s="773">
        <f t="shared" si="5"/>
        <v>1</v>
      </c>
    </row>
    <row r="12" spans="1:29" s="117" customFormat="1" ht="15" hidden="1">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91"/>
      <c r="Q12" s="1794">
        <f t="shared" si="6"/>
        <v>0</v>
      </c>
      <c r="R12" s="770" t="s">
        <v>21</v>
      </c>
      <c r="S12" s="771">
        <f t="shared" si="0"/>
        <v>100</v>
      </c>
      <c r="T12" s="770" t="s">
        <v>21</v>
      </c>
      <c r="U12" s="771">
        <f t="shared" si="1"/>
        <v>100</v>
      </c>
      <c r="V12" s="770" t="s">
        <v>21</v>
      </c>
      <c r="W12" s="771">
        <f t="shared" si="2"/>
        <v>100</v>
      </c>
      <c r="X12" s="772"/>
      <c r="Y12" s="3113"/>
      <c r="Z12" s="55">
        <f t="shared" si="7"/>
        <v>0</v>
      </c>
      <c r="AA12" s="773">
        <f>D12/F12</f>
        <v>1</v>
      </c>
      <c r="AB12" s="773">
        <f>D12/H12</f>
        <v>1</v>
      </c>
      <c r="AC12" s="773">
        <f>D12/J12</f>
        <v>1</v>
      </c>
    </row>
    <row r="13" spans="1:29" ht="15" hidden="1">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91"/>
      <c r="Q13" s="1794">
        <f t="shared" si="6"/>
        <v>0</v>
      </c>
      <c r="R13" s="770" t="s">
        <v>21</v>
      </c>
      <c r="S13" s="771">
        <f t="shared" si="0"/>
        <v>100</v>
      </c>
      <c r="T13" s="770" t="s">
        <v>21</v>
      </c>
      <c r="U13" s="771">
        <f t="shared" si="1"/>
        <v>100</v>
      </c>
      <c r="V13" s="770" t="s">
        <v>21</v>
      </c>
      <c r="W13" s="771">
        <f t="shared" si="2"/>
        <v>100</v>
      </c>
      <c r="X13" s="772"/>
      <c r="Y13" s="3113"/>
      <c r="Z13" s="55">
        <f t="shared" si="7"/>
        <v>0</v>
      </c>
      <c r="AA13" s="773">
        <f t="shared" si="3"/>
        <v>1</v>
      </c>
      <c r="AB13" s="773">
        <f t="shared" si="4"/>
        <v>1</v>
      </c>
      <c r="AC13" s="773">
        <f t="shared" si="5"/>
        <v>1</v>
      </c>
    </row>
    <row r="14" spans="1:29" ht="15.75" hidden="1"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91"/>
      <c r="Q14" s="1794">
        <f t="shared" si="6"/>
        <v>0</v>
      </c>
      <c r="R14" s="770" t="s">
        <v>21</v>
      </c>
      <c r="S14" s="771">
        <f t="shared" si="0"/>
        <v>100</v>
      </c>
      <c r="T14" s="770" t="s">
        <v>21</v>
      </c>
      <c r="U14" s="771">
        <f t="shared" si="1"/>
        <v>100</v>
      </c>
      <c r="V14" s="770" t="s">
        <v>21</v>
      </c>
      <c r="W14" s="771">
        <f t="shared" si="2"/>
        <v>100</v>
      </c>
      <c r="X14" s="772"/>
      <c r="Y14" s="3113"/>
      <c r="Z14" s="55">
        <f t="shared" si="7"/>
        <v>0</v>
      </c>
      <c r="AA14" s="773">
        <f t="shared" si="3"/>
        <v>1</v>
      </c>
      <c r="AB14" s="773">
        <f t="shared" si="4"/>
        <v>1</v>
      </c>
      <c r="AC14" s="773">
        <f t="shared" si="5"/>
        <v>1</v>
      </c>
    </row>
    <row r="15" spans="1:29" ht="99.75">
      <c r="A15" s="440" t="s">
        <v>2552</v>
      </c>
      <c r="B15" s="69" t="s">
        <v>2081</v>
      </c>
      <c r="C15" s="2602" t="str">
        <f>估价对象房地状况!C3</f>
        <v>估价对象周边居住用地比例、居住小区规模和社区发展完善程度，综合评价居住社区成熟度一般</v>
      </c>
      <c r="D15" s="441">
        <v>100</v>
      </c>
      <c r="E15" s="444"/>
      <c r="F15" s="441">
        <f>SUMIF(76:76,E16,77:77)-SUMIF(76:76,C16,77:77)+100</f>
        <v>103</v>
      </c>
      <c r="G15" s="444"/>
      <c r="H15" s="441">
        <f>SUMIF(76:76,G16,77:77)-SUMIF(76:76,C16,77:77)+100</f>
        <v>103</v>
      </c>
      <c r="I15" s="444"/>
      <c r="J15" s="441">
        <f>SUMIF(76:76,I16,77:77)-SUMIF(76:76,C16,77:77)+100</f>
        <v>103</v>
      </c>
      <c r="K15" s="445">
        <v>3</v>
      </c>
      <c r="L15" s="1140"/>
      <c r="M15" s="1131"/>
      <c r="N15" s="1131"/>
      <c r="O15" s="1131"/>
      <c r="P15" s="3300" t="s">
        <v>2553</v>
      </c>
      <c r="Q15" s="1809" t="str">
        <f t="shared" si="6"/>
        <v>居住社区成熟度</v>
      </c>
      <c r="R15" s="774" t="s">
        <v>21</v>
      </c>
      <c r="S15" s="775">
        <f t="shared" si="0"/>
        <v>103</v>
      </c>
      <c r="T15" s="774" t="s">
        <v>21</v>
      </c>
      <c r="U15" s="775">
        <f t="shared" si="1"/>
        <v>103</v>
      </c>
      <c r="V15" s="774" t="s">
        <v>21</v>
      </c>
      <c r="W15" s="775">
        <f t="shared" si="2"/>
        <v>103</v>
      </c>
      <c r="X15" s="1812"/>
      <c r="Y15" s="3282" t="s">
        <v>2553</v>
      </c>
      <c r="Z15" s="1813" t="str">
        <f t="shared" si="7"/>
        <v>居住社区成熟度</v>
      </c>
      <c r="AA15" s="1810">
        <f t="shared" si="3"/>
        <v>0.970873786407767</v>
      </c>
      <c r="AB15" s="1810">
        <f t="shared" si="4"/>
        <v>0.970873786407767</v>
      </c>
      <c r="AC15" s="1810">
        <f t="shared" si="5"/>
        <v>0.970873786407767</v>
      </c>
    </row>
    <row r="16" spans="1:29" ht="15">
      <c r="A16" s="428"/>
      <c r="B16" s="446"/>
      <c r="C16" s="447" t="s">
        <v>3417</v>
      </c>
      <c r="D16" s="448"/>
      <c r="E16" s="2603" t="s">
        <v>3418</v>
      </c>
      <c r="F16" s="448"/>
      <c r="G16" s="2603" t="s">
        <v>3418</v>
      </c>
      <c r="H16" s="450"/>
      <c r="I16" s="2603" t="s">
        <v>3418</v>
      </c>
      <c r="J16" s="448"/>
      <c r="K16" s="2605"/>
      <c r="L16" s="1140"/>
      <c r="M16" s="1131"/>
      <c r="N16" s="1131"/>
      <c r="O16" s="1131"/>
      <c r="P16" s="3301"/>
      <c r="Q16" s="1809"/>
      <c r="R16" s="774"/>
      <c r="S16" s="775"/>
      <c r="T16" s="774"/>
      <c r="U16" s="775"/>
      <c r="V16" s="774"/>
      <c r="W16" s="775"/>
      <c r="X16" s="1812"/>
      <c r="Y16" s="3283"/>
      <c r="Z16" s="1813"/>
      <c r="AA16" s="1810">
        <v>1</v>
      </c>
      <c r="AB16" s="1810">
        <v>1</v>
      </c>
      <c r="AC16" s="1810">
        <v>1</v>
      </c>
    </row>
    <row r="17" spans="1:29" ht="85.5">
      <c r="A17" s="428"/>
      <c r="B17" s="451" t="s">
        <v>2093</v>
      </c>
      <c r="C17" s="2606" t="str">
        <f>估价对象房地状况!C6</f>
        <v>估价对象周边道路状况、公共交通通达情况、停车便捷程度，综合评价交通便捷度较好</v>
      </c>
      <c r="D17" s="450">
        <v>100</v>
      </c>
      <c r="E17" s="454"/>
      <c r="F17" s="450">
        <f>SUMIF(78:78,E18,79:79)-SUMIF(78:78,C18,79:79)+100</f>
        <v>97</v>
      </c>
      <c r="G17" s="454"/>
      <c r="H17" s="455">
        <f>SUMIF(78:78,G18,79:79)-SUMIF(78:78,C18,79:79)+100</f>
        <v>97</v>
      </c>
      <c r="I17" s="454"/>
      <c r="J17" s="455">
        <f>SUMIF(78:78,I18,79:79)-SUMIF(78:78,C18,79:79)+100</f>
        <v>97</v>
      </c>
      <c r="K17" s="445">
        <v>3</v>
      </c>
      <c r="L17" s="1140"/>
      <c r="M17" s="1131"/>
      <c r="N17" s="1131"/>
      <c r="O17" s="1131"/>
      <c r="P17" s="3301"/>
      <c r="Q17" s="1809" t="str">
        <f>B17</f>
        <v>交通便捷度</v>
      </c>
      <c r="R17" s="774" t="s">
        <v>21</v>
      </c>
      <c r="S17" s="775">
        <f>F17</f>
        <v>97</v>
      </c>
      <c r="T17" s="774" t="s">
        <v>21</v>
      </c>
      <c r="U17" s="775">
        <f>H17</f>
        <v>97</v>
      </c>
      <c r="V17" s="774" t="s">
        <v>21</v>
      </c>
      <c r="W17" s="775">
        <f>J17</f>
        <v>97</v>
      </c>
      <c r="X17" s="1812"/>
      <c r="Y17" s="3283"/>
      <c r="Z17" s="1813" t="str">
        <f>Q17</f>
        <v>交通便捷度</v>
      </c>
      <c r="AA17" s="1810">
        <f t="shared" si="3"/>
        <v>1.0309278350515463</v>
      </c>
      <c r="AB17" s="1810">
        <f t="shared" si="4"/>
        <v>1.0309278350515463</v>
      </c>
      <c r="AC17" s="1810">
        <f t="shared" si="5"/>
        <v>1.0309278350515463</v>
      </c>
    </row>
    <row r="18" spans="1:29" ht="15">
      <c r="A18" s="428"/>
      <c r="B18" s="456"/>
      <c r="C18" s="2607" t="s">
        <v>3418</v>
      </c>
      <c r="D18" s="450"/>
      <c r="E18" s="2608" t="s">
        <v>3417</v>
      </c>
      <c r="F18" s="450"/>
      <c r="G18" s="2608" t="s">
        <v>3417</v>
      </c>
      <c r="H18" s="448"/>
      <c r="I18" s="2608" t="s">
        <v>3417</v>
      </c>
      <c r="J18" s="448"/>
      <c r="K18" s="2605"/>
      <c r="L18" s="1140"/>
      <c r="M18" s="1131"/>
      <c r="N18" s="1131"/>
      <c r="O18" s="1131"/>
      <c r="P18" s="3301"/>
      <c r="Q18" s="1809"/>
      <c r="R18" s="774"/>
      <c r="S18" s="775"/>
      <c r="T18" s="774"/>
      <c r="U18" s="775"/>
      <c r="V18" s="774"/>
      <c r="W18" s="775"/>
      <c r="X18" s="1812"/>
      <c r="Y18" s="3283"/>
      <c r="Z18" s="1813"/>
      <c r="AA18" s="1810">
        <v>1</v>
      </c>
      <c r="AB18" s="1810">
        <v>1</v>
      </c>
      <c r="AC18" s="1810">
        <v>1</v>
      </c>
    </row>
    <row r="19" spans="1:29" ht="42.75">
      <c r="A19" s="428"/>
      <c r="B19" s="451" t="s">
        <v>2091</v>
      </c>
      <c r="C19" s="2606" t="str">
        <f>估价对象房地状况!C7</f>
        <v>估价对象所在区域公共配套设施齐备情况</v>
      </c>
      <c r="D19" s="455">
        <v>100</v>
      </c>
      <c r="E19" s="459"/>
      <c r="F19" s="455">
        <f>SUMIF(80:80,E20,81:81)-SUMIF(80:80,C20,81:81)+100</f>
        <v>105</v>
      </c>
      <c r="G19" s="459"/>
      <c r="H19" s="450">
        <f>SUMIF(80:80,G20,81:81)-SUMIF(80:80,C20,81:81)+100</f>
        <v>105</v>
      </c>
      <c r="I19" s="459"/>
      <c r="J19" s="450">
        <f>SUMIF(80:80,I20,81:81)-SUMIF(80:80,C20,81:81)+100</f>
        <v>105</v>
      </c>
      <c r="K19" s="445">
        <v>5</v>
      </c>
      <c r="L19" s="1140"/>
      <c r="M19" s="1131"/>
      <c r="N19" s="1131"/>
      <c r="O19" s="1131"/>
      <c r="P19" s="3301"/>
      <c r="Q19" s="1809" t="str">
        <f>B19</f>
        <v>公共配套设施</v>
      </c>
      <c r="R19" s="774" t="s">
        <v>21</v>
      </c>
      <c r="S19" s="775">
        <f>F19</f>
        <v>105</v>
      </c>
      <c r="T19" s="774" t="s">
        <v>21</v>
      </c>
      <c r="U19" s="775">
        <f>H19</f>
        <v>105</v>
      </c>
      <c r="V19" s="774" t="s">
        <v>21</v>
      </c>
      <c r="W19" s="775">
        <f>J19</f>
        <v>105</v>
      </c>
      <c r="X19" s="1812"/>
      <c r="Y19" s="3283"/>
      <c r="Z19" s="1813" t="str">
        <f>Q19</f>
        <v>公共配套设施</v>
      </c>
      <c r="AA19" s="1810">
        <f t="shared" si="3"/>
        <v>0.95238095238095233</v>
      </c>
      <c r="AB19" s="1810">
        <f t="shared" si="4"/>
        <v>0.95238095238095233</v>
      </c>
      <c r="AC19" s="1810">
        <f t="shared" si="5"/>
        <v>0.95238095238095233</v>
      </c>
    </row>
    <row r="20" spans="1:29" ht="15">
      <c r="A20" s="428"/>
      <c r="B20" s="456"/>
      <c r="C20" s="447" t="s">
        <v>3417</v>
      </c>
      <c r="D20" s="448"/>
      <c r="E20" s="2603" t="s">
        <v>3418</v>
      </c>
      <c r="F20" s="448"/>
      <c r="G20" s="2603" t="s">
        <v>3418</v>
      </c>
      <c r="H20" s="448"/>
      <c r="I20" s="2603" t="s">
        <v>3418</v>
      </c>
      <c r="J20" s="448"/>
      <c r="K20" s="2605"/>
      <c r="L20" s="1140"/>
      <c r="M20" s="1131"/>
      <c r="N20" s="1131"/>
      <c r="O20" s="1131"/>
      <c r="P20" s="3301"/>
      <c r="Q20" s="1809"/>
      <c r="R20" s="774"/>
      <c r="S20" s="775"/>
      <c r="T20" s="774"/>
      <c r="U20" s="775"/>
      <c r="V20" s="774"/>
      <c r="W20" s="775"/>
      <c r="X20" s="1812"/>
      <c r="Y20" s="3283"/>
      <c r="Z20" s="1813"/>
      <c r="AA20" s="1810">
        <v>1</v>
      </c>
      <c r="AB20" s="1810">
        <v>1</v>
      </c>
      <c r="AC20" s="1810">
        <v>1</v>
      </c>
    </row>
    <row r="21" spans="1:29" ht="28.5">
      <c r="A21" s="428"/>
      <c r="B21" s="1384" t="s">
        <v>2094</v>
      </c>
      <c r="C21" s="2606"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2</v>
      </c>
      <c r="L21" s="1140"/>
      <c r="M21" s="1131"/>
      <c r="N21" s="1131"/>
      <c r="O21" s="1131"/>
      <c r="P21" s="3301"/>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4"/>
      <c r="C22" s="2607" t="s">
        <v>3419</v>
      </c>
      <c r="D22" s="448"/>
      <c r="E22" s="447" t="s">
        <v>3419</v>
      </c>
      <c r="F22" s="448"/>
      <c r="G22" s="447" t="s">
        <v>3419</v>
      </c>
      <c r="H22" s="448"/>
      <c r="I22" s="447" t="s">
        <v>3419</v>
      </c>
      <c r="J22" s="448"/>
      <c r="K22" s="2611"/>
      <c r="L22" s="1140"/>
      <c r="M22" s="1131"/>
      <c r="N22" s="1131"/>
      <c r="O22" s="1131"/>
      <c r="P22" s="3301"/>
      <c r="Q22" s="1809"/>
      <c r="R22" s="774"/>
      <c r="S22" s="775"/>
      <c r="T22" s="774"/>
      <c r="U22" s="775"/>
      <c r="V22" s="774"/>
      <c r="W22" s="775"/>
      <c r="X22" s="1812"/>
      <c r="Y22" s="3283"/>
      <c r="Z22" s="1813"/>
      <c r="AA22" s="1810">
        <v>1</v>
      </c>
      <c r="AB22" s="1810">
        <v>1</v>
      </c>
      <c r="AC22" s="1810">
        <v>1</v>
      </c>
    </row>
    <row r="23" spans="1:29" ht="57">
      <c r="A23" s="428"/>
      <c r="B23" s="451" t="s">
        <v>2098</v>
      </c>
      <c r="C23" s="2606" t="str">
        <f>估价对象房地状况!C9</f>
        <v>区域自然环境：；人文环境；综合评价环境状况一般</v>
      </c>
      <c r="D23" s="450">
        <v>100</v>
      </c>
      <c r="E23" s="454"/>
      <c r="F23" s="450">
        <f>SUMIF(84:84,E24,85:85)-SUMIF(84:84,C24,85:85)+100</f>
        <v>103</v>
      </c>
      <c r="G23" s="454"/>
      <c r="H23" s="450">
        <f>SUMIF(84:84,G24,85:85)-SUMIF(84:84,C24,85:85)+100</f>
        <v>103</v>
      </c>
      <c r="I23" s="454"/>
      <c r="J23" s="450">
        <f>SUMIF(84:84,I24,85:85)-SUMIF(84:84,C24,85:85)+100</f>
        <v>103</v>
      </c>
      <c r="K23" s="445">
        <v>3</v>
      </c>
      <c r="L23" s="1140"/>
      <c r="M23" s="1131"/>
      <c r="N23" s="1131"/>
      <c r="O23" s="1131"/>
      <c r="P23" s="3301"/>
      <c r="Q23" s="1809" t="str">
        <f>B23</f>
        <v>自然及人文环境</v>
      </c>
      <c r="R23" s="774" t="s">
        <v>21</v>
      </c>
      <c r="S23" s="775">
        <f>F23</f>
        <v>103</v>
      </c>
      <c r="T23" s="774" t="s">
        <v>21</v>
      </c>
      <c r="U23" s="775">
        <f>H23</f>
        <v>103</v>
      </c>
      <c r="V23" s="774" t="s">
        <v>21</v>
      </c>
      <c r="W23" s="775">
        <f>J23</f>
        <v>103</v>
      </c>
      <c r="X23" s="1812"/>
      <c r="Y23" s="3283"/>
      <c r="Z23" s="1813" t="str">
        <f>Q23</f>
        <v>自然及人文环境</v>
      </c>
      <c r="AA23" s="1810">
        <f>D23/F23</f>
        <v>0.970873786407767</v>
      </c>
      <c r="AB23" s="1810">
        <f>D23/H23</f>
        <v>0.970873786407767</v>
      </c>
      <c r="AC23" s="1810">
        <f>D23/J23</f>
        <v>0.970873786407767</v>
      </c>
    </row>
    <row r="24" spans="1:29" ht="15.75" thickBot="1">
      <c r="A24" s="428"/>
      <c r="B24" s="456"/>
      <c r="C24" s="447" t="s">
        <v>3417</v>
      </c>
      <c r="D24" s="448"/>
      <c r="E24" s="2603" t="s">
        <v>3418</v>
      </c>
      <c r="F24" s="448"/>
      <c r="G24" s="2603" t="s">
        <v>3418</v>
      </c>
      <c r="H24" s="448"/>
      <c r="I24" s="2603" t="s">
        <v>3418</v>
      </c>
      <c r="J24" s="448"/>
      <c r="K24" s="2605"/>
      <c r="L24" s="1140"/>
      <c r="M24" s="1131"/>
      <c r="N24" s="1131"/>
      <c r="O24" s="1131"/>
      <c r="P24" s="3301"/>
      <c r="Q24" s="1809"/>
      <c r="R24" s="774"/>
      <c r="S24" s="775"/>
      <c r="T24" s="774"/>
      <c r="U24" s="775"/>
      <c r="V24" s="774"/>
      <c r="W24" s="775"/>
      <c r="X24" s="1812"/>
      <c r="Y24" s="3283"/>
      <c r="Z24" s="1813"/>
      <c r="AA24" s="1810">
        <v>1</v>
      </c>
      <c r="AB24" s="1810">
        <v>1</v>
      </c>
      <c r="AC24" s="1810">
        <v>1</v>
      </c>
    </row>
    <row r="25" spans="1:29" ht="15" hidden="1">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0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83"/>
      <c r="Z25" s="1813" t="str">
        <f>Q25</f>
        <v>楼层-1</v>
      </c>
      <c r="AA25" s="1810">
        <f t="shared" ref="AA25:AA46" si="15">D25/F25</f>
        <v>1</v>
      </c>
      <c r="AB25" s="1810">
        <f t="shared" ref="AB25:AB46" si="16">D25/H25</f>
        <v>1</v>
      </c>
      <c r="AC25" s="1810">
        <f t="shared" ref="AC25:AC46" si="17">D25/J25</f>
        <v>1</v>
      </c>
    </row>
    <row r="26" spans="1:29" ht="15" hidden="1">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01"/>
      <c r="Q26" s="1809" t="str">
        <f t="shared" si="11"/>
        <v>朝向</v>
      </c>
      <c r="R26" s="774" t="s">
        <v>21</v>
      </c>
      <c r="S26" s="775">
        <f t="shared" si="12"/>
        <v>100</v>
      </c>
      <c r="T26" s="774" t="s">
        <v>21</v>
      </c>
      <c r="U26" s="775">
        <f t="shared" si="13"/>
        <v>100</v>
      </c>
      <c r="V26" s="774" t="s">
        <v>21</v>
      </c>
      <c r="W26" s="775">
        <f t="shared" si="14"/>
        <v>100</v>
      </c>
      <c r="X26" s="1812"/>
      <c r="Y26" s="3283"/>
      <c r="Z26" s="1813" t="str">
        <f>Q26</f>
        <v>朝向</v>
      </c>
      <c r="AA26" s="1810">
        <f t="shared" si="15"/>
        <v>1</v>
      </c>
      <c r="AB26" s="1810">
        <f t="shared" si="16"/>
        <v>1</v>
      </c>
      <c r="AC26" s="1810">
        <f t="shared" si="17"/>
        <v>1</v>
      </c>
    </row>
    <row r="27" spans="1:29" s="117" customFormat="1" ht="15" hidden="1">
      <c r="A27" s="431"/>
      <c r="B27" s="1386"/>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01"/>
      <c r="Q27" s="1794">
        <f t="shared" si="11"/>
        <v>0</v>
      </c>
      <c r="R27" s="770" t="s">
        <v>21</v>
      </c>
      <c r="S27" s="771">
        <f t="shared" si="12"/>
        <v>100</v>
      </c>
      <c r="T27" s="770" t="s">
        <v>21</v>
      </c>
      <c r="U27" s="771">
        <f t="shared" si="13"/>
        <v>100</v>
      </c>
      <c r="V27" s="770" t="s">
        <v>21</v>
      </c>
      <c r="W27" s="771">
        <f t="shared" si="14"/>
        <v>100</v>
      </c>
      <c r="X27" s="772"/>
      <c r="Y27" s="3283"/>
      <c r="Z27" s="55">
        <f>Q27</f>
        <v>0</v>
      </c>
      <c r="AA27" s="1810">
        <f t="shared" si="15"/>
        <v>1</v>
      </c>
      <c r="AB27" s="1810">
        <f t="shared" si="16"/>
        <v>1</v>
      </c>
      <c r="AC27" s="1810">
        <f t="shared" si="17"/>
        <v>1</v>
      </c>
    </row>
    <row r="28" spans="1:29" ht="15" hidden="1">
      <c r="A28" s="428"/>
      <c r="B28" s="1386"/>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01"/>
      <c r="Q28" s="1809">
        <f t="shared" si="11"/>
        <v>0</v>
      </c>
      <c r="R28" s="774" t="s">
        <v>21</v>
      </c>
      <c r="S28" s="775">
        <f t="shared" si="12"/>
        <v>100</v>
      </c>
      <c r="T28" s="774" t="s">
        <v>21</v>
      </c>
      <c r="U28" s="775">
        <f t="shared" si="13"/>
        <v>100</v>
      </c>
      <c r="V28" s="774" t="s">
        <v>21</v>
      </c>
      <c r="W28" s="775">
        <f t="shared" si="14"/>
        <v>100</v>
      </c>
      <c r="X28" s="1812"/>
      <c r="Y28" s="3283"/>
      <c r="Z28" s="1813">
        <f t="shared" ref="Z28:Z46" si="18">Q28</f>
        <v>0</v>
      </c>
      <c r="AA28" s="1810">
        <f t="shared" si="15"/>
        <v>1</v>
      </c>
      <c r="AB28" s="1810">
        <f t="shared" si="16"/>
        <v>1</v>
      </c>
      <c r="AC28" s="1810">
        <f t="shared" si="17"/>
        <v>1</v>
      </c>
    </row>
    <row r="29" spans="1:29" ht="15" hidden="1">
      <c r="A29" s="428"/>
      <c r="B29" s="1386"/>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01"/>
      <c r="Q29" s="1809">
        <f t="shared" si="11"/>
        <v>0</v>
      </c>
      <c r="R29" s="774" t="s">
        <v>21</v>
      </c>
      <c r="S29" s="775">
        <f t="shared" si="12"/>
        <v>100</v>
      </c>
      <c r="T29" s="774" t="s">
        <v>21</v>
      </c>
      <c r="U29" s="775">
        <f t="shared" si="13"/>
        <v>100</v>
      </c>
      <c r="V29" s="774" t="s">
        <v>21</v>
      </c>
      <c r="W29" s="775">
        <f t="shared" si="14"/>
        <v>100</v>
      </c>
      <c r="X29" s="1812"/>
      <c r="Y29" s="3283"/>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01"/>
      <c r="Q30" s="1809">
        <f t="shared" si="11"/>
        <v>0</v>
      </c>
      <c r="R30" s="774" t="s">
        <v>21</v>
      </c>
      <c r="S30" s="775">
        <f t="shared" si="12"/>
        <v>100</v>
      </c>
      <c r="T30" s="774" t="s">
        <v>21</v>
      </c>
      <c r="U30" s="775">
        <f t="shared" si="13"/>
        <v>100</v>
      </c>
      <c r="V30" s="774" t="s">
        <v>21</v>
      </c>
      <c r="W30" s="775">
        <f t="shared" si="14"/>
        <v>100</v>
      </c>
      <c r="X30" s="1812"/>
      <c r="Y30" s="3283"/>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01"/>
      <c r="Q31" s="1809">
        <f t="shared" si="11"/>
        <v>0</v>
      </c>
      <c r="R31" s="774" t="s">
        <v>21</v>
      </c>
      <c r="S31" s="775">
        <f t="shared" si="12"/>
        <v>100</v>
      </c>
      <c r="T31" s="774" t="s">
        <v>21</v>
      </c>
      <c r="U31" s="775">
        <f t="shared" si="13"/>
        <v>100</v>
      </c>
      <c r="V31" s="774" t="s">
        <v>21</v>
      </c>
      <c r="W31" s="775">
        <f t="shared" si="14"/>
        <v>100</v>
      </c>
      <c r="X31" s="1812"/>
      <c r="Y31" s="3283"/>
      <c r="Z31" s="1813">
        <f t="shared" si="18"/>
        <v>0</v>
      </c>
      <c r="AA31" s="1810">
        <f t="shared" si="15"/>
        <v>1</v>
      </c>
      <c r="AB31" s="1810">
        <f t="shared" si="16"/>
        <v>1</v>
      </c>
      <c r="AC31" s="1810">
        <f t="shared" si="17"/>
        <v>1</v>
      </c>
    </row>
    <row r="32" spans="1:29" ht="15">
      <c r="A32" s="440" t="s">
        <v>2556</v>
      </c>
      <c r="B32" s="71" t="s">
        <v>2557</v>
      </c>
      <c r="C32" s="2616" t="s">
        <v>3189</v>
      </c>
      <c r="D32" s="467">
        <v>100</v>
      </c>
      <c r="E32" s="2617" t="s">
        <v>3189</v>
      </c>
      <c r="F32" s="461">
        <f>SUMIF(100:100,E32,101:101)-SUMIF(100:100,C32,101:101)+100</f>
        <v>100</v>
      </c>
      <c r="G32" s="2617" t="s">
        <v>3189</v>
      </c>
      <c r="H32" s="467">
        <f>SUMIF(100:100,G32,101:101)-SUMIF(100:100,C32,101:101)+100</f>
        <v>100</v>
      </c>
      <c r="I32" s="2617" t="s">
        <v>3189</v>
      </c>
      <c r="J32" s="435">
        <f>SUMIF(100:100,I32,101:101)-SUMIF(100:100,C32,101:101)+100</f>
        <v>100</v>
      </c>
      <c r="K32" s="426">
        <v>5</v>
      </c>
      <c r="L32" s="1140"/>
      <c r="M32" s="1131"/>
      <c r="N32" s="1131"/>
      <c r="O32" s="1131"/>
      <c r="P32" s="3296" t="s">
        <v>2558</v>
      </c>
      <c r="Q32" s="1809" t="str">
        <f t="shared" si="11"/>
        <v>建筑类型</v>
      </c>
      <c r="R32" s="774" t="s">
        <v>21</v>
      </c>
      <c r="S32" s="775">
        <f t="shared" si="12"/>
        <v>100</v>
      </c>
      <c r="T32" s="774" t="s">
        <v>21</v>
      </c>
      <c r="U32" s="775">
        <f t="shared" si="13"/>
        <v>100</v>
      </c>
      <c r="V32" s="774" t="s">
        <v>21</v>
      </c>
      <c r="W32" s="775">
        <f t="shared" si="14"/>
        <v>100</v>
      </c>
      <c r="X32" s="1812"/>
      <c r="Y32" s="3285" t="s">
        <v>2558</v>
      </c>
      <c r="Z32" s="1813" t="str">
        <f t="shared" si="18"/>
        <v>建筑类型</v>
      </c>
      <c r="AA32" s="1810">
        <f t="shared" si="15"/>
        <v>1</v>
      </c>
      <c r="AB32" s="1810">
        <f t="shared" si="16"/>
        <v>1</v>
      </c>
      <c r="AC32" s="1810">
        <f t="shared" si="17"/>
        <v>1</v>
      </c>
    </row>
    <row r="33" spans="1:29" s="471" customFormat="1" ht="15">
      <c r="A33" s="468"/>
      <c r="B33" s="422" t="s">
        <v>2559</v>
      </c>
      <c r="C33" s="469">
        <f>项目情况汇总!G59</f>
        <v>352480.54000000004</v>
      </c>
      <c r="D33" s="136">
        <v>100</v>
      </c>
      <c r="E33" s="430">
        <v>400000</v>
      </c>
      <c r="F33" s="425">
        <f>LOOKUP(E33,103:103,104:104)-LOOKUP(C33,103:103,104:104)+100</f>
        <v>100</v>
      </c>
      <c r="G33" s="429">
        <v>350000</v>
      </c>
      <c r="H33" s="136">
        <f>LOOKUP(G33,103:103,104:104)-LOOKUP(C33,103:103,104:104)+100</f>
        <v>100</v>
      </c>
      <c r="I33" s="430">
        <v>244824.26</v>
      </c>
      <c r="J33" s="136">
        <f>LOOKUP(I33,103:103,104:104)-LOOKUP(C33,103:103,104:104)+100</f>
        <v>100</v>
      </c>
      <c r="K33" s="2600"/>
      <c r="L33" s="1138"/>
      <c r="M33" s="1141"/>
      <c r="N33" s="1141"/>
      <c r="O33" s="1141"/>
      <c r="P33" s="3297"/>
      <c r="Q33" s="776" t="str">
        <f t="shared" si="11"/>
        <v>项目建筑规模</v>
      </c>
      <c r="R33" s="777" t="s">
        <v>21</v>
      </c>
      <c r="S33" s="778">
        <f t="shared" si="12"/>
        <v>100</v>
      </c>
      <c r="T33" s="777" t="s">
        <v>21</v>
      </c>
      <c r="U33" s="778">
        <f t="shared" si="13"/>
        <v>100</v>
      </c>
      <c r="V33" s="777" t="s">
        <v>21</v>
      </c>
      <c r="W33" s="778">
        <f t="shared" si="14"/>
        <v>100</v>
      </c>
      <c r="X33" s="779"/>
      <c r="Y33" s="3285"/>
      <c r="Z33" s="780" t="str">
        <f t="shared" si="18"/>
        <v>项目建筑规模</v>
      </c>
      <c r="AA33" s="1810">
        <f t="shared" si="15"/>
        <v>1</v>
      </c>
      <c r="AB33" s="1810">
        <f t="shared" si="16"/>
        <v>1</v>
      </c>
      <c r="AC33" s="1810">
        <f t="shared" si="17"/>
        <v>1</v>
      </c>
    </row>
    <row r="34" spans="1:29" ht="15">
      <c r="A34" s="472"/>
      <c r="B34" s="422" t="s">
        <v>2560</v>
      </c>
      <c r="C34" s="2618" t="s">
        <v>3445</v>
      </c>
      <c r="D34" s="435">
        <v>100</v>
      </c>
      <c r="E34" s="2618" t="s">
        <v>3445</v>
      </c>
      <c r="F34" s="461">
        <f>SUMIF(105:105,E34,106:106)-SUMIF(105:105,C34,106:106)+100</f>
        <v>100</v>
      </c>
      <c r="G34" s="2618" t="s">
        <v>3445</v>
      </c>
      <c r="H34" s="435">
        <f>SUMIF(105:105,G34,106:106)-SUMIF(105:105,C34,106:106)+100</f>
        <v>100</v>
      </c>
      <c r="I34" s="2618" t="s">
        <v>3445</v>
      </c>
      <c r="J34" s="435">
        <f>SUMIF(105:105,I34,106:106)-SUMIF(105:105,C34,106:106)+100</f>
        <v>100</v>
      </c>
      <c r="K34" s="426">
        <v>2</v>
      </c>
      <c r="L34" s="1140"/>
      <c r="M34" s="1131"/>
      <c r="N34" s="1131"/>
      <c r="O34" s="1131"/>
      <c r="P34" s="3297"/>
      <c r="Q34" s="1809" t="str">
        <f t="shared" si="11"/>
        <v>建筑结构</v>
      </c>
      <c r="R34" s="774" t="s">
        <v>21</v>
      </c>
      <c r="S34" s="775">
        <f t="shared" si="12"/>
        <v>100</v>
      </c>
      <c r="T34" s="774" t="s">
        <v>21</v>
      </c>
      <c r="U34" s="775">
        <f t="shared" si="13"/>
        <v>100</v>
      </c>
      <c r="V34" s="774" t="s">
        <v>21</v>
      </c>
      <c r="W34" s="775">
        <f t="shared" si="14"/>
        <v>100</v>
      </c>
      <c r="X34" s="1812"/>
      <c r="Y34" s="3285"/>
      <c r="Z34" s="1813" t="str">
        <f t="shared" si="18"/>
        <v>建筑结构</v>
      </c>
      <c r="AA34" s="1810">
        <f t="shared" si="15"/>
        <v>1</v>
      </c>
      <c r="AB34" s="1810">
        <f t="shared" si="16"/>
        <v>1</v>
      </c>
      <c r="AC34" s="1810">
        <f t="shared" si="17"/>
        <v>1</v>
      </c>
    </row>
    <row r="35" spans="1:29" ht="15">
      <c r="A35" s="472"/>
      <c r="B35" s="422" t="s">
        <v>2561</v>
      </c>
      <c r="C35" s="2612" t="s">
        <v>3447</v>
      </c>
      <c r="D35" s="435">
        <v>100</v>
      </c>
      <c r="E35" s="2612" t="s">
        <v>3447</v>
      </c>
      <c r="F35" s="461">
        <f>SUMIF(107:107,E35,108:108)-SUMIF(107:107,C35,108:108)+100</f>
        <v>100</v>
      </c>
      <c r="G35" s="2612" t="s">
        <v>3447</v>
      </c>
      <c r="H35" s="435">
        <f>SUMIF(107:107,G35,108:108)-SUMIF(107:107,C35,108:108)+100</f>
        <v>100</v>
      </c>
      <c r="I35" s="2612" t="s">
        <v>3447</v>
      </c>
      <c r="J35" s="435">
        <f>SUMIF(107:107,I35,108:108)-SUMIF(107:107,C35,108:108)+100</f>
        <v>100</v>
      </c>
      <c r="K35" s="426">
        <v>2</v>
      </c>
      <c r="L35" s="1140"/>
      <c r="M35" s="1131"/>
      <c r="N35" s="1131"/>
      <c r="O35" s="1131"/>
      <c r="P35" s="3297"/>
      <c r="Q35" s="1809" t="str">
        <f t="shared" si="11"/>
        <v>建筑品质</v>
      </c>
      <c r="R35" s="774" t="s">
        <v>21</v>
      </c>
      <c r="S35" s="775">
        <f t="shared" si="12"/>
        <v>100</v>
      </c>
      <c r="T35" s="774" t="s">
        <v>21</v>
      </c>
      <c r="U35" s="775">
        <f t="shared" si="13"/>
        <v>100</v>
      </c>
      <c r="V35" s="774" t="s">
        <v>21</v>
      </c>
      <c r="W35" s="775">
        <f t="shared" si="14"/>
        <v>100</v>
      </c>
      <c r="X35" s="1812"/>
      <c r="Y35" s="3285"/>
      <c r="Z35" s="1813" t="str">
        <f t="shared" si="18"/>
        <v>建筑品质</v>
      </c>
      <c r="AA35" s="1810">
        <f t="shared" si="15"/>
        <v>1</v>
      </c>
      <c r="AB35" s="1810">
        <f t="shared" si="16"/>
        <v>1</v>
      </c>
      <c r="AC35" s="1810">
        <f t="shared" si="17"/>
        <v>1</v>
      </c>
    </row>
    <row r="36" spans="1:29" ht="15">
      <c r="A36" s="472"/>
      <c r="B36" s="422" t="s">
        <v>2562</v>
      </c>
      <c r="C36" s="2612" t="s">
        <v>3449</v>
      </c>
      <c r="D36" s="435">
        <v>100</v>
      </c>
      <c r="E36" s="2612" t="s">
        <v>3449</v>
      </c>
      <c r="F36" s="461">
        <f>SUMIF(109:109,E36,110:110)-SUMIF(109:109,C36,110:110)+100</f>
        <v>100</v>
      </c>
      <c r="G36" s="2612" t="s">
        <v>3449</v>
      </c>
      <c r="H36" s="435">
        <f>SUMIF(109:109,G36,110:110)-SUMIF(109:109,C36,110:110)+100</f>
        <v>100</v>
      </c>
      <c r="I36" s="2612" t="s">
        <v>3449</v>
      </c>
      <c r="J36" s="435">
        <f>SUMIF(109:109,I36,110:110)-SUMIF(109:109,C36,110:110)+100</f>
        <v>100</v>
      </c>
      <c r="K36" s="426">
        <v>2</v>
      </c>
      <c r="L36" s="1140"/>
      <c r="M36" s="1131"/>
      <c r="N36" s="1131"/>
      <c r="O36" s="1131"/>
      <c r="P36" s="3297"/>
      <c r="Q36" s="1809" t="str">
        <f t="shared" si="11"/>
        <v>公共部分装修</v>
      </c>
      <c r="R36" s="774" t="s">
        <v>21</v>
      </c>
      <c r="S36" s="775">
        <f t="shared" si="12"/>
        <v>100</v>
      </c>
      <c r="T36" s="774" t="s">
        <v>21</v>
      </c>
      <c r="U36" s="775">
        <f t="shared" si="13"/>
        <v>100</v>
      </c>
      <c r="V36" s="774" t="s">
        <v>21</v>
      </c>
      <c r="W36" s="775">
        <f t="shared" si="14"/>
        <v>100</v>
      </c>
      <c r="X36" s="1812"/>
      <c r="Y36" s="3285"/>
      <c r="Z36" s="1813" t="str">
        <f t="shared" si="18"/>
        <v>公共部分装修</v>
      </c>
      <c r="AA36" s="1810">
        <f t="shared" si="15"/>
        <v>1</v>
      </c>
      <c r="AB36" s="1810">
        <f t="shared" si="16"/>
        <v>1</v>
      </c>
      <c r="AC36" s="1810">
        <f t="shared" si="17"/>
        <v>1</v>
      </c>
    </row>
    <row r="37" spans="1:29" s="117" customFormat="1" ht="15">
      <c r="A37" s="473"/>
      <c r="B37" s="422" t="s">
        <v>2563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297"/>
      <c r="Q37" s="1794" t="str">
        <f t="shared" si="11"/>
        <v>成新度</v>
      </c>
      <c r="R37" s="770" t="s">
        <v>21</v>
      </c>
      <c r="S37" s="771">
        <f t="shared" si="12"/>
        <v>100</v>
      </c>
      <c r="T37" s="770" t="s">
        <v>21</v>
      </c>
      <c r="U37" s="771">
        <f t="shared" si="13"/>
        <v>100</v>
      </c>
      <c r="V37" s="770" t="s">
        <v>21</v>
      </c>
      <c r="W37" s="771">
        <f t="shared" si="14"/>
        <v>100</v>
      </c>
      <c r="X37" s="772"/>
      <c r="Y37" s="3285"/>
      <c r="Z37" s="55" t="str">
        <f t="shared" si="18"/>
        <v>成新度</v>
      </c>
      <c r="AA37" s="773">
        <f t="shared" si="15"/>
        <v>1</v>
      </c>
      <c r="AB37" s="773">
        <f t="shared" si="16"/>
        <v>1</v>
      </c>
      <c r="AC37" s="773">
        <f t="shared" si="17"/>
        <v>1</v>
      </c>
    </row>
    <row r="38" spans="1:29" ht="15">
      <c r="A38" s="472"/>
      <c r="B38" s="422" t="s">
        <v>2564</v>
      </c>
      <c r="C38" s="2612" t="s">
        <v>3451</v>
      </c>
      <c r="D38" s="435">
        <v>100</v>
      </c>
      <c r="E38" s="2612" t="s">
        <v>3451</v>
      </c>
      <c r="F38" s="461">
        <f>SUMIF(114:114,E38,115:115)-SUMIF(114:114,C38,115:115)+100</f>
        <v>100</v>
      </c>
      <c r="G38" s="2612" t="s">
        <v>3451</v>
      </c>
      <c r="H38" s="435">
        <f>SUMIF(114:114,G38,115:115)-SUMIF(114:114,C38,115:115)+100</f>
        <v>100</v>
      </c>
      <c r="I38" s="2612" t="s">
        <v>3451</v>
      </c>
      <c r="J38" s="435">
        <f>SUMIF(114:114,I38,115:115)-SUMIF(114:114,C38,115:115)+100</f>
        <v>100</v>
      </c>
      <c r="K38" s="426">
        <v>2</v>
      </c>
      <c r="L38" s="1140"/>
      <c r="M38" s="1131"/>
      <c r="N38" s="1131"/>
      <c r="O38" s="1131"/>
      <c r="P38" s="3297" t="s">
        <v>2558</v>
      </c>
      <c r="Q38" s="1809" t="str">
        <f t="shared" si="11"/>
        <v>物业管理</v>
      </c>
      <c r="R38" s="774" t="s">
        <v>21</v>
      </c>
      <c r="S38" s="775">
        <f t="shared" si="12"/>
        <v>100</v>
      </c>
      <c r="T38" s="774" t="s">
        <v>21</v>
      </c>
      <c r="U38" s="775">
        <f t="shared" si="13"/>
        <v>100</v>
      </c>
      <c r="V38" s="774" t="s">
        <v>21</v>
      </c>
      <c r="W38" s="775">
        <f t="shared" si="14"/>
        <v>100</v>
      </c>
      <c r="X38" s="1812"/>
      <c r="Y38" s="3285" t="s">
        <v>2558</v>
      </c>
      <c r="Z38" s="1813" t="str">
        <f t="shared" si="18"/>
        <v>物业管理</v>
      </c>
      <c r="AA38" s="1810">
        <f t="shared" si="15"/>
        <v>1</v>
      </c>
      <c r="AB38" s="1810">
        <f t="shared" si="16"/>
        <v>1</v>
      </c>
      <c r="AC38" s="1810">
        <f t="shared" si="17"/>
        <v>1</v>
      </c>
    </row>
    <row r="39" spans="1:29" ht="15">
      <c r="A39" s="472"/>
      <c r="B39" s="422" t="s">
        <v>2565</v>
      </c>
      <c r="C39" s="2612" t="s">
        <v>3419</v>
      </c>
      <c r="D39" s="435">
        <v>100</v>
      </c>
      <c r="E39" s="2612" t="s">
        <v>3419</v>
      </c>
      <c r="F39" s="461">
        <f>SUMIF(116:116,E39,117:117)-SUMIF(116:116,C39,117:117)+100</f>
        <v>100</v>
      </c>
      <c r="G39" s="2612" t="s">
        <v>3419</v>
      </c>
      <c r="H39" s="435">
        <f>SUMIF(116:116,G39,117:117)-SUMIF(116:116,C39,117:117)+100</f>
        <v>100</v>
      </c>
      <c r="I39" s="2612" t="s">
        <v>3419</v>
      </c>
      <c r="J39" s="435">
        <f>SUMIF(116:116,I39,117:117)-SUMIF(116:116,C39,117:117)+100</f>
        <v>100</v>
      </c>
      <c r="K39" s="426">
        <v>2</v>
      </c>
      <c r="L39" s="1140"/>
      <c r="M39" s="1131"/>
      <c r="N39" s="1131"/>
      <c r="O39" s="1131"/>
      <c r="P39" s="3297"/>
      <c r="Q39" s="1809" t="str">
        <f t="shared" si="11"/>
        <v>市政基础设施</v>
      </c>
      <c r="R39" s="774" t="s">
        <v>21</v>
      </c>
      <c r="S39" s="775">
        <f t="shared" si="12"/>
        <v>100</v>
      </c>
      <c r="T39" s="774" t="s">
        <v>21</v>
      </c>
      <c r="U39" s="775">
        <f t="shared" si="13"/>
        <v>100</v>
      </c>
      <c r="V39" s="774" t="s">
        <v>21</v>
      </c>
      <c r="W39" s="775">
        <f t="shared" si="14"/>
        <v>100</v>
      </c>
      <c r="X39" s="1812"/>
      <c r="Y39" s="3285"/>
      <c r="Z39" s="1813" t="str">
        <f t="shared" si="18"/>
        <v>市政基础设施</v>
      </c>
      <c r="AA39" s="1810">
        <f t="shared" si="15"/>
        <v>1</v>
      </c>
      <c r="AB39" s="1810">
        <f t="shared" si="16"/>
        <v>1</v>
      </c>
      <c r="AC39" s="1810">
        <f t="shared" si="17"/>
        <v>1</v>
      </c>
    </row>
    <row r="40" spans="1:29" ht="15">
      <c r="A40" s="472"/>
      <c r="B40" s="422" t="s">
        <v>2566</v>
      </c>
      <c r="C40" s="2612" t="s">
        <v>3454</v>
      </c>
      <c r="D40" s="435">
        <v>100</v>
      </c>
      <c r="E40" s="2612" t="s">
        <v>3454</v>
      </c>
      <c r="F40" s="461">
        <f>SUMIF(118:118,E40,119:119)-SUMIF(118:118,C40,119:119)+100</f>
        <v>100</v>
      </c>
      <c r="G40" s="2612" t="s">
        <v>3454</v>
      </c>
      <c r="H40" s="435">
        <f>SUMIF(118:118,G40,119:119)-SUMIF(118:118,C40,119:119)+100</f>
        <v>100</v>
      </c>
      <c r="I40" s="2612" t="s">
        <v>3454</v>
      </c>
      <c r="J40" s="435">
        <f>SUMIF(118:118,I40,119:119)-SUMIF(118:118,C40,119:119)+100</f>
        <v>100</v>
      </c>
      <c r="K40" s="426">
        <v>2</v>
      </c>
      <c r="L40" s="1140"/>
      <c r="M40" s="1131"/>
      <c r="N40" s="1131"/>
      <c r="O40" s="1131"/>
      <c r="P40" s="3297"/>
      <c r="Q40" s="1809" t="str">
        <f t="shared" si="11"/>
        <v>房型</v>
      </c>
      <c r="R40" s="774" t="s">
        <v>21</v>
      </c>
      <c r="S40" s="775">
        <f t="shared" si="12"/>
        <v>100</v>
      </c>
      <c r="T40" s="774" t="s">
        <v>21</v>
      </c>
      <c r="U40" s="775">
        <f t="shared" si="13"/>
        <v>100</v>
      </c>
      <c r="V40" s="774" t="s">
        <v>21</v>
      </c>
      <c r="W40" s="775">
        <f t="shared" si="14"/>
        <v>100</v>
      </c>
      <c r="X40" s="1812"/>
      <c r="Y40" s="3285"/>
      <c r="Z40" s="1813" t="str">
        <f t="shared" si="18"/>
        <v>房型</v>
      </c>
      <c r="AA40" s="1810">
        <f t="shared" si="15"/>
        <v>1</v>
      </c>
      <c r="AB40" s="1810">
        <f t="shared" si="16"/>
        <v>1</v>
      </c>
      <c r="AC40" s="1810">
        <f t="shared" si="17"/>
        <v>1</v>
      </c>
    </row>
    <row r="41" spans="1:29" s="471" customFormat="1" ht="28.5">
      <c r="A41" s="468"/>
      <c r="B41" s="422" t="s">
        <v>2567</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297"/>
      <c r="Q41" s="776" t="str">
        <f t="shared" si="11"/>
        <v>单套/主力户型建筑面积</v>
      </c>
      <c r="R41" s="777" t="s">
        <v>21</v>
      </c>
      <c r="S41" s="778">
        <f t="shared" si="12"/>
        <v>100</v>
      </c>
      <c r="T41" s="777" t="s">
        <v>21</v>
      </c>
      <c r="U41" s="778">
        <f t="shared" si="13"/>
        <v>100</v>
      </c>
      <c r="V41" s="777" t="s">
        <v>21</v>
      </c>
      <c r="W41" s="778">
        <f t="shared" si="14"/>
        <v>100</v>
      </c>
      <c r="X41" s="779"/>
      <c r="Y41" s="3285"/>
      <c r="Z41" s="780" t="str">
        <f t="shared" si="18"/>
        <v>单套/主力户型建筑面积</v>
      </c>
      <c r="AA41" s="1810">
        <f t="shared" si="15"/>
        <v>1</v>
      </c>
      <c r="AB41" s="1810">
        <f t="shared" si="16"/>
        <v>1</v>
      </c>
      <c r="AC41" s="1810">
        <f t="shared" si="17"/>
        <v>1</v>
      </c>
    </row>
    <row r="42" spans="1:29" ht="15">
      <c r="A42" s="472"/>
      <c r="B42" s="422" t="s">
        <v>2568</v>
      </c>
      <c r="C42" s="2612" t="s">
        <v>3456</v>
      </c>
      <c r="D42" s="435">
        <v>100</v>
      </c>
      <c r="E42" s="2612" t="s">
        <v>3456</v>
      </c>
      <c r="F42" s="461">
        <f>SUMIF(122:122,E42,123:123)-SUMIF(122:122,C42,123:123)+100</f>
        <v>100</v>
      </c>
      <c r="G42" s="2612" t="s">
        <v>3456</v>
      </c>
      <c r="H42" s="435">
        <f>SUMIF(122:122,G42,123:123)-SUMIF(122:122,C42,123:123)+100</f>
        <v>100</v>
      </c>
      <c r="I42" s="2612" t="s">
        <v>3459</v>
      </c>
      <c r="J42" s="435">
        <f>SUMIF(122:122,I42,123:123)-SUMIF(122:122,C42,123:123)+100</f>
        <v>90</v>
      </c>
      <c r="K42" s="426">
        <v>5</v>
      </c>
      <c r="L42" s="1140"/>
      <c r="M42" s="1131"/>
      <c r="N42" s="1131"/>
      <c r="O42" s="1131"/>
      <c r="P42" s="3297"/>
      <c r="Q42" s="1809" t="str">
        <f t="shared" si="11"/>
        <v>内部装修</v>
      </c>
      <c r="R42" s="774" t="s">
        <v>21</v>
      </c>
      <c r="S42" s="775">
        <f t="shared" si="12"/>
        <v>100</v>
      </c>
      <c r="T42" s="774" t="s">
        <v>21</v>
      </c>
      <c r="U42" s="775">
        <f t="shared" si="13"/>
        <v>100</v>
      </c>
      <c r="V42" s="774" t="s">
        <v>21</v>
      </c>
      <c r="W42" s="775">
        <f t="shared" si="14"/>
        <v>90</v>
      </c>
      <c r="X42" s="1812"/>
      <c r="Y42" s="3285"/>
      <c r="Z42" s="1813" t="str">
        <f t="shared" si="18"/>
        <v>内部装修</v>
      </c>
      <c r="AA42" s="1810">
        <f t="shared" si="15"/>
        <v>1</v>
      </c>
      <c r="AB42" s="1810">
        <f t="shared" si="16"/>
        <v>1</v>
      </c>
      <c r="AC42" s="1810">
        <f t="shared" si="17"/>
        <v>1.1111111111111112</v>
      </c>
    </row>
    <row r="43" spans="1:29" ht="15">
      <c r="A43" s="472"/>
      <c r="B43" s="422" t="s">
        <v>2569</v>
      </c>
      <c r="C43" s="2612" t="s">
        <v>3418</v>
      </c>
      <c r="D43" s="435">
        <v>100</v>
      </c>
      <c r="E43" s="2612" t="s">
        <v>3418</v>
      </c>
      <c r="F43" s="461">
        <f>SUMIF(124:124,E43,125:125)-SUMIF(124:124,C43,125:125)+100</f>
        <v>100</v>
      </c>
      <c r="G43" s="2612" t="s">
        <v>3418</v>
      </c>
      <c r="H43" s="435">
        <f>SUMIF(124:124,G43,125:125)-SUMIF(124:124,C43,125:125)+100</f>
        <v>100</v>
      </c>
      <c r="I43" s="2612" t="s">
        <v>3418</v>
      </c>
      <c r="J43" s="435">
        <f>SUMIF(124:124,I43,125:125)-SUMIF(124:124,C43,125:125)+100</f>
        <v>100</v>
      </c>
      <c r="K43" s="426">
        <v>2</v>
      </c>
      <c r="L43" s="1140"/>
      <c r="M43" s="1131"/>
      <c r="N43" s="1131"/>
      <c r="O43" s="1131"/>
      <c r="P43" s="3297"/>
      <c r="Q43" s="1809" t="str">
        <f t="shared" si="11"/>
        <v>内部装修维护情况</v>
      </c>
      <c r="R43" s="774" t="s">
        <v>21</v>
      </c>
      <c r="S43" s="775">
        <f t="shared" si="12"/>
        <v>100</v>
      </c>
      <c r="T43" s="774" t="s">
        <v>21</v>
      </c>
      <c r="U43" s="775">
        <f t="shared" si="13"/>
        <v>100</v>
      </c>
      <c r="V43" s="774" t="s">
        <v>21</v>
      </c>
      <c r="W43" s="775">
        <f t="shared" si="14"/>
        <v>100</v>
      </c>
      <c r="X43" s="1812"/>
      <c r="Y43" s="3285"/>
      <c r="Z43" s="1813" t="str">
        <f t="shared" si="18"/>
        <v>内部装修维护情况</v>
      </c>
      <c r="AA43" s="1810">
        <f t="shared" si="15"/>
        <v>1</v>
      </c>
      <c r="AB43" s="1810">
        <f t="shared" si="16"/>
        <v>1</v>
      </c>
      <c r="AC43" s="1810">
        <f t="shared" si="17"/>
        <v>1</v>
      </c>
    </row>
    <row r="44" spans="1:29" s="117" customFormat="1" ht="85.5">
      <c r="A44" s="473"/>
      <c r="B44" s="1386"/>
      <c r="C44" s="469"/>
      <c r="D44" s="136">
        <v>100</v>
      </c>
      <c r="E44" s="469" t="s">
        <v>3461</v>
      </c>
      <c r="F44" s="425">
        <f>SUMIF(126:126,E44,127:127)-SUMIF(126:126,C44,127:127)+100</f>
        <v>100</v>
      </c>
      <c r="G44" s="469" t="s">
        <v>3466</v>
      </c>
      <c r="H44" s="136">
        <f>SUMIF(126:126,G44,127:127)-SUMIF(126:126,C44,127:127)+100</f>
        <v>100</v>
      </c>
      <c r="I44" s="469" t="s">
        <v>3463</v>
      </c>
      <c r="J44" s="136">
        <f>SUMIF(126:126,I44,127:127)-SUMIF(126:126,C44,127:127)+100</f>
        <v>100</v>
      </c>
      <c r="K44" s="2600"/>
      <c r="L44" s="1132"/>
      <c r="M44" s="1133"/>
      <c r="N44" s="1133"/>
      <c r="O44" s="1133"/>
      <c r="P44" s="3297"/>
      <c r="Q44" s="1794">
        <f t="shared" si="11"/>
        <v>0</v>
      </c>
      <c r="R44" s="770" t="s">
        <v>21</v>
      </c>
      <c r="S44" s="771">
        <f t="shared" si="12"/>
        <v>100</v>
      </c>
      <c r="T44" s="770" t="s">
        <v>21</v>
      </c>
      <c r="U44" s="771">
        <f t="shared" si="13"/>
        <v>100</v>
      </c>
      <c r="V44" s="770" t="s">
        <v>21</v>
      </c>
      <c r="W44" s="771">
        <f t="shared" si="14"/>
        <v>100</v>
      </c>
      <c r="X44" s="772"/>
      <c r="Y44" s="3285"/>
      <c r="Z44" s="55">
        <f t="shared" si="18"/>
        <v>0</v>
      </c>
      <c r="AA44" s="773">
        <f t="shared" si="15"/>
        <v>1</v>
      </c>
      <c r="AB44" s="773">
        <f t="shared" si="16"/>
        <v>1</v>
      </c>
      <c r="AC44" s="773">
        <f t="shared" si="17"/>
        <v>1</v>
      </c>
    </row>
    <row r="45" spans="1:29" ht="85.5">
      <c r="A45" s="472"/>
      <c r="B45" s="1386"/>
      <c r="C45" s="434"/>
      <c r="D45" s="435">
        <v>100</v>
      </c>
      <c r="E45" s="434" t="s">
        <v>3462</v>
      </c>
      <c r="F45" s="461">
        <f>SUMIF(128:128,E45,129:129)-SUMIF(128:128,C45,129:129)+100</f>
        <v>100</v>
      </c>
      <c r="G45" s="434"/>
      <c r="H45" s="435">
        <f>SUMIF(128:128,G45,129:129)-SUMIF(128:128,C45,129:129)+100</f>
        <v>100</v>
      </c>
      <c r="I45" s="434" t="s">
        <v>3464</v>
      </c>
      <c r="J45" s="435">
        <f>SUMIF(128:128,I45,129:129)-SUMIF(128:128,C45,129:129)+100</f>
        <v>100</v>
      </c>
      <c r="K45" s="2600"/>
      <c r="L45" s="1140"/>
      <c r="M45" s="1131"/>
      <c r="N45" s="1131"/>
      <c r="O45" s="1131"/>
      <c r="P45" s="3297"/>
      <c r="Q45" s="1809">
        <f t="shared" si="11"/>
        <v>0</v>
      </c>
      <c r="R45" s="774" t="s">
        <v>21</v>
      </c>
      <c r="S45" s="775">
        <f t="shared" si="12"/>
        <v>100</v>
      </c>
      <c r="T45" s="774" t="s">
        <v>21</v>
      </c>
      <c r="U45" s="775">
        <f t="shared" si="13"/>
        <v>100</v>
      </c>
      <c r="V45" s="774" t="s">
        <v>21</v>
      </c>
      <c r="W45" s="775">
        <f t="shared" si="14"/>
        <v>100</v>
      </c>
      <c r="X45" s="1812"/>
      <c r="Y45" s="3285"/>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98"/>
      <c r="Q46" s="1809">
        <f t="shared" si="11"/>
        <v>0</v>
      </c>
      <c r="R46" s="774" t="s">
        <v>20</v>
      </c>
      <c r="S46" s="775">
        <f t="shared" si="12"/>
        <v>100</v>
      </c>
      <c r="T46" s="774" t="s">
        <v>20</v>
      </c>
      <c r="U46" s="775">
        <f t="shared" si="13"/>
        <v>100</v>
      </c>
      <c r="V46" s="774" t="s">
        <v>20</v>
      </c>
      <c r="W46" s="775">
        <f t="shared" si="14"/>
        <v>100</v>
      </c>
      <c r="X46" s="1812"/>
      <c r="Y46" s="3299"/>
      <c r="Z46" s="1813">
        <f t="shared" si="18"/>
        <v>0</v>
      </c>
      <c r="AA46" s="1810">
        <f t="shared" si="15"/>
        <v>1</v>
      </c>
      <c r="AB46" s="1810">
        <f t="shared" si="16"/>
        <v>1</v>
      </c>
      <c r="AC46" s="1810">
        <f t="shared" si="17"/>
        <v>1</v>
      </c>
    </row>
    <row r="47" spans="1:29" ht="15">
      <c r="A47" s="479" t="s">
        <v>2570</v>
      </c>
      <c r="B47" s="480"/>
      <c r="C47" s="1407" t="s">
        <v>19</v>
      </c>
      <c r="D47" s="1408"/>
      <c r="E47" s="1409">
        <f>ROUND(12500*$F$50,0)</f>
        <v>12250</v>
      </c>
      <c r="F47" s="1410"/>
      <c r="G47" s="1409">
        <f>ROUND(15000*$F$50,0)</f>
        <v>14700</v>
      </c>
      <c r="H47" s="1412"/>
      <c r="I47" s="1409">
        <f>ROUND(13000*$F$50,0)</f>
        <v>12740</v>
      </c>
      <c r="J47" s="1412"/>
      <c r="K47" s="2619"/>
      <c r="L47" s="1143"/>
      <c r="M47" s="1144"/>
      <c r="N47" s="1131"/>
      <c r="O47" s="1144"/>
      <c r="P47" s="3267" t="str">
        <f>A47</f>
        <v>成交单价（元/平方米）</v>
      </c>
      <c r="Q47" s="3267"/>
      <c r="R47" s="3295">
        <f>E47</f>
        <v>12250</v>
      </c>
      <c r="S47" s="3295"/>
      <c r="T47" s="3295">
        <f>G47</f>
        <v>14700</v>
      </c>
      <c r="U47" s="3295"/>
      <c r="V47" s="3295">
        <f>I47</f>
        <v>12740</v>
      </c>
      <c r="W47" s="3295"/>
      <c r="X47" s="759"/>
      <c r="Y47" s="781"/>
      <c r="Z47" s="759"/>
      <c r="AA47" s="759"/>
      <c r="AB47" s="759"/>
      <c r="AC47" s="759"/>
    </row>
    <row r="48" spans="1:29" ht="15.75" thickBot="1">
      <c r="A48" s="486" t="s">
        <v>2571</v>
      </c>
      <c r="B48" s="487"/>
      <c r="C48" s="1413">
        <f>R49</f>
        <v>12681</v>
      </c>
      <c r="D48" s="1414"/>
      <c r="E48" s="1415">
        <f>R48</f>
        <v>11337</v>
      </c>
      <c r="F48" s="1415"/>
      <c r="G48" s="1413">
        <f>T48</f>
        <v>13604</v>
      </c>
      <c r="H48" s="1414"/>
      <c r="I48" s="1415">
        <f>V48</f>
        <v>13101</v>
      </c>
      <c r="J48" s="1414"/>
      <c r="K48" s="2620"/>
      <c r="L48" s="1143"/>
      <c r="M48" s="1144"/>
      <c r="N48" s="1144"/>
      <c r="O48" s="1144"/>
      <c r="P48" s="3267" t="str">
        <f>A48</f>
        <v>比较价值（元/平方米）</v>
      </c>
      <c r="Q48" s="3267"/>
      <c r="R48" s="3295">
        <f>IF(F1="售价",ROUND(PRODUCT(R47,AA7:AA46),0),ROUND(PRODUCT(R47,AA7:AA46),1))</f>
        <v>11337</v>
      </c>
      <c r="S48" s="3295"/>
      <c r="T48" s="3295">
        <f>IF(F1="售价",ROUND(PRODUCT(T47,AB7:AB46),0),ROUND(PRODUCT(T47,AB7:AB46),1))</f>
        <v>13604</v>
      </c>
      <c r="U48" s="3295"/>
      <c r="V48" s="3295">
        <f>IF(F1="售价",ROUND(PRODUCT(V47,AC7:AC46),0),ROUND(PRODUCT(V47,AC7:AC46),1))</f>
        <v>13101</v>
      </c>
      <c r="W48" s="3295"/>
      <c r="X48" s="759"/>
      <c r="Y48" s="759"/>
      <c r="Z48" s="759"/>
      <c r="AA48" s="759"/>
      <c r="AB48" s="759"/>
      <c r="AC48" s="759"/>
    </row>
    <row r="49" spans="1:29" ht="15.75" thickBot="1">
      <c r="A49" s="492" t="s">
        <v>2572</v>
      </c>
      <c r="B49" s="493"/>
      <c r="C49" s="1416">
        <f>R49</f>
        <v>12681</v>
      </c>
      <c r="D49" s="1417"/>
      <c r="E49" s="1417"/>
      <c r="F49" s="1417"/>
      <c r="G49" s="1417"/>
      <c r="H49" s="1417"/>
      <c r="I49" s="1417"/>
      <c r="J49" s="1417"/>
      <c r="K49" s="2621"/>
      <c r="L49" s="1143"/>
      <c r="M49" s="1144"/>
      <c r="N49" s="1144"/>
      <c r="O49" s="1144"/>
      <c r="P49" s="3287" t="str">
        <f>A49</f>
        <v>估价对象XX用房的比较价值（楼面单价，元/平方米）</v>
      </c>
      <c r="Q49" s="3288"/>
      <c r="R49" s="3294">
        <f>IF(F1="售价",ROUND(AVERAGE(R48:V48),0),ROUND(AVERAGE(R48:V48),1))</f>
        <v>12681</v>
      </c>
      <c r="S49" s="3294"/>
      <c r="T49" s="3294"/>
      <c r="U49" s="3294"/>
      <c r="V49" s="3294"/>
      <c r="W49" s="3294"/>
      <c r="X49" s="759"/>
      <c r="Y49" s="759"/>
      <c r="Z49" s="759"/>
      <c r="AA49" s="759"/>
      <c r="AB49" s="759"/>
      <c r="AC49" s="759"/>
    </row>
    <row r="50" spans="1:29">
      <c r="A50" s="1144"/>
      <c r="B50" s="1144"/>
      <c r="C50" s="1144"/>
      <c r="D50" s="1144"/>
      <c r="E50" s="2983" t="s">
        <v>3465</v>
      </c>
      <c r="F50" s="2984">
        <v>0.98</v>
      </c>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f>IF(E47&lt;E48,E48/E47-1,E47/E48-1)</f>
        <v>8.0532768810090749E-2</v>
      </c>
      <c r="F52" s="500" t="str">
        <f>IF(OR(E52&gt;=0.3,E52&lt;=-0.3),"超过30%","")</f>
        <v/>
      </c>
      <c r="G52" s="499">
        <f>IF(G47&lt;G48,G48/G47-1,G47/G48-1)</f>
        <v>8.0564539841223137E-2</v>
      </c>
      <c r="H52" s="500" t="str">
        <f>IF(OR(G52&gt;=0.3,G52&lt;=-0.3),"超过30%","")</f>
        <v/>
      </c>
      <c r="I52" s="499">
        <f>IF(I47&lt;I48,I48/I47-1,I47/I48-1)</f>
        <v>2.8335949764521251E-2</v>
      </c>
      <c r="J52" s="500" t="str">
        <f>IF(OR(I52&gt;=0.3,I52&lt;=-0.3),"超过30%","")</f>
        <v/>
      </c>
      <c r="K52" s="1105"/>
      <c r="L52" s="1106"/>
      <c r="M52" s="1144"/>
      <c r="N52" s="1144"/>
      <c r="O52" s="1144"/>
    </row>
    <row r="53" spans="1:29" ht="13.5" customHeight="1">
      <c r="A53" s="1144"/>
      <c r="B53" s="1144"/>
      <c r="C53" s="497" t="s">
        <v>2574</v>
      </c>
      <c r="D53" s="501"/>
      <c r="E53" s="499">
        <f>IF(E48&lt;G48,G48/E48-1,E48/G48-1)</f>
        <v>0.19996471729734488</v>
      </c>
      <c r="F53" s="500" t="str">
        <f>IF(OR(E53&gt;=0.2,E53&lt;=-0.2),"超过20%","")</f>
        <v/>
      </c>
      <c r="G53" s="499">
        <f>IF(G48&lt;I48,I48/G48-1,G48/I48-1)</f>
        <v>3.8394015723990593E-2</v>
      </c>
      <c r="H53" s="500" t="str">
        <f>IF(OR(G53&gt;=0.2,G53&lt;=-0.2),"超过20%","")</f>
        <v/>
      </c>
      <c r="I53" s="499">
        <f>IF(I48&lt;E48,E48/I48-1,I48/E48-1)</f>
        <v>0.1555967187086531</v>
      </c>
      <c r="J53" s="500" t="str">
        <f>IF(OR(I53&gt;=0.2,I53&lt;=-0.2),"超过20%","")</f>
        <v/>
      </c>
      <c r="K53" s="1105"/>
      <c r="L53" s="1106"/>
      <c r="M53" s="1144"/>
      <c r="N53" s="1144"/>
      <c r="O53" s="1144"/>
    </row>
    <row r="54" spans="1:29" s="502" customFormat="1" ht="13.5" customHeight="1">
      <c r="A54" s="1145"/>
      <c r="B54" s="1145"/>
      <c r="C54" s="497" t="s">
        <v>2575</v>
      </c>
      <c r="D54" s="501"/>
      <c r="E54" s="499">
        <f>IF(E47&lt;G47,G47/E47-1,E47/G47-1)</f>
        <v>0.19999999999999996</v>
      </c>
      <c r="F54" s="500" t="str">
        <f>IF(OR(E54&gt;=0.3,E54&lt;=-0.3),"超过30%","")</f>
        <v/>
      </c>
      <c r="G54" s="499">
        <f>IF(G47&lt;I47,I47/G47-1,G47/I47-1)</f>
        <v>0.15384615384615374</v>
      </c>
      <c r="H54" s="500" t="str">
        <f>IF(OR(G54&gt;=0.3,G54&lt;=-0.3),"超过30%","")</f>
        <v/>
      </c>
      <c r="I54" s="499">
        <f>IF(I47&lt;E47,E47/I47-1,I47/E47-1)</f>
        <v>4.0000000000000036E-2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4"/>
      <c r="Q57" s="504"/>
    </row>
    <row r="58" spans="1:29" s="508" customFormat="1" ht="15">
      <c r="A58" s="505" t="s">
        <v>2577</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2579</v>
      </c>
      <c r="B61" s="510"/>
      <c r="C61" s="522" t="s">
        <v>2580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2581</v>
      </c>
      <c r="B63" s="528" t="s">
        <v>2547</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2551</v>
      </c>
      <c r="C67" s="547" t="str">
        <f>C68&amp;"（含）"&amp;"-"&amp;D68</f>
        <v>2（含）-3</v>
      </c>
      <c r="D67" s="547" t="str">
        <f t="shared" ref="D67:L67" si="21">D68&amp;"（含）"&amp;"-"&amp;E68</f>
        <v>3（含）-4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2</v>
      </c>
      <c r="D68" s="549">
        <v>3</v>
      </c>
      <c r="E68" s="549">
        <v>4</v>
      </c>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0</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0</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0</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8"/>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28"/>
      <c r="Q81" s="504"/>
    </row>
    <row r="82" spans="1:17" ht="15.75" thickTop="1">
      <c r="A82" s="534"/>
      <c r="B82" s="546" t="s">
        <v>2094</v>
      </c>
      <c r="C82" s="539" t="s">
        <v>2597</v>
      </c>
      <c r="D82" s="539" t="s">
        <v>2598</v>
      </c>
      <c r="E82" s="539" t="s">
        <v>2599</v>
      </c>
      <c r="F82" s="539" t="s">
        <v>2600</v>
      </c>
      <c r="G82" s="539" t="s">
        <v>2601</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28"/>
      <c r="Q85" s="504"/>
    </row>
    <row r="86" spans="1:17" s="117" customFormat="1" ht="15.75" hidden="1" thickTop="1">
      <c r="A86" s="579"/>
      <c r="B86" s="538" t="s">
        <v>2603</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2604</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0</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0</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0</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0</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0</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2556</v>
      </c>
      <c r="B100" s="528" t="s">
        <v>2605</v>
      </c>
      <c r="C100" s="2982" t="s">
        <v>3442</v>
      </c>
      <c r="D100" s="2982" t="s">
        <v>3443</v>
      </c>
      <c r="E100" s="2982" t="s">
        <v>3444</v>
      </c>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8"/>
      <c r="Q101" s="504"/>
    </row>
    <row r="102" spans="1:17" ht="15.75" thickTop="1">
      <c r="A102" s="534"/>
      <c r="B102" s="538" t="s">
        <v>2606</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2607</v>
      </c>
      <c r="C105" s="2977" t="s">
        <v>3446</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2608</v>
      </c>
      <c r="C107" s="2978" t="s">
        <v>3448</v>
      </c>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2609</v>
      </c>
      <c r="C109" s="2977" t="s">
        <v>3450</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2610</v>
      </c>
      <c r="C114" s="2977" t="s">
        <v>3452</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2611</v>
      </c>
      <c r="C116" s="2977" t="s">
        <v>3453</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2612</v>
      </c>
      <c r="C118" s="2978" t="s">
        <v>3455</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3"/>
      <c r="O119" s="1153"/>
      <c r="P119" s="2628"/>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2613</v>
      </c>
      <c r="C122" s="2977" t="s">
        <v>3457</v>
      </c>
      <c r="D122" s="2977" t="s">
        <v>3458</v>
      </c>
      <c r="E122" s="2977" t="s">
        <v>3460</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0</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0</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6" t="s">
        <v>2618</v>
      </c>
      <c r="D138" s="146" t="s">
        <v>2619</v>
      </c>
      <c r="E138" s="2643" t="s">
        <v>2620</v>
      </c>
      <c r="F138" s="2644" t="s">
        <v>2621</v>
      </c>
      <c r="G138" s="146" t="s">
        <v>2619</v>
      </c>
      <c r="H138" s="147" t="s">
        <v>2620</v>
      </c>
      <c r="I138" s="2645"/>
      <c r="J138" s="146" t="s">
        <v>2622</v>
      </c>
      <c r="K138" s="147" t="s">
        <v>2623</v>
      </c>
    </row>
    <row r="139" spans="1:17" ht="15">
      <c r="B139" s="1084">
        <v>6</v>
      </c>
      <c r="C139" s="1085">
        <v>96</v>
      </c>
      <c r="D139" s="2646" t="s">
        <v>2624</v>
      </c>
      <c r="E139" s="1086">
        <v>100</v>
      </c>
      <c r="F139" s="1087">
        <v>102.5</v>
      </c>
      <c r="G139" s="2646" t="s">
        <v>2624</v>
      </c>
      <c r="H139" s="1088">
        <v>105</v>
      </c>
      <c r="I139" s="2647" t="s">
        <v>2625</v>
      </c>
      <c r="J139" s="1085">
        <v>20</v>
      </c>
      <c r="K139" s="1089">
        <f>C145/(J139-2)</f>
        <v>4.0555555555555553E-3</v>
      </c>
    </row>
    <row r="140" spans="1:17" ht="15">
      <c r="B140" s="1090">
        <v>5</v>
      </c>
      <c r="C140" s="1091">
        <v>100</v>
      </c>
      <c r="D140" s="1091"/>
      <c r="E140" s="1092"/>
      <c r="F140" s="1093">
        <v>102</v>
      </c>
      <c r="G140" s="1091"/>
      <c r="H140" s="1094"/>
      <c r="I140" s="2648" t="s">
        <v>2626</v>
      </c>
      <c r="J140" s="315">
        <f>ROUNDUP((J139-1)/2,0)</f>
        <v>10</v>
      </c>
      <c r="K140" s="1095">
        <v>100</v>
      </c>
    </row>
    <row r="141" spans="1:17" ht="15">
      <c r="B141" s="1090">
        <v>4</v>
      </c>
      <c r="C141" s="1091">
        <v>102</v>
      </c>
      <c r="D141" s="1091"/>
      <c r="E141" s="1092"/>
      <c r="F141" s="1093">
        <v>101.5</v>
      </c>
      <c r="G141" s="1091"/>
      <c r="H141" s="1094"/>
      <c r="I141" s="2648" t="s">
        <v>2627</v>
      </c>
      <c r="J141" s="315">
        <v>1</v>
      </c>
      <c r="K141" s="1096">
        <f>ROUND(100+(J141-J140)*K139*100,1)</f>
        <v>96.4</v>
      </c>
    </row>
    <row r="142" spans="1:17" ht="15">
      <c r="B142" s="1090">
        <v>3</v>
      </c>
      <c r="C142" s="1091">
        <v>103</v>
      </c>
      <c r="D142" s="1091"/>
      <c r="E142" s="1092"/>
      <c r="F142" s="1093">
        <v>101</v>
      </c>
      <c r="G142" s="1091"/>
      <c r="H142" s="1094"/>
      <c r="I142" s="2648" t="s">
        <v>2628</v>
      </c>
      <c r="J142" s="315">
        <f>J139</f>
        <v>20</v>
      </c>
      <c r="K142" s="1097">
        <v>95</v>
      </c>
    </row>
    <row r="143" spans="1:17" ht="15">
      <c r="B143" s="1090">
        <v>2</v>
      </c>
      <c r="C143" s="1091">
        <v>100</v>
      </c>
      <c r="D143" s="1091"/>
      <c r="E143" s="1092"/>
      <c r="F143" s="1093">
        <v>100.5</v>
      </c>
      <c r="G143" s="1091"/>
      <c r="H143" s="1094"/>
      <c r="I143" s="2648" t="s">
        <v>2629</v>
      </c>
      <c r="J143" s="1091">
        <v>15</v>
      </c>
      <c r="K143" s="1096">
        <f>ROUND(100+(J143-J140)*K139*100,1)</f>
        <v>102</v>
      </c>
    </row>
    <row r="144" spans="1:17" ht="15">
      <c r="B144" s="1090">
        <v>1</v>
      </c>
      <c r="C144" s="1091">
        <v>98</v>
      </c>
      <c r="D144" s="2649" t="s">
        <v>2630</v>
      </c>
      <c r="E144" s="1092">
        <v>102</v>
      </c>
      <c r="F144" s="1098">
        <v>100</v>
      </c>
      <c r="G144" s="2649" t="s">
        <v>2630</v>
      </c>
      <c r="H144" s="1094">
        <v>105</v>
      </c>
      <c r="I144" s="2648" t="s">
        <v>2629</v>
      </c>
      <c r="J144" s="1091">
        <v>18</v>
      </c>
      <c r="K144" s="1096">
        <f>ROUND(100+(J144-J140)*K139*100,1)</f>
        <v>103.2</v>
      </c>
    </row>
    <row r="145" spans="2:11" ht="15.75" thickBot="1">
      <c r="B145" s="2650" t="s">
        <v>2631</v>
      </c>
      <c r="C145" s="1099">
        <f>ROUND(MAX(C139:C144)/MIN(C139:C144)-1,3)</f>
        <v>7.2999999999999995E-2</v>
      </c>
      <c r="D145" s="1100"/>
      <c r="E145" s="1100"/>
      <c r="F145" s="2651" t="s">
        <v>2632</v>
      </c>
      <c r="G145" s="2652"/>
      <c r="H145" s="2653"/>
      <c r="I145" s="2654" t="s">
        <v>2629</v>
      </c>
      <c r="J145" s="1101">
        <v>8</v>
      </c>
      <c r="K145" s="1102">
        <f>ROUND(100+(J145-J140)*K139*100,1)</f>
        <v>99.2</v>
      </c>
    </row>
    <row r="147" spans="2:11">
      <c r="B147" s="2635" t="s">
        <v>2633</v>
      </c>
    </row>
    <row r="148" spans="2:11">
      <c r="B148" s="2635"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中诚信托有限责任公司：</v>
      </c>
    </row>
    <row r="4" spans="1:1" ht="54">
      <c r="A4" s="1947" t="str">
        <f>"受贵公司委托，我公司对"&amp;项目基本情况!S1&amp;"进行了预评估。"</f>
        <v>受贵公司委托，我公司对湖北省武汉市东西湖区泾河街金北一路以北、吴新干线以东“佳兆业·悦府”居住项目局部出让国有建设用地使用权及在建建筑物房地产抵押价值进行了预评估。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东西湖区泾河街金北一路以北、吴新干线以东“佳兆业·悦府”居住项目局部出让国有建设用地使用权及在建建筑物房地产，为金兆佳置业（武汉）有限公司所有。根据《国有土地使用证》[]，估价对象（分摊）出让国有建设用地使用权面积为0平方米。根据《房屋所有权证》[]、《测绘报告》[]，估价对象建筑面积为35526.12平方米。</v>
      </c>
    </row>
    <row r="8" spans="1:1" ht="57.75">
      <c r="A8" s="1950" t="s">
        <v>1610</v>
      </c>
    </row>
    <row r="9" spans="1:1" ht="18.75">
      <c r="A9" s="1949" t="s">
        <v>1611</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东西湖区泾河街金北一路以北、吴新干线以东“佳兆业·悦府”居住项目局部出让国有建设用地使用权及在建建筑物房地产,属金兆佳置业（武汉）有限公司开发建设的居住项目，该项目尚在开发建设中。根据《国有土地使用证》[]，估价对象（分摊）出让国有建设用地使用权面积为0平方米。根据《房屋所有权证》[]、《测绘报告》[]，估价对象规划建筑面积为35526.12平方米。</v>
      </c>
    </row>
    <row r="11" spans="1:1" ht="76.5">
      <c r="A11" s="1950" t="s">
        <v>1612</v>
      </c>
    </row>
    <row r="12" spans="1:1" ht="18.75">
      <c r="A12" s="1948" t="s">
        <v>1613</v>
      </c>
    </row>
    <row r="13" spans="1:1" ht="38.25" customHeight="1">
      <c r="A13" s="1951" t="str">
        <f>IF(项目基本情况!B8="抵押",IF(项目基本情况!B5=项目基本情况!B6,定义!C51,定义!B51),定义!D51)</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2019年5月16日（评估专业人员实地查勘之日）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住宅、商业，土地取得方式为出让，出让国有建设用地使用权剩余土地使用年限为住宅68.6年、商业38.6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通路、通电、通讯、通上水、通下水、燃气、平整）、红线内场地平整条件下，剩余土地使用年限为住宅68.6年、商业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27" sqref="F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3467</v>
      </c>
      <c r="E1" s="1820" t="s">
        <v>1383</v>
      </c>
      <c r="F1" s="1283">
        <f ca="1">J53</f>
        <v>36.78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0</v>
      </c>
      <c r="D5" s="1821" t="s">
        <v>1398</v>
      </c>
      <c r="E5" s="1293"/>
      <c r="F5" s="1294"/>
      <c r="G5" s="1850"/>
      <c r="H5" s="344">
        <v>1</v>
      </c>
      <c r="I5" s="345" t="s">
        <v>1397</v>
      </c>
      <c r="J5" s="1292">
        <f ca="1">J6+J10+J12</f>
        <v>0</v>
      </c>
      <c r="K5" s="1821" t="s">
        <v>1398</v>
      </c>
      <c r="L5" s="1293"/>
      <c r="M5" s="1294"/>
    </row>
    <row r="6" spans="1:37" ht="18" customHeight="1">
      <c r="A6" s="1291" t="s">
        <v>1032</v>
      </c>
      <c r="B6" s="3304" t="s">
        <v>1399</v>
      </c>
      <c r="C6" s="1296">
        <f ca="1">ROUND(F6*F8*F7*(1-F9)/10000,0)</f>
        <v>0</v>
      </c>
      <c r="D6" s="164" t="s">
        <v>3026</v>
      </c>
      <c r="E6" s="347" t="s">
        <v>1401</v>
      </c>
      <c r="F6" s="348">
        <f ca="1">INDIRECT("'数据-取费表'!u"&amp;$G$1)</f>
        <v>3</v>
      </c>
      <c r="G6" s="1850"/>
      <c r="H6" s="1291" t="s">
        <v>1032</v>
      </c>
      <c r="I6" s="3304" t="s">
        <v>1399</v>
      </c>
      <c r="J6" s="346">
        <f ca="1">ROUND(M6*M8*M7*(1-M9)/10000,0)</f>
        <v>0</v>
      </c>
      <c r="K6" s="164" t="s">
        <v>3025</v>
      </c>
      <c r="L6" s="347" t="s">
        <v>1401</v>
      </c>
      <c r="M6" s="348">
        <f ca="1">INDIRECT("'数据-取费表'!z"&amp;$G$1)</f>
        <v>0</v>
      </c>
    </row>
    <row r="7" spans="1:37" ht="18" customHeight="1">
      <c r="A7" s="1295"/>
      <c r="B7" s="3305"/>
      <c r="C7" s="1297"/>
      <c r="D7" s="352"/>
      <c r="E7" s="1298" t="s">
        <v>1402</v>
      </c>
      <c r="F7" s="348">
        <f ca="1">IF(INDIRECT("'数据-取费表'!ah"&amp;$G$1)="",INDIRECT("'数据-取费表'!k"&amp;$G$1),INDIRECT("'数据-取费表'!ah"&amp;$G$1))</f>
        <v>0</v>
      </c>
      <c r="G7" s="1850"/>
      <c r="H7" s="349"/>
      <c r="I7" s="3305"/>
      <c r="J7" s="351"/>
      <c r="K7" s="352"/>
      <c r="L7" s="347" t="s">
        <v>1402</v>
      </c>
      <c r="M7" s="348">
        <f ca="1">F7</f>
        <v>0</v>
      </c>
    </row>
    <row r="8" spans="1:37" ht="18" customHeight="1">
      <c r="A8" s="349"/>
      <c r="B8" s="3305"/>
      <c r="C8" s="351"/>
      <c r="D8" s="352"/>
      <c r="E8" s="347" t="s">
        <v>1403</v>
      </c>
      <c r="F8" s="348">
        <f ca="1">INDIRECT("'数据-取费表'!ai"&amp;$G$1)</f>
        <v>365</v>
      </c>
      <c r="G8" s="1850"/>
      <c r="H8" s="349"/>
      <c r="I8" s="3305"/>
      <c r="J8" s="351"/>
      <c r="K8" s="352"/>
      <c r="L8" s="347" t="s">
        <v>1403</v>
      </c>
      <c r="M8" s="348">
        <f ca="1">INDIRECT("'数据-取费表'!ai"&amp;$G$1)</f>
        <v>365</v>
      </c>
    </row>
    <row r="9" spans="1:37" ht="18" customHeight="1">
      <c r="A9" s="349"/>
      <c r="B9" s="3306"/>
      <c r="C9" s="351"/>
      <c r="D9" s="352"/>
      <c r="E9" s="347" t="s">
        <v>1404</v>
      </c>
      <c r="F9" s="357">
        <f ca="1">INDIRECT("'数据-取费表'!w"&amp;$G$1)</f>
        <v>0.1</v>
      </c>
      <c r="G9" s="1850"/>
      <c r="H9" s="349"/>
      <c r="I9" s="3306"/>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3035</v>
      </c>
      <c r="E10" s="358" t="s">
        <v>1406</v>
      </c>
      <c r="F10" s="1366"/>
      <c r="G10" s="1850"/>
      <c r="H10" s="1291" t="s">
        <v>1036</v>
      </c>
      <c r="I10" s="1822" t="s">
        <v>1405</v>
      </c>
      <c r="J10" s="346">
        <f ca="1">ROUND(IF(M10="押一",J6/12*M11,IF(M10="押二",J6/12*2*M11,IF(M10="押三",J6/12*3*M11,J11*M11))),0)</f>
        <v>0</v>
      </c>
      <c r="K10" s="1823" t="s">
        <v>3034</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ROUND(F17*(F43+INDIRECT("'数据-取费表'!S"&amp;$G$1))/10000,0)</f>
        <v>0</v>
      </c>
      <c r="D17" s="347" t="s">
        <v>1423</v>
      </c>
      <c r="E17" s="347" t="s">
        <v>1424</v>
      </c>
      <c r="F17" s="26">
        <f>'数据-取费表'!B35</f>
        <v>200</v>
      </c>
      <c r="G17" s="1853"/>
      <c r="H17" s="1201" t="s">
        <v>1032</v>
      </c>
      <c r="I17" s="347" t="s">
        <v>1425</v>
      </c>
      <c r="J17" s="24">
        <f ca="1">ROUND(IF(项目基本情况!B11="自然人",J5*M17,J18+J19+J20),1)</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IF(K19="按租金收入计税",ROUND(J5*M19,2),ROUND(C29*M19*0.7,2))</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ROUND(M20*M21/10000,2)</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0</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0.25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3.8E-3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7" t="s">
        <v>3468</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v>
      </c>
      <c r="D34" s="370" t="s">
        <v>1438</v>
      </c>
      <c r="E34" s="347" t="s">
        <v>1439</v>
      </c>
      <c r="F34" s="371">
        <f>'数据-取费表'!B52</f>
        <v>4</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ROUND(C29*F36,1)</f>
        <v>0</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0</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36.78</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3445</v>
      </c>
      <c r="K47" s="1881" t="s">
        <v>1523</v>
      </c>
      <c r="L47" s="1882">
        <f ca="1">INDIRECT("'数据-取费表'!d"&amp;$G$1)</f>
        <v>40</v>
      </c>
      <c r="M47" s="1837" t="str">
        <f>IF(ISNUMBER(FIND("住宅",C1)),"住宅","非住宅")</f>
        <v>非住宅</v>
      </c>
      <c r="O47" s="1883" t="s">
        <v>1037</v>
      </c>
      <c r="P47" s="1884" t="s">
        <v>1524</v>
      </c>
      <c r="Q47" s="1885">
        <f ca="1">C40+J29</f>
        <v>0</v>
      </c>
      <c r="R47" s="1885" t="s">
        <v>1525</v>
      </c>
    </row>
    <row r="48" spans="1:18" s="1841" customFormat="1" ht="28.5" thickBot="1">
      <c r="A48" s="1360" t="s">
        <v>1132</v>
      </c>
      <c r="B48" s="345" t="s">
        <v>1397</v>
      </c>
      <c r="C48" s="1816">
        <f ca="1">C49+C53+C55</f>
        <v>0</v>
      </c>
      <c r="D48" s="1362"/>
      <c r="E48" s="1363"/>
      <c r="F48" s="1181"/>
      <c r="G48" s="792"/>
      <c r="H48" s="793"/>
      <c r="I48" s="1886" t="s">
        <v>1526</v>
      </c>
      <c r="J48" s="1887" t="s">
        <v>3469</v>
      </c>
      <c r="K48" s="1888" t="s">
        <v>1527</v>
      </c>
      <c r="L48" s="1889">
        <f ca="1">INDIRECT("'数据-取费表'!f"&amp;$G$1)</f>
        <v>38.58</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3027</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0</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f ca="1">J53</f>
        <v>36.78</v>
      </c>
      <c r="R52" s="1885" t="s">
        <v>1542</v>
      </c>
    </row>
    <row r="53" spans="1:18" s="1841" customFormat="1" ht="24.75" thickBot="1">
      <c r="A53" s="1405" t="s">
        <v>1134</v>
      </c>
      <c r="B53" s="1830" t="s">
        <v>1405</v>
      </c>
      <c r="C53" s="361">
        <f ca="1">ROUND(IF(F53="押一",C49/12*F11,IF(F53="押二",C49/12*2*F11,IF(F53="押三",C49/12*3*F11,C54*F11))),0)</f>
        <v>0</v>
      </c>
      <c r="D53" s="1823" t="s">
        <v>3034</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36.78</v>
      </c>
      <c r="K53" s="3302" t="s">
        <v>1544</v>
      </c>
      <c r="L53" s="3303"/>
      <c r="O53" s="1883" t="s">
        <v>1043</v>
      </c>
      <c r="P53" s="1884" t="s">
        <v>1545</v>
      </c>
      <c r="Q53" s="1885">
        <f ca="1">Q47+Q48</f>
        <v>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0</v>
      </c>
      <c r="D56" s="1913"/>
      <c r="E56" s="1914"/>
      <c r="F56" s="1906"/>
      <c r="I56" s="1915" t="s">
        <v>1550</v>
      </c>
      <c r="J56" s="1916" t="s">
        <v>3470</v>
      </c>
      <c r="K56" s="1886" t="s">
        <v>1551</v>
      </c>
      <c r="L56" s="1889" t="str">
        <f ca="1">IF(L48&lt;J51,"——",L48-J53)</f>
        <v>——</v>
      </c>
      <c r="O56" s="1883" t="s">
        <v>1037</v>
      </c>
      <c r="P56" s="1884" t="s">
        <v>1524</v>
      </c>
      <c r="Q56" s="1885">
        <f ca="1">C40+J29</f>
        <v>0</v>
      </c>
      <c r="R56" s="1885" t="s">
        <v>1525</v>
      </c>
    </row>
    <row r="57" spans="1:18" s="1841" customFormat="1" ht="24.75" thickBot="1">
      <c r="A57" s="1917"/>
      <c r="B57" s="1169" t="s">
        <v>1474</v>
      </c>
      <c r="C57" s="282">
        <f ca="1">C29</f>
        <v>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71">
        <f t="shared" si="0"/>
        <v>4</v>
      </c>
      <c r="I62" s="1928" t="s">
        <v>1566</v>
      </c>
      <c r="J62" s="1929" t="s">
        <v>1567</v>
      </c>
      <c r="K62" s="1929" t="s">
        <v>1568</v>
      </c>
      <c r="L62" s="1929" t="s">
        <v>1569</v>
      </c>
      <c r="M62" s="1930" t="s">
        <v>1570</v>
      </c>
      <c r="O62" s="1883" t="s">
        <v>1043</v>
      </c>
      <c r="P62" s="1884" t="s">
        <v>1571</v>
      </c>
      <c r="Q62" s="1885">
        <f ca="1">Q56+Q57</f>
        <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6">
        <f t="shared" ca="1" si="0"/>
        <v>1.5E-3</v>
      </c>
      <c r="I65" s="1928" t="s">
        <v>1575</v>
      </c>
      <c r="J65" s="1929">
        <v>40</v>
      </c>
      <c r="K65" s="1929">
        <v>30</v>
      </c>
      <c r="L65" s="1929">
        <v>50</v>
      </c>
      <c r="M65" s="1931">
        <v>0.02</v>
      </c>
      <c r="O65" s="1883" t="s">
        <v>1037</v>
      </c>
      <c r="P65" s="1884" t="s">
        <v>1576</v>
      </c>
      <c r="Q65" s="1885">
        <f ca="1">C40+J29</f>
        <v>0</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f ca="1">ROUND(C67*(1-((1+F70)/(1+F68))^F69)/(F68-F70),0)</f>
        <v>0</v>
      </c>
      <c r="D68" s="1184" t="s">
        <v>1465</v>
      </c>
      <c r="E68" s="1169" t="s">
        <v>1466</v>
      </c>
      <c r="F68" s="357">
        <f ca="1">F40</f>
        <v>0.06</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36.78</v>
      </c>
      <c r="O69" s="1893" t="s">
        <v>1045</v>
      </c>
      <c r="P69" s="1933" t="s">
        <v>1580</v>
      </c>
      <c r="Q69" s="1885">
        <f ca="1">C39</f>
        <v>0</v>
      </c>
      <c r="R69" s="1885" t="s">
        <v>1525</v>
      </c>
    </row>
    <row r="70" spans="1:18" s="1841" customFormat="1" ht="13.5" thickBot="1">
      <c r="A70" s="1173"/>
      <c r="B70" s="1174"/>
      <c r="C70" s="355"/>
      <c r="D70" s="1185"/>
      <c r="E70" s="1169" t="s">
        <v>1473</v>
      </c>
      <c r="F70" s="1275"/>
      <c r="O70" s="1893" t="s">
        <v>1046</v>
      </c>
      <c r="P70" s="1933" t="s">
        <v>1581</v>
      </c>
      <c r="Q70" s="1885">
        <f ca="1">C13</f>
        <v>0</v>
      </c>
      <c r="R70" s="1885" t="s">
        <v>1525</v>
      </c>
    </row>
    <row r="71" spans="1:18" s="1841" customFormat="1" ht="13.5" thickBot="1">
      <c r="A71" s="1190" t="s">
        <v>1030</v>
      </c>
      <c r="B71" s="1191" t="s">
        <v>1483</v>
      </c>
      <c r="C71" s="382" t="e">
        <f ca="1">ROUND(C68*10000/F71,0)</f>
        <v>#DIV/0!</v>
      </c>
      <c r="D71" s="1192" t="s">
        <v>1484</v>
      </c>
      <c r="E71" s="1193" t="s">
        <v>1485</v>
      </c>
      <c r="F71" s="385">
        <f ca="1">F43</f>
        <v>0</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f ca="1">Q65+Q66</f>
        <v>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304" t="s">
        <v>1399</v>
      </c>
      <c r="C6" s="1296">
        <f ca="1">ROUND(F6*F8*F7*(1-F9),0)</f>
        <v>0</v>
      </c>
      <c r="D6" s="164" t="s">
        <v>3023</v>
      </c>
      <c r="E6" s="347" t="s">
        <v>1401</v>
      </c>
      <c r="F6" s="348">
        <f ca="1">INDIRECT("'数据-取费表'!u"&amp;$G$1)</f>
        <v>0</v>
      </c>
      <c r="G6" s="1850"/>
      <c r="H6" s="1291" t="s">
        <v>1032</v>
      </c>
      <c r="I6" s="3304" t="s">
        <v>1399</v>
      </c>
      <c r="J6" s="346">
        <f ca="1">ROUND(M6*M8*M7*(1-M9),0)</f>
        <v>0</v>
      </c>
      <c r="K6" s="1833" t="s">
        <v>3024</v>
      </c>
      <c r="L6" s="347" t="s">
        <v>1401</v>
      </c>
      <c r="M6" s="348">
        <f ca="1">INDIRECT("'数据-取费表'!z"&amp;$G$1)</f>
        <v>0</v>
      </c>
    </row>
    <row r="7" spans="1:37" ht="18" customHeight="1">
      <c r="A7" s="1295"/>
      <c r="B7" s="3305"/>
      <c r="C7" s="1297"/>
      <c r="D7" s="352"/>
      <c r="E7" s="1298" t="s">
        <v>1402</v>
      </c>
      <c r="F7" s="348">
        <f ca="1">IF(INDIRECT("'数据-取费表'!ah"&amp;$G$1)="",INDIRECT("'数据-取费表'!k"&amp;$G$1),INDIRECT("'数据-取费表'!ah"&amp;$G$1))</f>
        <v>0</v>
      </c>
      <c r="G7" s="1850"/>
      <c r="H7" s="349"/>
      <c r="I7" s="3305"/>
      <c r="J7" s="351"/>
      <c r="K7" s="352"/>
      <c r="L7" s="347" t="s">
        <v>1402</v>
      </c>
      <c r="M7" s="348">
        <f ca="1">F7</f>
        <v>0</v>
      </c>
    </row>
    <row r="8" spans="1:37" ht="18" customHeight="1">
      <c r="A8" s="349"/>
      <c r="B8" s="3305"/>
      <c r="C8" s="351"/>
      <c r="D8" s="352"/>
      <c r="E8" s="347" t="s">
        <v>1403</v>
      </c>
      <c r="F8" s="348">
        <f ca="1">INDIRECT("'数据-取费表'!ai"&amp;$G$1)</f>
        <v>0</v>
      </c>
      <c r="G8" s="1850"/>
      <c r="H8" s="349"/>
      <c r="I8" s="3305"/>
      <c r="J8" s="351"/>
      <c r="K8" s="352"/>
      <c r="L8" s="347" t="s">
        <v>1403</v>
      </c>
      <c r="M8" s="348">
        <f ca="1">INDIRECT("'数据-取费表'!ai"&amp;$G$1)</f>
        <v>0</v>
      </c>
    </row>
    <row r="9" spans="1:37" ht="18" customHeight="1">
      <c r="A9" s="349"/>
      <c r="B9" s="3306"/>
      <c r="C9" s="351"/>
      <c r="D9" s="352"/>
      <c r="E9" s="347" t="s">
        <v>1404</v>
      </c>
      <c r="F9" s="357">
        <f ca="1">INDIRECT("'数据-取费表'!w"&amp;$G$1)</f>
        <v>0</v>
      </c>
      <c r="G9" s="1850"/>
      <c r="H9" s="349"/>
      <c r="I9" s="3306"/>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3034</v>
      </c>
      <c r="E10" s="358" t="s">
        <v>1406</v>
      </c>
      <c r="F10" s="1366"/>
      <c r="G10" s="1850"/>
      <c r="H10" s="1291" t="s">
        <v>1036</v>
      </c>
      <c r="I10" s="1822" t="s">
        <v>1405</v>
      </c>
      <c r="J10" s="346">
        <f ca="1">ROUND(IF(M10="押一",J6/12*M11,IF(M10="押二",J6/12*2*M11,IF(M10="押三",J6/12*3*M11,J11*M11))),0)</f>
        <v>0</v>
      </c>
      <c r="K10" s="1834" t="s">
        <v>3036</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4</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3037</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302" t="s">
        <v>1544</v>
      </c>
      <c r="L53" s="3303"/>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2323</v>
      </c>
      <c r="B2" s="2564">
        <f ca="1">SUMIF(B6:B13,"&lt;&gt;#ref!",B6:B13)</f>
        <v>0</v>
      </c>
      <c r="C2" s="2565" t="s">
        <v>2512</v>
      </c>
      <c r="D2" s="2566" t="s">
        <v>2513</v>
      </c>
      <c r="E2" s="2567">
        <f>SUM(E6:E13)</f>
        <v>0</v>
      </c>
    </row>
    <row r="3" spans="1:6" ht="15.75">
      <c r="A3" s="2563" t="s">
        <v>1391</v>
      </c>
      <c r="B3" s="2564" t="e">
        <f ca="1">ROUND(B2*10000/E2,0)</f>
        <v>#DIV/0!</v>
      </c>
      <c r="C3" s="2565" t="s">
        <v>2520</v>
      </c>
      <c r="D3" s="2568"/>
      <c r="E3" s="2569"/>
    </row>
    <row r="4" spans="1:6" ht="15.75">
      <c r="A4" s="2570"/>
      <c r="B4" s="2568"/>
      <c r="C4" s="2568"/>
      <c r="D4" s="2568"/>
      <c r="E4" s="2569"/>
    </row>
    <row r="5" spans="1:6" ht="15">
      <c r="A5" s="2571" t="s">
        <v>2514</v>
      </c>
      <c r="B5" s="3307" t="s">
        <v>2515</v>
      </c>
      <c r="C5" s="3307"/>
      <c r="D5" s="2572"/>
      <c r="E5" s="2573" t="s">
        <v>2516</v>
      </c>
      <c r="F5" s="2574" t="s">
        <v>2517</v>
      </c>
    </row>
    <row r="6" spans="1:6">
      <c r="A6" s="2575">
        <f>'数据-取费表'!AN6</f>
        <v>0</v>
      </c>
      <c r="B6" s="2574" t="e">
        <f ca="1">IF(F6="是",'数据-取费表'!AO6,0)</f>
        <v>#REF!</v>
      </c>
      <c r="C6" s="2565" t="s">
        <v>2512</v>
      </c>
      <c r="D6" s="2568"/>
      <c r="E6" s="2576">
        <f>IF(OR(A6=0,F6="否"),0,'数据-取费表'!K6+'数据-取费表'!S6)</f>
        <v>0</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t="str">
        <f>'数据-取费表'!AN8</f>
        <v>收益法</v>
      </c>
      <c r="B8" s="2574">
        <f ca="1">IF(F8="是",'数据-取费表'!AO8,0)</f>
        <v>0</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08" t="s">
        <v>1073</v>
      </c>
      <c r="B1" s="3309"/>
      <c r="C1" s="3310"/>
      <c r="D1" s="3311">
        <f>SUM(I10,I15,I20,I21,I23)</f>
        <v>0</v>
      </c>
      <c r="E1" s="3311"/>
      <c r="F1" s="3311"/>
      <c r="G1" s="3311"/>
      <c r="H1" s="3311"/>
      <c r="I1" s="3312"/>
    </row>
    <row r="2" spans="1:9">
      <c r="A2" s="3313" t="s">
        <v>1074</v>
      </c>
      <c r="B2" s="3314" t="s">
        <v>1075</v>
      </c>
      <c r="C2" s="3314"/>
      <c r="D2" s="1301" t="s">
        <v>1076</v>
      </c>
      <c r="E2" s="1301" t="s">
        <v>1077</v>
      </c>
      <c r="F2" s="1301" t="s">
        <v>1078</v>
      </c>
      <c r="G2" s="1301" t="s">
        <v>1079</v>
      </c>
      <c r="H2" s="1301" t="s">
        <v>1080</v>
      </c>
      <c r="I2" s="1302" t="s">
        <v>1081</v>
      </c>
    </row>
    <row r="3" spans="1:9">
      <c r="A3" s="3313"/>
      <c r="B3" s="3314" t="s">
        <v>1082</v>
      </c>
      <c r="C3" s="3314"/>
      <c r="D3" s="1303"/>
      <c r="E3" s="1301"/>
      <c r="F3" s="1304"/>
      <c r="G3" s="1304"/>
      <c r="H3" s="1305"/>
      <c r="I3" s="1306">
        <f>ROUND(D3*E3*F3*G3*H3/10000,0)</f>
        <v>0</v>
      </c>
    </row>
    <row r="4" spans="1:9">
      <c r="A4" s="3313"/>
      <c r="B4" s="3314" t="s">
        <v>1083</v>
      </c>
      <c r="C4" s="3314"/>
      <c r="D4" s="1303"/>
      <c r="E4" s="1301"/>
      <c r="F4" s="1304"/>
      <c r="G4" s="1304"/>
      <c r="H4" s="1305"/>
      <c r="I4" s="1306">
        <f t="shared" ref="I4:I9" si="0">ROUND(D4*E4*F4*G4*H4/10000,0)</f>
        <v>0</v>
      </c>
    </row>
    <row r="5" spans="1:9">
      <c r="A5" s="3313"/>
      <c r="B5" s="3314" t="s">
        <v>1084</v>
      </c>
      <c r="C5" s="3314"/>
      <c r="D5" s="1303"/>
      <c r="E5" s="1301"/>
      <c r="F5" s="1304"/>
      <c r="G5" s="1304"/>
      <c r="H5" s="1305"/>
      <c r="I5" s="1306">
        <f t="shared" si="0"/>
        <v>0</v>
      </c>
    </row>
    <row r="6" spans="1:9">
      <c r="A6" s="3313"/>
      <c r="B6" s="3314" t="s">
        <v>1085</v>
      </c>
      <c r="C6" s="3314"/>
      <c r="D6" s="1303"/>
      <c r="E6" s="1301"/>
      <c r="F6" s="1304"/>
      <c r="G6" s="1304"/>
      <c r="H6" s="1305"/>
      <c r="I6" s="1306">
        <f t="shared" si="0"/>
        <v>0</v>
      </c>
    </row>
    <row r="7" spans="1:9">
      <c r="A7" s="3313"/>
      <c r="B7" s="3314" t="s">
        <v>1086</v>
      </c>
      <c r="C7" s="3314"/>
      <c r="D7" s="1303"/>
      <c r="E7" s="1301"/>
      <c r="F7" s="1304"/>
      <c r="G7" s="1304"/>
      <c r="H7" s="1305"/>
      <c r="I7" s="1306">
        <f t="shared" si="0"/>
        <v>0</v>
      </c>
    </row>
    <row r="8" spans="1:9">
      <c r="A8" s="3313"/>
      <c r="B8" s="3314" t="s">
        <v>1087</v>
      </c>
      <c r="C8" s="3314"/>
      <c r="D8" s="1303"/>
      <c r="E8" s="1301"/>
      <c r="F8" s="1304"/>
      <c r="G8" s="1304"/>
      <c r="H8" s="1305"/>
      <c r="I8" s="1306">
        <f t="shared" si="0"/>
        <v>0</v>
      </c>
    </row>
    <row r="9" spans="1:9">
      <c r="A9" s="3313"/>
      <c r="B9" s="3314" t="s">
        <v>1088</v>
      </c>
      <c r="C9" s="3314"/>
      <c r="D9" s="1303"/>
      <c r="E9" s="1301"/>
      <c r="F9" s="1304"/>
      <c r="G9" s="1304"/>
      <c r="H9" s="1305"/>
      <c r="I9" s="1306">
        <f t="shared" si="0"/>
        <v>0</v>
      </c>
    </row>
    <row r="10" spans="1:9">
      <c r="A10" s="3313"/>
      <c r="B10" s="3315" t="s">
        <v>1089</v>
      </c>
      <c r="C10" s="3315"/>
      <c r="D10" s="1307"/>
      <c r="E10" s="1307" t="e">
        <f>ROUND(D1*10000/D10/H9,0)</f>
        <v>#DIV/0!</v>
      </c>
      <c r="F10" s="1308"/>
      <c r="G10" s="1308"/>
      <c r="H10" s="1309"/>
      <c r="I10" s="1310">
        <f>SUM(I3:I9)</f>
        <v>0</v>
      </c>
    </row>
    <row r="11" spans="1:9" ht="14.25">
      <c r="A11" s="3313" t="s">
        <v>1090</v>
      </c>
      <c r="B11" s="3314" t="s">
        <v>1091</v>
      </c>
      <c r="C11" s="3314"/>
      <c r="D11" s="1303" t="s">
        <v>1092</v>
      </c>
      <c r="E11" s="1303" t="s">
        <v>1093</v>
      </c>
      <c r="F11" s="1304" t="s">
        <v>1094</v>
      </c>
      <c r="G11" s="1304" t="s">
        <v>1080</v>
      </c>
      <c r="H11" s="1311" t="s">
        <v>1095</v>
      </c>
      <c r="I11" s="1302" t="s">
        <v>1081</v>
      </c>
    </row>
    <row r="12" spans="1:9">
      <c r="A12" s="3313"/>
      <c r="B12" s="3314" t="s">
        <v>1096</v>
      </c>
      <c r="C12" s="3314"/>
      <c r="D12" s="1303"/>
      <c r="E12" s="1303"/>
      <c r="F12" s="1304"/>
      <c r="G12" s="1305"/>
      <c r="H12" s="1312"/>
      <c r="I12" s="1302">
        <f>ROUND(D12*E12*F12*G12/10000,0)</f>
        <v>0</v>
      </c>
    </row>
    <row r="13" spans="1:9">
      <c r="A13" s="3313"/>
      <c r="B13" s="3314" t="s">
        <v>1097</v>
      </c>
      <c r="C13" s="3314"/>
      <c r="D13" s="1303"/>
      <c r="E13" s="1303"/>
      <c r="F13" s="1304"/>
      <c r="G13" s="1305"/>
      <c r="H13" s="1312"/>
      <c r="I13" s="1302">
        <f>ROUND(D13*E13*F13*G13/10000,0)</f>
        <v>0</v>
      </c>
    </row>
    <row r="14" spans="1:9">
      <c r="A14" s="3313"/>
      <c r="B14" s="3314" t="s">
        <v>1098</v>
      </c>
      <c r="C14" s="3314"/>
      <c r="D14" s="1303"/>
      <c r="E14" s="1303"/>
      <c r="F14" s="1304"/>
      <c r="G14" s="1305"/>
      <c r="H14" s="1312"/>
      <c r="I14" s="1302">
        <f>ROUND(D14*E14*F14*G14/10000,0)</f>
        <v>0</v>
      </c>
    </row>
    <row r="15" spans="1:9">
      <c r="A15" s="3313"/>
      <c r="B15" s="3315" t="s">
        <v>1089</v>
      </c>
      <c r="C15" s="3315"/>
      <c r="D15" s="1307"/>
      <c r="E15" s="1307">
        <f>SUM(E12:E14)</f>
        <v>0</v>
      </c>
      <c r="F15" s="1308"/>
      <c r="G15" s="1305"/>
      <c r="H15" s="1312"/>
      <c r="I15" s="1313">
        <f>SUM(I12:I14)</f>
        <v>0</v>
      </c>
    </row>
    <row r="16" spans="1:9" ht="24">
      <c r="A16" s="3313" t="s">
        <v>1099</v>
      </c>
      <c r="B16" s="3314" t="s">
        <v>1100</v>
      </c>
      <c r="C16" s="3314"/>
      <c r="D16" s="1303" t="s">
        <v>1076</v>
      </c>
      <c r="E16" s="1314" t="s">
        <v>1101</v>
      </c>
      <c r="F16" s="1304" t="s">
        <v>1102</v>
      </c>
      <c r="G16" s="1305" t="s">
        <v>1080</v>
      </c>
      <c r="H16" s="1311" t="s">
        <v>1095</v>
      </c>
      <c r="I16" s="1302" t="s">
        <v>1081</v>
      </c>
    </row>
    <row r="17" spans="1:9" ht="14.25">
      <c r="A17" s="3313"/>
      <c r="B17" s="3314" t="s">
        <v>1103</v>
      </c>
      <c r="C17" s="3314"/>
      <c r="D17" s="1303"/>
      <c r="E17" s="1303"/>
      <c r="F17" s="1304"/>
      <c r="G17" s="1305"/>
      <c r="H17" s="1315"/>
      <c r="I17" s="1316">
        <f>ROUND(D17*E17*F17*G17/10000,0)</f>
        <v>0</v>
      </c>
    </row>
    <row r="18" spans="1:9" ht="14.25">
      <c r="A18" s="3313"/>
      <c r="B18" s="3314" t="s">
        <v>1104</v>
      </c>
      <c r="C18" s="3314"/>
      <c r="D18" s="1303"/>
      <c r="E18" s="1303"/>
      <c r="F18" s="1304"/>
      <c r="G18" s="1305"/>
      <c r="H18" s="1315"/>
      <c r="I18" s="1316">
        <f>ROUND(D18*E18*F18*G18/10000,0)</f>
        <v>0</v>
      </c>
    </row>
    <row r="19" spans="1:9" ht="14.25">
      <c r="A19" s="3313"/>
      <c r="B19" s="3314" t="s">
        <v>1105</v>
      </c>
      <c r="C19" s="3314"/>
      <c r="D19" s="1303"/>
      <c r="E19" s="1303"/>
      <c r="F19" s="1304"/>
      <c r="G19" s="1305"/>
      <c r="H19" s="1315"/>
      <c r="I19" s="1316">
        <f>ROUND(D19*E19*F19*G19/10000,0)</f>
        <v>0</v>
      </c>
    </row>
    <row r="20" spans="1:9">
      <c r="A20" s="3313"/>
      <c r="B20" s="3315" t="s">
        <v>1089</v>
      </c>
      <c r="C20" s="3315"/>
      <c r="D20" s="1307">
        <f>SUM(D17:D19)</f>
        <v>0</v>
      </c>
      <c r="E20" s="1307"/>
      <c r="F20" s="1308"/>
      <c r="G20" s="1305"/>
      <c r="H20" s="1312"/>
      <c r="I20" s="1313">
        <f>SUM(I17:I19)</f>
        <v>0</v>
      </c>
    </row>
    <row r="21" spans="1:9">
      <c r="A21" s="3313" t="s">
        <v>1106</v>
      </c>
      <c r="B21" s="3317"/>
      <c r="C21" s="3317"/>
      <c r="D21" s="3317"/>
      <c r="E21" s="3317"/>
      <c r="F21" s="3317"/>
      <c r="G21" s="3317"/>
      <c r="H21" s="1764">
        <v>0.1</v>
      </c>
      <c r="I21" s="1310">
        <f>ROUND(I10*H21,0)</f>
        <v>0</v>
      </c>
    </row>
    <row r="22" spans="1:9" ht="14.25">
      <c r="A22" s="3318" t="s">
        <v>1107</v>
      </c>
      <c r="B22" s="3319"/>
      <c r="C22" s="3320"/>
      <c r="D22" s="1317" t="s">
        <v>1108</v>
      </c>
      <c r="E22" s="1317" t="s">
        <v>1109</v>
      </c>
      <c r="F22" s="1318" t="s">
        <v>1110</v>
      </c>
      <c r="G22" s="1318" t="s">
        <v>1111</v>
      </c>
      <c r="H22" s="1311" t="s">
        <v>1112</v>
      </c>
      <c r="I22" s="1302" t="s">
        <v>1113</v>
      </c>
    </row>
    <row r="23" spans="1:9" ht="14.25" thickBot="1">
      <c r="A23" s="3321"/>
      <c r="B23" s="3322"/>
      <c r="C23" s="3323"/>
      <c r="D23" s="1319"/>
      <c r="E23" s="1319"/>
      <c r="F23" s="1319"/>
      <c r="G23" s="1320"/>
      <c r="H23" s="1321"/>
      <c r="I23" s="1322">
        <f>ROUND(E23*D23*F23*(1-G23)/10000,0)</f>
        <v>0</v>
      </c>
    </row>
    <row r="26" spans="1:9">
      <c r="A26" s="1323" t="s">
        <v>1114</v>
      </c>
      <c r="B26" s="1323"/>
      <c r="C26" s="1323"/>
      <c r="D26" s="1323"/>
      <c r="E26" s="3324">
        <f>C27-C30-C31-C32</f>
        <v>0</v>
      </c>
      <c r="F26" s="3324"/>
      <c r="G26" s="3324"/>
      <c r="H26" s="1736" t="s">
        <v>1336</v>
      </c>
    </row>
    <row r="27" spans="1:9">
      <c r="A27" s="1324">
        <v>1</v>
      </c>
      <c r="B27" s="1325" t="s">
        <v>1115</v>
      </c>
      <c r="C27" s="1325">
        <f>C28+C29</f>
        <v>0</v>
      </c>
      <c r="D27" s="1325"/>
      <c r="E27" s="3325"/>
      <c r="F27" s="3325"/>
      <c r="G27" s="3325"/>
    </row>
    <row r="28" spans="1:9">
      <c r="A28" s="1326" t="s">
        <v>1116</v>
      </c>
      <c r="B28" s="1325" t="s">
        <v>1117</v>
      </c>
      <c r="C28" s="1325"/>
      <c r="D28" s="1325"/>
      <c r="E28" s="3325"/>
      <c r="F28" s="3325"/>
      <c r="G28" s="332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6"/>
      <c r="F32" s="3316"/>
      <c r="G32" s="3316"/>
    </row>
    <row r="33" spans="1:7" hidden="1">
      <c r="A33" s="3326" t="s">
        <v>1126</v>
      </c>
      <c r="B33" s="3327"/>
      <c r="C33" s="3327"/>
      <c r="D33" s="3328"/>
      <c r="E33" s="3324"/>
      <c r="F33" s="3324"/>
      <c r="G33" s="3324"/>
    </row>
    <row r="34" spans="1:7" hidden="1">
      <c r="A34" s="1328">
        <v>1</v>
      </c>
      <c r="B34" s="1325" t="s">
        <v>1127</v>
      </c>
      <c r="C34" s="1325"/>
      <c r="D34" s="1325"/>
      <c r="E34" s="3325"/>
      <c r="F34" s="3325"/>
      <c r="G34" s="3325"/>
    </row>
    <row r="35" spans="1:7" hidden="1">
      <c r="A35" s="1328">
        <v>2</v>
      </c>
      <c r="B35" s="1325" t="s">
        <v>1128</v>
      </c>
      <c r="C35" s="1325"/>
      <c r="D35" s="1325"/>
      <c r="E35" s="3325"/>
      <c r="F35" s="3325"/>
      <c r="G35" s="3325"/>
    </row>
    <row r="36" spans="1:7" hidden="1">
      <c r="A36" s="1328">
        <v>3</v>
      </c>
      <c r="B36" s="1325" t="s">
        <v>1129</v>
      </c>
      <c r="C36" s="1325"/>
      <c r="D36" s="1325"/>
      <c r="E36" s="3325"/>
      <c r="F36" s="3325"/>
      <c r="G36" s="3325"/>
    </row>
    <row r="37" spans="1:7" hidden="1">
      <c r="A37" s="1328">
        <v>4</v>
      </c>
      <c r="B37" s="1325" t="s">
        <v>1130</v>
      </c>
      <c r="C37" s="1325"/>
      <c r="D37" s="1325"/>
      <c r="E37" s="3325"/>
      <c r="F37" s="3325"/>
      <c r="G37" s="3325"/>
    </row>
    <row r="38" spans="1:7" hidden="1">
      <c r="A38" s="3326" t="s">
        <v>1131</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81" t="s">
        <v>2635</v>
      </c>
      <c r="C1" s="1633" t="s">
        <v>2523</v>
      </c>
      <c r="D1" s="1620"/>
      <c r="E1" s="2655"/>
      <c r="F1" s="2583"/>
      <c r="G1" s="1630" t="s">
        <v>2636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2325</v>
      </c>
      <c r="B3" s="609" t="e">
        <f ca="1">IF(C2="——",C49,ROUND(B2*10000/D3,0))</f>
        <v>#DIV/0!</v>
      </c>
      <c r="C3" s="400" t="s">
        <v>2637</v>
      </c>
      <c r="D3" s="399">
        <f>IF(D1="",'数据-汇总表'!E3,SUMIF('数据-汇总表'!$C19:$C33,D1,'数据-汇总表'!$E19:$E33))</f>
        <v>35526.120000000024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80"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80"/>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80"/>
      <c r="AC6" s="3252"/>
    </row>
    <row r="7" spans="1:29" s="117" customFormat="1" ht="15.75" thickBot="1">
      <c r="A7" s="408" t="s">
        <v>2541</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3"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91"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91"/>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91"/>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91"/>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91"/>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91"/>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0" t="s">
        <v>2553</v>
      </c>
      <c r="Q15" s="1809" t="str">
        <f t="shared" si="6"/>
        <v>商业繁华度</v>
      </c>
      <c r="R15" s="774" t="s">
        <v>17</v>
      </c>
      <c r="S15" s="775">
        <f t="shared" si="0"/>
        <v>100</v>
      </c>
      <c r="T15" s="774" t="s">
        <v>17</v>
      </c>
      <c r="U15" s="775">
        <f t="shared" si="1"/>
        <v>100</v>
      </c>
      <c r="V15" s="774" t="s">
        <v>17</v>
      </c>
      <c r="W15" s="775">
        <f t="shared" si="2"/>
        <v>100</v>
      </c>
      <c r="X15" s="1812"/>
      <c r="Y15" s="3282" t="s">
        <v>2553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01"/>
      <c r="Q16" s="1809"/>
      <c r="R16" s="774"/>
      <c r="S16" s="775"/>
      <c r="T16" s="774"/>
      <c r="U16" s="775"/>
      <c r="V16" s="774"/>
      <c r="W16" s="775"/>
      <c r="X16" s="1812"/>
      <c r="Y16" s="3283"/>
      <c r="Z16" s="1813"/>
      <c r="AA16" s="1810">
        <v>1</v>
      </c>
      <c r="AB16" s="1810">
        <v>1</v>
      </c>
      <c r="AC16" s="1810">
        <v>1</v>
      </c>
    </row>
    <row r="17" spans="1:29" ht="85.5">
      <c r="A17" s="428"/>
      <c r="B17" s="451" t="s">
        <v>2093</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1"/>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01"/>
      <c r="Q18" s="1809"/>
      <c r="R18" s="774"/>
      <c r="S18" s="775"/>
      <c r="T18" s="774"/>
      <c r="U18" s="775"/>
      <c r="V18" s="774"/>
      <c r="W18" s="775"/>
      <c r="X18" s="1812"/>
      <c r="Y18" s="3283"/>
      <c r="Z18" s="1813"/>
      <c r="AA18" s="1810">
        <v>1</v>
      </c>
      <c r="AB18" s="1810">
        <v>1</v>
      </c>
      <c r="AC18" s="1810">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1"/>
      <c r="Q19" s="1809" t="str">
        <f>B19</f>
        <v>公共配套设施</v>
      </c>
      <c r="R19" s="774" t="s">
        <v>17</v>
      </c>
      <c r="S19" s="775">
        <f>F19</f>
        <v>100</v>
      </c>
      <c r="T19" s="774" t="s">
        <v>17</v>
      </c>
      <c r="U19" s="775">
        <f>H19</f>
        <v>100</v>
      </c>
      <c r="V19" s="774" t="s">
        <v>17</v>
      </c>
      <c r="W19" s="775">
        <f>J19</f>
        <v>100</v>
      </c>
      <c r="X19" s="1812"/>
      <c r="Y19" s="328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01"/>
      <c r="Q20" s="1809"/>
      <c r="R20" s="774"/>
      <c r="S20" s="775"/>
      <c r="T20" s="774"/>
      <c r="U20" s="775"/>
      <c r="V20" s="774"/>
      <c r="W20" s="775"/>
      <c r="X20" s="1812"/>
      <c r="Y20" s="3283"/>
      <c r="Z20" s="1813"/>
      <c r="AA20" s="1810">
        <v>1</v>
      </c>
      <c r="AB20" s="1810">
        <v>1</v>
      </c>
      <c r="AC20" s="1810">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1"/>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01"/>
      <c r="Q22" s="1809"/>
      <c r="R22" s="774"/>
      <c r="S22" s="775"/>
      <c r="T22" s="774"/>
      <c r="U22" s="775"/>
      <c r="V22" s="774"/>
      <c r="W22" s="775"/>
      <c r="X22" s="1812"/>
      <c r="Y22" s="3283"/>
      <c r="Z22" s="1813"/>
      <c r="AA22" s="1810">
        <v>1</v>
      </c>
      <c r="AB22" s="1810">
        <v>1</v>
      </c>
      <c r="AC22" s="1810">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1"/>
      <c r="Q23" s="1809" t="str">
        <f>B23</f>
        <v>自然及人文环境</v>
      </c>
      <c r="R23" s="774" t="s">
        <v>17</v>
      </c>
      <c r="S23" s="775">
        <f>F23</f>
        <v>100</v>
      </c>
      <c r="T23" s="774" t="s">
        <v>17</v>
      </c>
      <c r="U23" s="775">
        <f>H23</f>
        <v>100</v>
      </c>
      <c r="V23" s="774" t="s">
        <v>17</v>
      </c>
      <c r="W23" s="775">
        <f>J23</f>
        <v>100</v>
      </c>
      <c r="X23" s="1812"/>
      <c r="Y23" s="3283"/>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01"/>
      <c r="Q24" s="1809"/>
      <c r="R24" s="774"/>
      <c r="S24" s="775"/>
      <c r="T24" s="774"/>
      <c r="U24" s="775"/>
      <c r="V24" s="774"/>
      <c r="W24" s="775"/>
      <c r="X24" s="1812"/>
      <c r="Y24" s="3283"/>
      <c r="Z24" s="1813"/>
      <c r="AA24" s="1810">
        <v>1</v>
      </c>
      <c r="AB24" s="1810">
        <v>1</v>
      </c>
      <c r="AC24" s="1810">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1"/>
      <c r="Q25" s="1809" t="str">
        <f t="shared" ref="Q25:Q46" si="11">B25</f>
        <v>临街状况</v>
      </c>
      <c r="R25" s="774" t="s">
        <v>17</v>
      </c>
      <c r="S25" s="775">
        <f>F25</f>
        <v>100</v>
      </c>
      <c r="T25" s="774" t="s">
        <v>17</v>
      </c>
      <c r="U25" s="775">
        <f>H25</f>
        <v>100</v>
      </c>
      <c r="V25" s="774" t="s">
        <v>17</v>
      </c>
      <c r="W25" s="775">
        <f>J25</f>
        <v>100</v>
      </c>
      <c r="X25" s="1812"/>
      <c r="Y25" s="3283"/>
      <c r="Z25" s="1813" t="str">
        <f>Q25</f>
        <v>临街状况</v>
      </c>
      <c r="AA25" s="1810">
        <f t="shared" si="3"/>
        <v>1</v>
      </c>
      <c r="AB25" s="1810">
        <f t="shared" si="4"/>
        <v>1</v>
      </c>
      <c r="AC25" s="1810">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1"/>
      <c r="Q26" s="1809" t="str">
        <f t="shared" si="11"/>
        <v>平面位置/可视性</v>
      </c>
      <c r="R26" s="774" t="s">
        <v>17</v>
      </c>
      <c r="S26" s="775">
        <f>F26</f>
        <v>100</v>
      </c>
      <c r="T26" s="774" t="s">
        <v>17</v>
      </c>
      <c r="U26" s="775">
        <f>H26</f>
        <v>100</v>
      </c>
      <c r="V26" s="774" t="s">
        <v>17</v>
      </c>
      <c r="W26" s="775">
        <f>J26</f>
        <v>100</v>
      </c>
      <c r="X26" s="1812"/>
      <c r="Y26" s="3283"/>
      <c r="Z26" s="1813" t="str">
        <f>Q26</f>
        <v>平面位置/可视性</v>
      </c>
      <c r="AA26" s="1810">
        <f t="shared" si="3"/>
        <v>1</v>
      </c>
      <c r="AB26" s="1810">
        <f t="shared" si="4"/>
        <v>1</v>
      </c>
      <c r="AC26" s="1810">
        <f t="shared" si="5"/>
        <v>1</v>
      </c>
    </row>
    <row r="27" spans="1:29" s="117" customFormat="1" ht="15">
      <c r="A27" s="431"/>
      <c r="B27" s="451" t="s">
        <v>2651</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01"/>
      <c r="Q27" s="1794" t="str">
        <f t="shared" si="11"/>
        <v>人流量</v>
      </c>
      <c r="R27" s="770" t="s">
        <v>17</v>
      </c>
      <c r="S27" s="771">
        <f>F27</f>
        <v>100</v>
      </c>
      <c r="T27" s="770" t="s">
        <v>17</v>
      </c>
      <c r="U27" s="771">
        <f>H27</f>
        <v>100</v>
      </c>
      <c r="V27" s="770" t="s">
        <v>17</v>
      </c>
      <c r="W27" s="771">
        <f>J27</f>
        <v>100</v>
      </c>
      <c r="X27" s="772"/>
      <c r="Y27" s="3283"/>
      <c r="Z27" s="55" t="str">
        <f>Q27</f>
        <v>人流量</v>
      </c>
      <c r="AA27" s="1810">
        <f>D27/F27</f>
        <v>1</v>
      </c>
      <c r="AB27" s="1810">
        <f>D27/H27</f>
        <v>1</v>
      </c>
      <c r="AC27" s="1810">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8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1"/>
      <c r="Q29" s="1809">
        <f t="shared" si="11"/>
        <v>111</v>
      </c>
      <c r="R29" s="774" t="s">
        <v>17</v>
      </c>
      <c r="S29" s="775">
        <f t="shared" si="12"/>
        <v>100</v>
      </c>
      <c r="T29" s="774" t="s">
        <v>17</v>
      </c>
      <c r="U29" s="775">
        <f t="shared" si="13"/>
        <v>100</v>
      </c>
      <c r="V29" s="774" t="s">
        <v>17</v>
      </c>
      <c r="W29" s="775">
        <f t="shared" si="14"/>
        <v>100</v>
      </c>
      <c r="X29" s="1812"/>
      <c r="Y29" s="328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1"/>
      <c r="Q30" s="1809">
        <f t="shared" si="11"/>
        <v>111</v>
      </c>
      <c r="R30" s="774" t="s">
        <v>17</v>
      </c>
      <c r="S30" s="775">
        <f t="shared" si="12"/>
        <v>100</v>
      </c>
      <c r="T30" s="774" t="s">
        <v>17</v>
      </c>
      <c r="U30" s="775">
        <f t="shared" si="13"/>
        <v>100</v>
      </c>
      <c r="V30" s="774" t="s">
        <v>17</v>
      </c>
      <c r="W30" s="775">
        <f t="shared" si="14"/>
        <v>100</v>
      </c>
      <c r="X30" s="1812"/>
      <c r="Y30" s="328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1"/>
      <c r="Q31" s="1809">
        <f t="shared" si="11"/>
        <v>111</v>
      </c>
      <c r="R31" s="774" t="s">
        <v>17</v>
      </c>
      <c r="S31" s="775">
        <f t="shared" si="12"/>
        <v>100</v>
      </c>
      <c r="T31" s="774" t="s">
        <v>17</v>
      </c>
      <c r="U31" s="775">
        <f t="shared" si="13"/>
        <v>100</v>
      </c>
      <c r="V31" s="774" t="s">
        <v>17</v>
      </c>
      <c r="W31" s="775">
        <f t="shared" si="14"/>
        <v>100</v>
      </c>
      <c r="X31" s="1812"/>
      <c r="Y31" s="3283"/>
      <c r="Z31" s="1813">
        <f t="shared" si="15"/>
        <v>111</v>
      </c>
      <c r="AA31" s="1810">
        <f t="shared" si="3"/>
        <v>1</v>
      </c>
      <c r="AB31" s="1810">
        <f t="shared" si="4"/>
        <v>1</v>
      </c>
      <c r="AC31" s="1810">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96" t="s">
        <v>2558</v>
      </c>
      <c r="Q32" s="1809" t="str">
        <f t="shared" si="11"/>
        <v>商业类型</v>
      </c>
      <c r="R32" s="774" t="s">
        <v>17</v>
      </c>
      <c r="S32" s="775">
        <f t="shared" si="12"/>
        <v>100</v>
      </c>
      <c r="T32" s="774" t="s">
        <v>17</v>
      </c>
      <c r="U32" s="775">
        <f t="shared" si="13"/>
        <v>100</v>
      </c>
      <c r="V32" s="774" t="s">
        <v>17</v>
      </c>
      <c r="W32" s="775">
        <f t="shared" si="14"/>
        <v>100</v>
      </c>
      <c r="X32" s="1812"/>
      <c r="Y32" s="3285" t="s">
        <v>2558</v>
      </c>
      <c r="Z32" s="1813" t="str">
        <f t="shared" si="15"/>
        <v>商业类型</v>
      </c>
      <c r="AA32" s="1810">
        <f t="shared" si="3"/>
        <v>1</v>
      </c>
      <c r="AB32" s="1810">
        <f t="shared" si="4"/>
        <v>1</v>
      </c>
      <c r="AC32" s="1810">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7"/>
      <c r="Q33" s="776" t="str">
        <f t="shared" si="11"/>
        <v>项目建筑规模</v>
      </c>
      <c r="R33" s="777" t="s">
        <v>17</v>
      </c>
      <c r="S33" s="778" t="e">
        <f t="shared" si="12"/>
        <v>#N/A</v>
      </c>
      <c r="T33" s="777" t="s">
        <v>17</v>
      </c>
      <c r="U33" s="778" t="e">
        <f t="shared" si="13"/>
        <v>#N/A</v>
      </c>
      <c r="V33" s="777" t="s">
        <v>17</v>
      </c>
      <c r="W33" s="778" t="e">
        <f t="shared" si="14"/>
        <v>#N/A</v>
      </c>
      <c r="X33" s="779"/>
      <c r="Y33" s="3285"/>
      <c r="Z33" s="780" t="str">
        <f t="shared" si="15"/>
        <v>项目建筑规模</v>
      </c>
      <c r="AA33" s="1810" t="e">
        <f t="shared" si="3"/>
        <v>#N/A</v>
      </c>
      <c r="AB33" s="1810" t="e">
        <f t="shared" si="4"/>
        <v>#N/A</v>
      </c>
      <c r="AC33" s="1810"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97"/>
      <c r="Q34" s="1809" t="str">
        <f t="shared" si="11"/>
        <v>建筑结构</v>
      </c>
      <c r="R34" s="774" t="s">
        <v>17</v>
      </c>
      <c r="S34" s="775">
        <f t="shared" si="12"/>
        <v>100</v>
      </c>
      <c r="T34" s="774" t="s">
        <v>17</v>
      </c>
      <c r="U34" s="775">
        <f t="shared" si="13"/>
        <v>100</v>
      </c>
      <c r="V34" s="774" t="s">
        <v>17</v>
      </c>
      <c r="W34" s="775">
        <f t="shared" si="14"/>
        <v>100</v>
      </c>
      <c r="X34" s="1812"/>
      <c r="Y34" s="3285"/>
      <c r="Z34" s="1813" t="str">
        <f t="shared" si="15"/>
        <v>建筑结构</v>
      </c>
      <c r="AA34" s="1810">
        <f t="shared" si="3"/>
        <v>1</v>
      </c>
      <c r="AB34" s="1810">
        <f t="shared" si="4"/>
        <v>1</v>
      </c>
      <c r="AC34" s="1810">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97"/>
      <c r="Q35" s="1809" t="str">
        <f t="shared" si="11"/>
        <v>公共部分装修</v>
      </c>
      <c r="R35" s="774" t="s">
        <v>17</v>
      </c>
      <c r="S35" s="775">
        <f t="shared" si="12"/>
        <v>100</v>
      </c>
      <c r="T35" s="774" t="s">
        <v>17</v>
      </c>
      <c r="U35" s="775">
        <f t="shared" si="13"/>
        <v>100</v>
      </c>
      <c r="V35" s="774" t="s">
        <v>17</v>
      </c>
      <c r="W35" s="775">
        <f t="shared" si="14"/>
        <v>100</v>
      </c>
      <c r="X35" s="1812"/>
      <c r="Y35" s="3285"/>
      <c r="Z35" s="1813" t="str">
        <f t="shared" si="15"/>
        <v>公共部分装修</v>
      </c>
      <c r="AA35" s="1810">
        <f t="shared" si="3"/>
        <v>1</v>
      </c>
      <c r="AB35" s="1810">
        <f t="shared" si="4"/>
        <v>1</v>
      </c>
      <c r="AC35" s="1810">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7"/>
      <c r="Q36" s="1809" t="str">
        <f t="shared" si="11"/>
        <v>成新度</v>
      </c>
      <c r="R36" s="774" t="s">
        <v>17</v>
      </c>
      <c r="S36" s="775" t="e">
        <f t="shared" si="12"/>
        <v>#N/A</v>
      </c>
      <c r="T36" s="774" t="s">
        <v>17</v>
      </c>
      <c r="U36" s="775" t="e">
        <f t="shared" si="13"/>
        <v>#N/A</v>
      </c>
      <c r="V36" s="774" t="s">
        <v>17</v>
      </c>
      <c r="W36" s="775" t="e">
        <f t="shared" si="14"/>
        <v>#N/A</v>
      </c>
      <c r="X36" s="1812"/>
      <c r="Y36" s="3285"/>
      <c r="Z36" s="1813" t="str">
        <f t="shared" si="15"/>
        <v>成新度</v>
      </c>
      <c r="AA36" s="1810" t="e">
        <f t="shared" si="3"/>
        <v>#N/A</v>
      </c>
      <c r="AB36" s="1810" t="e">
        <f t="shared" si="4"/>
        <v>#N/A</v>
      </c>
      <c r="AC36" s="1810"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97"/>
      <c r="Q37" s="1794" t="str">
        <f t="shared" si="11"/>
        <v>市政基础设施</v>
      </c>
      <c r="R37" s="770" t="s">
        <v>17</v>
      </c>
      <c r="S37" s="771">
        <f t="shared" si="12"/>
        <v>100</v>
      </c>
      <c r="T37" s="770" t="s">
        <v>17</v>
      </c>
      <c r="U37" s="771">
        <f t="shared" si="13"/>
        <v>100</v>
      </c>
      <c r="V37" s="770" t="s">
        <v>17</v>
      </c>
      <c r="W37" s="771">
        <f t="shared" si="14"/>
        <v>100</v>
      </c>
      <c r="X37" s="772"/>
      <c r="Y37" s="3285"/>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97" t="s">
        <v>2558</v>
      </c>
      <c r="Q38" s="1809" t="str">
        <f t="shared" si="11"/>
        <v>业态</v>
      </c>
      <c r="R38" s="774" t="s">
        <v>17</v>
      </c>
      <c r="S38" s="775">
        <f t="shared" si="12"/>
        <v>100</v>
      </c>
      <c r="T38" s="774" t="s">
        <v>17</v>
      </c>
      <c r="U38" s="775">
        <f t="shared" si="13"/>
        <v>100</v>
      </c>
      <c r="V38" s="774" t="s">
        <v>17</v>
      </c>
      <c r="W38" s="775">
        <f t="shared" si="14"/>
        <v>100</v>
      </c>
      <c r="X38" s="1812"/>
      <c r="Y38" s="3285" t="s">
        <v>2558</v>
      </c>
      <c r="Z38" s="1813" t="str">
        <f t="shared" si="15"/>
        <v>业态</v>
      </c>
      <c r="AA38" s="1810">
        <f t="shared" si="3"/>
        <v>1</v>
      </c>
      <c r="AB38" s="1810">
        <f t="shared" si="4"/>
        <v>1</v>
      </c>
      <c r="AC38" s="1810">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97"/>
      <c r="Q39" s="1809" t="str">
        <f t="shared" si="11"/>
        <v>层高</v>
      </c>
      <c r="R39" s="774" t="s">
        <v>17</v>
      </c>
      <c r="S39" s="775">
        <f t="shared" si="12"/>
        <v>100</v>
      </c>
      <c r="T39" s="774" t="s">
        <v>17</v>
      </c>
      <c r="U39" s="775">
        <f t="shared" si="13"/>
        <v>100</v>
      </c>
      <c r="V39" s="774" t="s">
        <v>17</v>
      </c>
      <c r="W39" s="775">
        <f t="shared" si="14"/>
        <v>100</v>
      </c>
      <c r="X39" s="1812"/>
      <c r="Y39" s="3285"/>
      <c r="Z39" s="1813" t="str">
        <f t="shared" si="15"/>
        <v>层高</v>
      </c>
      <c r="AA39" s="1810">
        <f t="shared" si="3"/>
        <v>1</v>
      </c>
      <c r="AB39" s="1810">
        <f t="shared" si="4"/>
        <v>1</v>
      </c>
      <c r="AC39" s="1810">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7"/>
      <c r="Q40" s="1809" t="str">
        <f t="shared" si="11"/>
        <v>单套建筑面积</v>
      </c>
      <c r="R40" s="774" t="s">
        <v>17</v>
      </c>
      <c r="S40" s="775">
        <f t="shared" si="12"/>
        <v>100</v>
      </c>
      <c r="T40" s="774" t="s">
        <v>17</v>
      </c>
      <c r="U40" s="775">
        <f t="shared" si="13"/>
        <v>100</v>
      </c>
      <c r="V40" s="774" t="s">
        <v>17</v>
      </c>
      <c r="W40" s="775">
        <f t="shared" si="14"/>
        <v>100</v>
      </c>
      <c r="X40" s="1812"/>
      <c r="Y40" s="3285"/>
      <c r="Z40" s="1813" t="str">
        <f t="shared" si="15"/>
        <v>单套建筑面积</v>
      </c>
      <c r="AA40" s="1810">
        <f t="shared" si="3"/>
        <v>1</v>
      </c>
      <c r="AB40" s="1810">
        <f t="shared" si="4"/>
        <v>1</v>
      </c>
      <c r="AC40" s="1810">
        <f t="shared" si="5"/>
        <v>1</v>
      </c>
    </row>
    <row r="41" spans="1:29" s="471" customFormat="1" ht="15">
      <c r="A41" s="468"/>
      <c r="B41" s="1811"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7"/>
      <c r="Q41" s="776" t="str">
        <f t="shared" si="11"/>
        <v>进深比</v>
      </c>
      <c r="R41" s="777" t="s">
        <v>17</v>
      </c>
      <c r="S41" s="778">
        <f t="shared" si="12"/>
        <v>100</v>
      </c>
      <c r="T41" s="777" t="s">
        <v>17</v>
      </c>
      <c r="U41" s="778">
        <f t="shared" si="13"/>
        <v>100</v>
      </c>
      <c r="V41" s="777" t="s">
        <v>17</v>
      </c>
      <c r="W41" s="778">
        <f t="shared" si="14"/>
        <v>100</v>
      </c>
      <c r="X41" s="779"/>
      <c r="Y41" s="3285"/>
      <c r="Z41" s="780" t="str">
        <f t="shared" si="15"/>
        <v>进深比</v>
      </c>
      <c r="AA41" s="1810">
        <f t="shared" si="3"/>
        <v>1</v>
      </c>
      <c r="AB41" s="1810">
        <f t="shared" si="4"/>
        <v>1</v>
      </c>
      <c r="AC41" s="1810">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97"/>
      <c r="Q42" s="1809" t="str">
        <f t="shared" si="11"/>
        <v>内部装修</v>
      </c>
      <c r="R42" s="774" t="s">
        <v>17</v>
      </c>
      <c r="S42" s="775">
        <f t="shared" si="12"/>
        <v>100</v>
      </c>
      <c r="T42" s="774" t="s">
        <v>17</v>
      </c>
      <c r="U42" s="775">
        <f t="shared" si="13"/>
        <v>100</v>
      </c>
      <c r="V42" s="774" t="s">
        <v>17</v>
      </c>
      <c r="W42" s="775">
        <f t="shared" si="14"/>
        <v>100</v>
      </c>
      <c r="X42" s="1812"/>
      <c r="Y42" s="3285"/>
      <c r="Z42" s="1813" t="str">
        <f t="shared" si="15"/>
        <v>内部装修</v>
      </c>
      <c r="AA42" s="1810">
        <f t="shared" si="3"/>
        <v>1</v>
      </c>
      <c r="AB42" s="1810">
        <f t="shared" si="4"/>
        <v>1</v>
      </c>
      <c r="AC42" s="1810">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97"/>
      <c r="Q43" s="1809" t="str">
        <f t="shared" si="11"/>
        <v>内部装修维护情况</v>
      </c>
      <c r="R43" s="774" t="s">
        <v>17</v>
      </c>
      <c r="S43" s="775">
        <f t="shared" si="12"/>
        <v>100</v>
      </c>
      <c r="T43" s="774" t="s">
        <v>17</v>
      </c>
      <c r="U43" s="775">
        <f t="shared" si="13"/>
        <v>100</v>
      </c>
      <c r="V43" s="774" t="s">
        <v>17</v>
      </c>
      <c r="W43" s="775">
        <f t="shared" si="14"/>
        <v>100</v>
      </c>
      <c r="X43" s="1812"/>
      <c r="Y43" s="328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7"/>
      <c r="Q44" s="1794">
        <f t="shared" si="11"/>
        <v>111</v>
      </c>
      <c r="R44" s="770" t="s">
        <v>17</v>
      </c>
      <c r="S44" s="771">
        <f t="shared" si="12"/>
        <v>100</v>
      </c>
      <c r="T44" s="770" t="s">
        <v>17</v>
      </c>
      <c r="U44" s="771">
        <f t="shared" si="13"/>
        <v>100</v>
      </c>
      <c r="V44" s="770" t="s">
        <v>17</v>
      </c>
      <c r="W44" s="771">
        <f t="shared" si="14"/>
        <v>100</v>
      </c>
      <c r="X44" s="772"/>
      <c r="Y44" s="32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7"/>
      <c r="Q45" s="1809">
        <f t="shared" si="11"/>
        <v>111</v>
      </c>
      <c r="R45" s="774" t="s">
        <v>17</v>
      </c>
      <c r="S45" s="775">
        <f t="shared" si="12"/>
        <v>100</v>
      </c>
      <c r="T45" s="774" t="s">
        <v>17</v>
      </c>
      <c r="U45" s="775">
        <f t="shared" si="13"/>
        <v>100</v>
      </c>
      <c r="V45" s="774" t="s">
        <v>17</v>
      </c>
      <c r="W45" s="775">
        <f t="shared" si="14"/>
        <v>100</v>
      </c>
      <c r="X45" s="1812"/>
      <c r="Y45" s="3285"/>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8"/>
      <c r="Q46" s="1809">
        <f t="shared" si="11"/>
        <v>111</v>
      </c>
      <c r="R46" s="774" t="s">
        <v>17</v>
      </c>
      <c r="S46" s="775">
        <f t="shared" si="12"/>
        <v>100</v>
      </c>
      <c r="T46" s="774" t="s">
        <v>17</v>
      </c>
      <c r="U46" s="775">
        <f t="shared" si="13"/>
        <v>100</v>
      </c>
      <c r="V46" s="774" t="s">
        <v>17</v>
      </c>
      <c r="W46" s="775">
        <f t="shared" si="14"/>
        <v>100</v>
      </c>
      <c r="X46" s="1812"/>
      <c r="Y46" s="3299"/>
      <c r="Z46" s="1813">
        <f t="shared" si="15"/>
        <v>111</v>
      </c>
      <c r="AA46" s="1810">
        <f t="shared" si="3"/>
        <v>1</v>
      </c>
      <c r="AB46" s="1810">
        <f t="shared" si="4"/>
        <v>1</v>
      </c>
      <c r="AC46" s="1810">
        <f t="shared" si="5"/>
        <v>1</v>
      </c>
    </row>
    <row r="47" spans="1:29" ht="15">
      <c r="A47" s="479" t="s">
        <v>2570</v>
      </c>
      <c r="B47" s="480"/>
      <c r="C47" s="1407" t="s">
        <v>1</v>
      </c>
      <c r="D47" s="1408"/>
      <c r="E47" s="1409"/>
      <c r="F47" s="1410"/>
      <c r="G47" s="1411"/>
      <c r="H47" s="1412"/>
      <c r="I47" s="1409"/>
      <c r="J47" s="1412"/>
      <c r="K47" s="783"/>
      <c r="L47" s="1143"/>
      <c r="M47" s="1144"/>
      <c r="N47" s="1131"/>
      <c r="O47" s="1144"/>
      <c r="P47" s="3267" t="str">
        <f>A47</f>
        <v>成交单价（元/平方米）</v>
      </c>
      <c r="Q47" s="3267"/>
      <c r="R47" s="3280">
        <f>E47</f>
        <v>0</v>
      </c>
      <c r="S47" s="3280"/>
      <c r="T47" s="3280">
        <f>G47</f>
        <v>0</v>
      </c>
      <c r="U47" s="3280"/>
      <c r="V47" s="3280">
        <f>I47</f>
        <v>0</v>
      </c>
      <c r="W47" s="3280"/>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67" t="str">
        <f>A48</f>
        <v>比较价值（元/平方米）</v>
      </c>
      <c r="Q48" s="3267"/>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87" t="str">
        <f>A49</f>
        <v>估价对象XX用房的比较价值（楼面单价，元/平方米）</v>
      </c>
      <c r="Q49" s="3288"/>
      <c r="R49" s="3294" t="e">
        <f>IF(F1="售价",ROUND(AVERAGE(R48:V48),0),ROUND(AVERAGE(R48:V48),1))</f>
        <v>#DIV/0!</v>
      </c>
      <c r="S49" s="3294"/>
      <c r="T49" s="3294"/>
      <c r="U49" s="3294"/>
      <c r="V49" s="3294"/>
      <c r="W49" s="32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2541</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2543</v>
      </c>
      <c r="B61" s="510"/>
      <c r="C61" s="522" t="s">
        <v>2645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2581</v>
      </c>
      <c r="B63" s="528" t="s">
        <v>2547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2556</v>
      </c>
      <c r="B100" s="528" t="s">
        <v>2674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2609</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7" t="s">
        <v>2679</v>
      </c>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35526.120000000024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335" t="s">
        <v>2644</v>
      </c>
      <c r="Q4" s="3336"/>
      <c r="R4" s="3330" t="s">
        <v>2640</v>
      </c>
      <c r="S4" s="3331"/>
      <c r="T4" s="3330" t="s">
        <v>2641</v>
      </c>
      <c r="U4" s="3331"/>
      <c r="V4" s="3339" t="s">
        <v>2642</v>
      </c>
      <c r="W4" s="3339"/>
      <c r="X4" s="2668"/>
      <c r="Y4" s="3330" t="s">
        <v>2644</v>
      </c>
      <c r="Z4" s="3331"/>
      <c r="AA4" s="3329" t="s">
        <v>2640</v>
      </c>
      <c r="AB4" s="3329" t="s">
        <v>2641</v>
      </c>
      <c r="AC4" s="3332" t="s">
        <v>2642</v>
      </c>
    </row>
    <row r="5" spans="1:29" ht="15">
      <c r="A5" s="404"/>
      <c r="B5" s="405"/>
      <c r="C5" s="3261" t="s">
        <v>2535</v>
      </c>
      <c r="D5" s="3262"/>
      <c r="E5" s="3259" t="s">
        <v>2536</v>
      </c>
      <c r="F5" s="3260"/>
      <c r="G5" s="3261" t="s">
        <v>2537</v>
      </c>
      <c r="H5" s="3262"/>
      <c r="I5" s="3261" t="s">
        <v>2538</v>
      </c>
      <c r="J5" s="3262"/>
      <c r="K5" s="610"/>
      <c r="L5" s="1130"/>
      <c r="M5" s="1131"/>
      <c r="N5" s="1131"/>
      <c r="O5" s="1131"/>
      <c r="P5" s="3337"/>
      <c r="Q5" s="3275"/>
      <c r="R5" s="3257"/>
      <c r="S5" s="3258"/>
      <c r="T5" s="3257"/>
      <c r="U5" s="3258"/>
      <c r="V5" s="3280"/>
      <c r="W5" s="3280"/>
      <c r="X5" s="1812"/>
      <c r="Y5" s="3257"/>
      <c r="Z5" s="3258"/>
      <c r="AA5" s="3251"/>
      <c r="AB5" s="3251"/>
      <c r="AC5" s="3333"/>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338"/>
      <c r="Q6" s="3277"/>
      <c r="R6" s="3257"/>
      <c r="S6" s="3258"/>
      <c r="T6" s="3278"/>
      <c r="U6" s="3279"/>
      <c r="V6" s="3280"/>
      <c r="W6" s="3280"/>
      <c r="X6" s="1812"/>
      <c r="Y6" s="3278"/>
      <c r="Z6" s="3279"/>
      <c r="AA6" s="3252"/>
      <c r="AB6" s="3252"/>
      <c r="AC6" s="3334"/>
    </row>
    <row r="7" spans="1:29" s="117" customFormat="1" ht="15.75" thickBot="1">
      <c r="A7" s="408" t="s">
        <v>2541</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40"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2669"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40" t="s">
        <v>2545</v>
      </c>
      <c r="Q8" s="3254"/>
      <c r="R8" s="770" t="s">
        <v>17</v>
      </c>
      <c r="S8" s="771">
        <f t="shared" si="0"/>
        <v>0</v>
      </c>
      <c r="T8" s="770" t="s">
        <v>17</v>
      </c>
      <c r="U8" s="771">
        <f t="shared" si="1"/>
        <v>0</v>
      </c>
      <c r="V8" s="770" t="s">
        <v>17</v>
      </c>
      <c r="W8" s="771">
        <f t="shared" si="2"/>
        <v>0</v>
      </c>
      <c r="X8" s="772"/>
      <c r="Y8" s="3253" t="s">
        <v>2545</v>
      </c>
      <c r="Z8" s="3254"/>
      <c r="AA8" s="773" t="e">
        <f t="shared" ref="AA8:AA47" si="3">D8/F8</f>
        <v>#DIV/0!</v>
      </c>
      <c r="AB8" s="773" t="e">
        <f t="shared" ref="AB8:AB47" si="4">D8/H8</f>
        <v>#DIV/0!</v>
      </c>
      <c r="AC8" s="2669"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91"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2669">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91"/>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2669">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91"/>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91"/>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91"/>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91"/>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2669">
        <f t="shared" si="5"/>
        <v>1</v>
      </c>
    </row>
    <row r="15" spans="1:29" ht="71.25">
      <c r="A15" s="440" t="s">
        <v>2552</v>
      </c>
      <c r="B15" s="629" t="s">
        <v>2680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0" t="s">
        <v>2553</v>
      </c>
      <c r="Q15" s="1809" t="str">
        <f t="shared" si="6"/>
        <v>办公集聚程度</v>
      </c>
      <c r="R15" s="774" t="s">
        <v>17</v>
      </c>
      <c r="S15" s="775">
        <f t="shared" si="0"/>
        <v>100</v>
      </c>
      <c r="T15" s="774" t="s">
        <v>17</v>
      </c>
      <c r="U15" s="775">
        <f t="shared" si="1"/>
        <v>100</v>
      </c>
      <c r="V15" s="774" t="s">
        <v>17</v>
      </c>
      <c r="W15" s="775">
        <f t="shared" si="2"/>
        <v>100</v>
      </c>
      <c r="X15" s="1812"/>
      <c r="Y15" s="3282" t="s">
        <v>2553</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301"/>
      <c r="Q16" s="1809"/>
      <c r="R16" s="774"/>
      <c r="S16" s="775"/>
      <c r="T16" s="774"/>
      <c r="U16" s="775"/>
      <c r="V16" s="774"/>
      <c r="W16" s="775"/>
      <c r="X16" s="1812"/>
      <c r="Y16" s="3283"/>
      <c r="Z16" s="1813"/>
      <c r="AA16" s="1810">
        <v>1</v>
      </c>
      <c r="AB16" s="1810">
        <v>1</v>
      </c>
      <c r="AC16" s="2672">
        <v>1</v>
      </c>
    </row>
    <row r="17" spans="1:29" ht="71.25">
      <c r="A17" s="428"/>
      <c r="B17" s="631" t="s">
        <v>2093</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1"/>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301"/>
      <c r="Q18" s="1809"/>
      <c r="R18" s="774"/>
      <c r="S18" s="775"/>
      <c r="T18" s="774"/>
      <c r="U18" s="775"/>
      <c r="V18" s="774"/>
      <c r="W18" s="775"/>
      <c r="X18" s="1812"/>
      <c r="Y18" s="3283"/>
      <c r="Z18" s="1813"/>
      <c r="AA18" s="1810">
        <v>1</v>
      </c>
      <c r="AB18" s="1810">
        <v>1</v>
      </c>
      <c r="AC18" s="2672">
        <v>1</v>
      </c>
    </row>
    <row r="19" spans="1:29" ht="42.75">
      <c r="A19" s="428"/>
      <c r="B19" s="631" t="s">
        <v>2681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1"/>
      <c r="Q19" s="1809" t="str">
        <f>B19</f>
        <v>公共配套设施</v>
      </c>
      <c r="R19" s="774" t="s">
        <v>17</v>
      </c>
      <c r="S19" s="775">
        <f>F19</f>
        <v>100</v>
      </c>
      <c r="T19" s="774" t="s">
        <v>17</v>
      </c>
      <c r="U19" s="775">
        <f>H19</f>
        <v>100</v>
      </c>
      <c r="V19" s="774" t="s">
        <v>17</v>
      </c>
      <c r="W19" s="775">
        <f>J19</f>
        <v>100</v>
      </c>
      <c r="X19" s="1812"/>
      <c r="Y19" s="3283"/>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301"/>
      <c r="Q20" s="1809"/>
      <c r="R20" s="774"/>
      <c r="S20" s="775"/>
      <c r="T20" s="774"/>
      <c r="U20" s="775"/>
      <c r="V20" s="774"/>
      <c r="W20" s="775"/>
      <c r="X20" s="1812"/>
      <c r="Y20" s="3283"/>
      <c r="Z20" s="1813"/>
      <c r="AA20" s="1810">
        <v>1</v>
      </c>
      <c r="AB20" s="1810">
        <v>1</v>
      </c>
      <c r="AC20" s="2672">
        <v>1</v>
      </c>
    </row>
    <row r="21" spans="1:29" ht="28.5">
      <c r="A21" s="428"/>
      <c r="B21" s="633" t="s">
        <v>2682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1"/>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301"/>
      <c r="Q22" s="1809"/>
      <c r="R22" s="774"/>
      <c r="S22" s="775"/>
      <c r="T22" s="774"/>
      <c r="U22" s="775"/>
      <c r="V22" s="774"/>
      <c r="W22" s="775"/>
      <c r="X22" s="1812"/>
      <c r="Y22" s="3283"/>
      <c r="Z22" s="1813"/>
      <c r="AA22" s="1810">
        <v>1</v>
      </c>
      <c r="AB22" s="1810">
        <v>1</v>
      </c>
      <c r="AC22" s="2672">
        <v>1</v>
      </c>
    </row>
    <row r="23" spans="1:29" ht="42.75">
      <c r="A23" s="428"/>
      <c r="B23" s="631" t="s">
        <v>2683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1"/>
      <c r="Q23" s="1809" t="str">
        <f>B23</f>
        <v>环境质量</v>
      </c>
      <c r="R23" s="774" t="s">
        <v>17</v>
      </c>
      <c r="S23" s="775">
        <f>F23</f>
        <v>100</v>
      </c>
      <c r="T23" s="774" t="s">
        <v>17</v>
      </c>
      <c r="U23" s="775">
        <f>H23</f>
        <v>100</v>
      </c>
      <c r="V23" s="774" t="s">
        <v>17</v>
      </c>
      <c r="W23" s="775">
        <f>J23</f>
        <v>100</v>
      </c>
      <c r="X23" s="1812"/>
      <c r="Y23" s="3283"/>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301"/>
      <c r="Q24" s="1809"/>
      <c r="R24" s="774"/>
      <c r="S24" s="775"/>
      <c r="T24" s="774"/>
      <c r="U24" s="775"/>
      <c r="V24" s="774"/>
      <c r="W24" s="775"/>
      <c r="X24" s="1812"/>
      <c r="Y24" s="3283"/>
      <c r="Z24" s="1813"/>
      <c r="AA24" s="1810">
        <v>1</v>
      </c>
      <c r="AB24" s="1810">
        <v>1</v>
      </c>
      <c r="AC24" s="2672">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01"/>
      <c r="Q25" s="1809" t="str">
        <f>B25</f>
        <v>毗邻道路的类型与等级</v>
      </c>
      <c r="R25" s="774" t="s">
        <v>17</v>
      </c>
      <c r="S25" s="775">
        <f>F25</f>
        <v>100</v>
      </c>
      <c r="T25" s="774" t="s">
        <v>17</v>
      </c>
      <c r="U25" s="775">
        <f>H25</f>
        <v>100</v>
      </c>
      <c r="V25" s="774" t="s">
        <v>17</v>
      </c>
      <c r="W25" s="775">
        <f>J25</f>
        <v>100</v>
      </c>
      <c r="X25" s="1812"/>
      <c r="Y25" s="3283"/>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301"/>
      <c r="Q26" s="1809"/>
      <c r="R26" s="774"/>
      <c r="S26" s="775"/>
      <c r="T26" s="774"/>
      <c r="U26" s="775"/>
      <c r="V26" s="774"/>
      <c r="W26" s="775"/>
      <c r="X26" s="1812"/>
      <c r="Y26" s="3283"/>
      <c r="Z26" s="1813"/>
      <c r="AA26" s="1810">
        <v>1</v>
      </c>
      <c r="AB26" s="1810">
        <v>1</v>
      </c>
      <c r="AC26" s="2672">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1"/>
      <c r="Q27" s="1809" t="str">
        <f t="shared" ref="Q27:Q47" si="11">B27</f>
        <v>楼层</v>
      </c>
      <c r="R27" s="774" t="s">
        <v>17</v>
      </c>
      <c r="S27" s="775">
        <f>F27</f>
        <v>100</v>
      </c>
      <c r="T27" s="774" t="s">
        <v>17</v>
      </c>
      <c r="U27" s="775">
        <f>H27</f>
        <v>100</v>
      </c>
      <c r="V27" s="774" t="s">
        <v>17</v>
      </c>
      <c r="W27" s="775">
        <f>J27</f>
        <v>100</v>
      </c>
      <c r="X27" s="1812"/>
      <c r="Y27" s="3283"/>
      <c r="Z27" s="1813" t="str">
        <f>Q27</f>
        <v>楼层</v>
      </c>
      <c r="AA27" s="1810">
        <f t="shared" si="3"/>
        <v>1</v>
      </c>
      <c r="AB27" s="1810">
        <f t="shared" si="4"/>
        <v>1</v>
      </c>
      <c r="AC27" s="2672">
        <f t="shared" si="5"/>
        <v>1</v>
      </c>
    </row>
    <row r="28" spans="1:29" s="117" customFormat="1" ht="15">
      <c r="A28" s="431"/>
      <c r="B28" s="631" t="s">
        <v>2685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01"/>
      <c r="Q28" s="1794" t="str">
        <f t="shared" si="11"/>
        <v>朝向</v>
      </c>
      <c r="R28" s="770" t="s">
        <v>17</v>
      </c>
      <c r="S28" s="771">
        <f>F28</f>
        <v>100</v>
      </c>
      <c r="T28" s="770" t="s">
        <v>17</v>
      </c>
      <c r="U28" s="771">
        <f>H28</f>
        <v>100</v>
      </c>
      <c r="V28" s="770" t="s">
        <v>17</v>
      </c>
      <c r="W28" s="771">
        <f>J28</f>
        <v>100</v>
      </c>
      <c r="X28" s="772"/>
      <c r="Y28" s="3283"/>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01"/>
      <c r="Q29" s="1809">
        <f t="shared" si="11"/>
        <v>111</v>
      </c>
      <c r="R29" s="774" t="s">
        <v>17</v>
      </c>
      <c r="S29" s="775">
        <f t="shared" ref="S29:S47" si="12">F29</f>
        <v>100</v>
      </c>
      <c r="T29" s="774" t="s">
        <v>17</v>
      </c>
      <c r="U29" s="775">
        <f t="shared" ref="U29:U47" si="13">H29</f>
        <v>100</v>
      </c>
      <c r="V29" s="774" t="s">
        <v>17</v>
      </c>
      <c r="W29" s="775">
        <f t="shared" ref="W29:W47" si="14">J29</f>
        <v>100</v>
      </c>
      <c r="X29" s="1812"/>
      <c r="Y29" s="3283"/>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01"/>
      <c r="Q30" s="1809">
        <f t="shared" si="11"/>
        <v>111</v>
      </c>
      <c r="R30" s="774" t="s">
        <v>17</v>
      </c>
      <c r="S30" s="775">
        <f t="shared" si="12"/>
        <v>100</v>
      </c>
      <c r="T30" s="774" t="s">
        <v>17</v>
      </c>
      <c r="U30" s="775">
        <f t="shared" si="13"/>
        <v>100</v>
      </c>
      <c r="V30" s="774" t="s">
        <v>17</v>
      </c>
      <c r="W30" s="775">
        <f t="shared" si="14"/>
        <v>100</v>
      </c>
      <c r="X30" s="1812"/>
      <c r="Y30" s="3283"/>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01"/>
      <c r="Q31" s="1809">
        <f t="shared" si="11"/>
        <v>111</v>
      </c>
      <c r="R31" s="774" t="s">
        <v>17</v>
      </c>
      <c r="S31" s="775">
        <f t="shared" si="12"/>
        <v>100</v>
      </c>
      <c r="T31" s="774" t="s">
        <v>17</v>
      </c>
      <c r="U31" s="775">
        <f t="shared" si="13"/>
        <v>100</v>
      </c>
      <c r="V31" s="774" t="s">
        <v>17</v>
      </c>
      <c r="W31" s="775">
        <f t="shared" si="14"/>
        <v>100</v>
      </c>
      <c r="X31" s="1812"/>
      <c r="Y31" s="3283"/>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01"/>
      <c r="Q32" s="1809">
        <f t="shared" si="11"/>
        <v>111</v>
      </c>
      <c r="R32" s="774" t="s">
        <v>17</v>
      </c>
      <c r="S32" s="775">
        <f t="shared" si="12"/>
        <v>100</v>
      </c>
      <c r="T32" s="774" t="s">
        <v>17</v>
      </c>
      <c r="U32" s="775">
        <f t="shared" si="13"/>
        <v>100</v>
      </c>
      <c r="V32" s="774" t="s">
        <v>17</v>
      </c>
      <c r="W32" s="775">
        <f t="shared" si="14"/>
        <v>100</v>
      </c>
      <c r="X32" s="1812"/>
      <c r="Y32" s="3283"/>
      <c r="Z32" s="1813">
        <f t="shared" si="15"/>
        <v>111</v>
      </c>
      <c r="AA32" s="1810">
        <f t="shared" si="3"/>
        <v>1</v>
      </c>
      <c r="AB32" s="1810">
        <f t="shared" si="4"/>
        <v>1</v>
      </c>
      <c r="AC32" s="2672">
        <f t="shared" si="5"/>
        <v>1</v>
      </c>
    </row>
    <row r="33" spans="1:29" ht="15">
      <c r="A33" s="440" t="s">
        <v>2556</v>
      </c>
      <c r="B33" s="71" t="s">
        <v>2686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96" t="s">
        <v>2558</v>
      </c>
      <c r="Q33" s="1809" t="str">
        <f t="shared" si="11"/>
        <v>建筑类型</v>
      </c>
      <c r="R33" s="774" t="s">
        <v>17</v>
      </c>
      <c r="S33" s="775">
        <f t="shared" si="12"/>
        <v>100</v>
      </c>
      <c r="T33" s="774" t="s">
        <v>17</v>
      </c>
      <c r="U33" s="775">
        <f t="shared" si="13"/>
        <v>100</v>
      </c>
      <c r="V33" s="774" t="s">
        <v>17</v>
      </c>
      <c r="W33" s="775">
        <f t="shared" si="14"/>
        <v>100</v>
      </c>
      <c r="X33" s="1812"/>
      <c r="Y33" s="3285" t="s">
        <v>2558</v>
      </c>
      <c r="Z33" s="1813" t="str">
        <f t="shared" si="15"/>
        <v>建筑类型</v>
      </c>
      <c r="AA33" s="1810">
        <f t="shared" si="3"/>
        <v>1</v>
      </c>
      <c r="AB33" s="1810">
        <f t="shared" si="4"/>
        <v>1</v>
      </c>
      <c r="AC33" s="2672">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7"/>
      <c r="Q34" s="776" t="str">
        <f t="shared" si="11"/>
        <v>项目建筑规模</v>
      </c>
      <c r="R34" s="777" t="s">
        <v>17</v>
      </c>
      <c r="S34" s="778" t="e">
        <f t="shared" si="12"/>
        <v>#N/A</v>
      </c>
      <c r="T34" s="777" t="s">
        <v>17</v>
      </c>
      <c r="U34" s="778" t="e">
        <f t="shared" si="13"/>
        <v>#N/A</v>
      </c>
      <c r="V34" s="777" t="s">
        <v>17</v>
      </c>
      <c r="W34" s="778" t="e">
        <f t="shared" si="14"/>
        <v>#N/A</v>
      </c>
      <c r="X34" s="779"/>
      <c r="Y34" s="3285"/>
      <c r="Z34" s="780" t="str">
        <f t="shared" si="15"/>
        <v>项目建筑规模</v>
      </c>
      <c r="AA34" s="1810" t="e">
        <f t="shared" si="3"/>
        <v>#N/A</v>
      </c>
      <c r="AB34" s="1810" t="e">
        <f t="shared" si="4"/>
        <v>#N/A</v>
      </c>
      <c r="AC34" s="2672"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7"/>
      <c r="Q35" s="1809" t="str">
        <f t="shared" si="11"/>
        <v>建筑结构</v>
      </c>
      <c r="R35" s="774" t="s">
        <v>17</v>
      </c>
      <c r="S35" s="775">
        <f t="shared" si="12"/>
        <v>100</v>
      </c>
      <c r="T35" s="774" t="s">
        <v>17</v>
      </c>
      <c r="U35" s="775">
        <f t="shared" si="13"/>
        <v>100</v>
      </c>
      <c r="V35" s="774" t="s">
        <v>17</v>
      </c>
      <c r="W35" s="775">
        <f t="shared" si="14"/>
        <v>100</v>
      </c>
      <c r="X35" s="1812"/>
      <c r="Y35" s="3285"/>
      <c r="Z35" s="1813" t="str">
        <f t="shared" si="15"/>
        <v>建筑结构</v>
      </c>
      <c r="AA35" s="1810">
        <f t="shared" si="3"/>
        <v>1</v>
      </c>
      <c r="AB35" s="1810">
        <f t="shared" si="4"/>
        <v>1</v>
      </c>
      <c r="AC35" s="2672">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7"/>
      <c r="Q36" s="1809" t="str">
        <f t="shared" si="11"/>
        <v>公共部分装修</v>
      </c>
      <c r="R36" s="774" t="s">
        <v>17</v>
      </c>
      <c r="S36" s="775">
        <f t="shared" si="12"/>
        <v>100</v>
      </c>
      <c r="T36" s="774" t="s">
        <v>17</v>
      </c>
      <c r="U36" s="775">
        <f t="shared" si="13"/>
        <v>100</v>
      </c>
      <c r="V36" s="774" t="s">
        <v>17</v>
      </c>
      <c r="W36" s="775">
        <f t="shared" si="14"/>
        <v>100</v>
      </c>
      <c r="X36" s="1812"/>
      <c r="Y36" s="3285"/>
      <c r="Z36" s="1813" t="str">
        <f t="shared" si="15"/>
        <v>公共部分装修</v>
      </c>
      <c r="AA36" s="1810">
        <f t="shared" si="3"/>
        <v>1</v>
      </c>
      <c r="AB36" s="1810">
        <f t="shared" si="4"/>
        <v>1</v>
      </c>
      <c r="AC36" s="2672">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7"/>
      <c r="Q37" s="1809" t="str">
        <f t="shared" si="11"/>
        <v>成新度</v>
      </c>
      <c r="R37" s="774" t="s">
        <v>17</v>
      </c>
      <c r="S37" s="775" t="e">
        <f t="shared" si="12"/>
        <v>#N/A</v>
      </c>
      <c r="T37" s="774" t="s">
        <v>17</v>
      </c>
      <c r="U37" s="775" t="e">
        <f t="shared" si="13"/>
        <v>#N/A</v>
      </c>
      <c r="V37" s="774" t="s">
        <v>17</v>
      </c>
      <c r="W37" s="775" t="e">
        <f t="shared" si="14"/>
        <v>#N/A</v>
      </c>
      <c r="X37" s="1812"/>
      <c r="Y37" s="3285"/>
      <c r="Z37" s="1813" t="str">
        <f t="shared" si="15"/>
        <v>成新度</v>
      </c>
      <c r="AA37" s="1810" t="e">
        <f t="shared" si="3"/>
        <v>#N/A</v>
      </c>
      <c r="AB37" s="1810" t="e">
        <f t="shared" si="4"/>
        <v>#N/A</v>
      </c>
      <c r="AC37" s="2672"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7"/>
      <c r="Q38" s="1794" t="str">
        <f t="shared" si="11"/>
        <v>写字楼等级</v>
      </c>
      <c r="R38" s="770" t="s">
        <v>17</v>
      </c>
      <c r="S38" s="771">
        <f t="shared" si="12"/>
        <v>100</v>
      </c>
      <c r="T38" s="770" t="s">
        <v>17</v>
      </c>
      <c r="U38" s="771">
        <f t="shared" si="13"/>
        <v>100</v>
      </c>
      <c r="V38" s="770" t="s">
        <v>17</v>
      </c>
      <c r="W38" s="771">
        <f t="shared" si="14"/>
        <v>100</v>
      </c>
      <c r="X38" s="772"/>
      <c r="Y38" s="3285"/>
      <c r="Z38" s="55" t="str">
        <f t="shared" si="15"/>
        <v>写字楼等级</v>
      </c>
      <c r="AA38" s="773">
        <f t="shared" si="3"/>
        <v>1</v>
      </c>
      <c r="AB38" s="773">
        <f t="shared" si="4"/>
        <v>1</v>
      </c>
      <c r="AC38" s="2669">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7" t="s">
        <v>2558</v>
      </c>
      <c r="Q39" s="1809" t="str">
        <f t="shared" si="11"/>
        <v>物业管理</v>
      </c>
      <c r="R39" s="774" t="s">
        <v>17</v>
      </c>
      <c r="S39" s="775">
        <f t="shared" si="12"/>
        <v>100</v>
      </c>
      <c r="T39" s="774" t="s">
        <v>17</v>
      </c>
      <c r="U39" s="775">
        <f t="shared" si="13"/>
        <v>100</v>
      </c>
      <c r="V39" s="774" t="s">
        <v>17</v>
      </c>
      <c r="W39" s="775">
        <f t="shared" si="14"/>
        <v>100</v>
      </c>
      <c r="X39" s="1812"/>
      <c r="Y39" s="3285" t="s">
        <v>2558</v>
      </c>
      <c r="Z39" s="1813" t="str">
        <f t="shared" si="15"/>
        <v>物业管理</v>
      </c>
      <c r="AA39" s="1810">
        <f t="shared" si="3"/>
        <v>1</v>
      </c>
      <c r="AB39" s="1810">
        <f t="shared" si="4"/>
        <v>1</v>
      </c>
      <c r="AC39" s="2672">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7"/>
      <c r="Q40" s="1809" t="str">
        <f t="shared" si="11"/>
        <v>市政基础设施</v>
      </c>
      <c r="R40" s="774" t="s">
        <v>17</v>
      </c>
      <c r="S40" s="775">
        <f t="shared" si="12"/>
        <v>100</v>
      </c>
      <c r="T40" s="774" t="s">
        <v>17</v>
      </c>
      <c r="U40" s="775">
        <f t="shared" si="13"/>
        <v>100</v>
      </c>
      <c r="V40" s="774" t="s">
        <v>17</v>
      </c>
      <c r="W40" s="775">
        <f t="shared" si="14"/>
        <v>100</v>
      </c>
      <c r="X40" s="1812"/>
      <c r="Y40" s="3285"/>
      <c r="Z40" s="1813" t="str">
        <f t="shared" si="15"/>
        <v>市政基础设施</v>
      </c>
      <c r="AA40" s="1810">
        <f t="shared" si="3"/>
        <v>1</v>
      </c>
      <c r="AB40" s="1810">
        <f t="shared" si="4"/>
        <v>1</v>
      </c>
      <c r="AC40" s="2672">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7"/>
      <c r="Q41" s="1809" t="str">
        <f t="shared" si="11"/>
        <v>层高</v>
      </c>
      <c r="R41" s="774" t="s">
        <v>17</v>
      </c>
      <c r="S41" s="775">
        <f t="shared" si="12"/>
        <v>100</v>
      </c>
      <c r="T41" s="774" t="s">
        <v>17</v>
      </c>
      <c r="U41" s="775">
        <f t="shared" si="13"/>
        <v>100</v>
      </c>
      <c r="V41" s="774" t="s">
        <v>17</v>
      </c>
      <c r="W41" s="775">
        <f t="shared" si="14"/>
        <v>100</v>
      </c>
      <c r="X41" s="1812"/>
      <c r="Y41" s="3285"/>
      <c r="Z41" s="1813" t="str">
        <f t="shared" si="15"/>
        <v>层高</v>
      </c>
      <c r="AA41" s="1810">
        <f t="shared" si="3"/>
        <v>1</v>
      </c>
      <c r="AB41" s="1810">
        <f t="shared" si="4"/>
        <v>1</v>
      </c>
      <c r="AC41" s="2672">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7"/>
      <c r="Q42" s="776" t="str">
        <f t="shared" si="11"/>
        <v>单套建筑面积</v>
      </c>
      <c r="R42" s="777" t="s">
        <v>17</v>
      </c>
      <c r="S42" s="778">
        <f t="shared" si="12"/>
        <v>100</v>
      </c>
      <c r="T42" s="777" t="s">
        <v>17</v>
      </c>
      <c r="U42" s="778">
        <f t="shared" si="13"/>
        <v>100</v>
      </c>
      <c r="V42" s="777" t="s">
        <v>17</v>
      </c>
      <c r="W42" s="778">
        <f t="shared" si="14"/>
        <v>100</v>
      </c>
      <c r="X42" s="779"/>
      <c r="Y42" s="3285"/>
      <c r="Z42" s="780" t="str">
        <f t="shared" si="15"/>
        <v>单套建筑面积</v>
      </c>
      <c r="AA42" s="1810">
        <f t="shared" si="3"/>
        <v>1</v>
      </c>
      <c r="AB42" s="1810">
        <f t="shared" si="4"/>
        <v>1</v>
      </c>
      <c r="AC42" s="2672">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7"/>
      <c r="Q43" s="1809" t="str">
        <f t="shared" si="11"/>
        <v>内部装修</v>
      </c>
      <c r="R43" s="774" t="s">
        <v>17</v>
      </c>
      <c r="S43" s="775">
        <f t="shared" si="12"/>
        <v>100</v>
      </c>
      <c r="T43" s="774" t="s">
        <v>17</v>
      </c>
      <c r="U43" s="775">
        <f t="shared" si="13"/>
        <v>100</v>
      </c>
      <c r="V43" s="774" t="s">
        <v>17</v>
      </c>
      <c r="W43" s="775">
        <f t="shared" si="14"/>
        <v>100</v>
      </c>
      <c r="X43" s="1812"/>
      <c r="Y43" s="3285"/>
      <c r="Z43" s="1813" t="str">
        <f t="shared" si="15"/>
        <v>内部装修</v>
      </c>
      <c r="AA43" s="1810">
        <f t="shared" si="3"/>
        <v>1</v>
      </c>
      <c r="AB43" s="1810">
        <f t="shared" si="4"/>
        <v>1</v>
      </c>
      <c r="AC43" s="2672">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97"/>
      <c r="Q44" s="1809" t="str">
        <f t="shared" si="11"/>
        <v>内部装修维护情况</v>
      </c>
      <c r="R44" s="774" t="s">
        <v>17</v>
      </c>
      <c r="S44" s="775">
        <f t="shared" si="12"/>
        <v>100</v>
      </c>
      <c r="T44" s="774" t="s">
        <v>17</v>
      </c>
      <c r="U44" s="775">
        <f t="shared" si="13"/>
        <v>100</v>
      </c>
      <c r="V44" s="774" t="s">
        <v>17</v>
      </c>
      <c r="W44" s="775">
        <f t="shared" si="14"/>
        <v>100</v>
      </c>
      <c r="X44" s="1812"/>
      <c r="Y44" s="3285"/>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7"/>
      <c r="Q45" s="1794">
        <f t="shared" si="11"/>
        <v>111</v>
      </c>
      <c r="R45" s="770" t="s">
        <v>17</v>
      </c>
      <c r="S45" s="771">
        <f t="shared" si="12"/>
        <v>100</v>
      </c>
      <c r="T45" s="770" t="s">
        <v>17</v>
      </c>
      <c r="U45" s="771">
        <f t="shared" si="13"/>
        <v>100</v>
      </c>
      <c r="V45" s="770" t="s">
        <v>17</v>
      </c>
      <c r="W45" s="771">
        <f t="shared" si="14"/>
        <v>100</v>
      </c>
      <c r="X45" s="772"/>
      <c r="Y45" s="328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7"/>
      <c r="Q46" s="1809">
        <f t="shared" si="11"/>
        <v>111</v>
      </c>
      <c r="R46" s="774" t="s">
        <v>17</v>
      </c>
      <c r="S46" s="775">
        <f t="shared" si="12"/>
        <v>100</v>
      </c>
      <c r="T46" s="774" t="s">
        <v>17</v>
      </c>
      <c r="U46" s="775">
        <f t="shared" si="13"/>
        <v>100</v>
      </c>
      <c r="V46" s="774" t="s">
        <v>17</v>
      </c>
      <c r="W46" s="775">
        <f t="shared" si="14"/>
        <v>100</v>
      </c>
      <c r="X46" s="1812"/>
      <c r="Y46" s="3285"/>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8"/>
      <c r="Q47" s="1809">
        <f t="shared" si="11"/>
        <v>111</v>
      </c>
      <c r="R47" s="774" t="s">
        <v>17</v>
      </c>
      <c r="S47" s="775">
        <f t="shared" si="12"/>
        <v>100</v>
      </c>
      <c r="T47" s="774" t="s">
        <v>17</v>
      </c>
      <c r="U47" s="775">
        <f t="shared" si="13"/>
        <v>100</v>
      </c>
      <c r="V47" s="774" t="s">
        <v>17</v>
      </c>
      <c r="W47" s="775">
        <f t="shared" si="14"/>
        <v>100</v>
      </c>
      <c r="X47" s="1812"/>
      <c r="Y47" s="3299"/>
      <c r="Z47" s="1813">
        <f t="shared" si="15"/>
        <v>111</v>
      </c>
      <c r="AA47" s="1810">
        <f t="shared" si="3"/>
        <v>1</v>
      </c>
      <c r="AB47" s="1810">
        <f t="shared" si="4"/>
        <v>1</v>
      </c>
      <c r="AC47" s="2672">
        <f t="shared" si="5"/>
        <v>1</v>
      </c>
    </row>
    <row r="48" spans="1:29" ht="15">
      <c r="A48" s="479" t="s">
        <v>2570</v>
      </c>
      <c r="B48" s="480"/>
      <c r="C48" s="1407" t="s">
        <v>1</v>
      </c>
      <c r="D48" s="1408"/>
      <c r="E48" s="1409"/>
      <c r="F48" s="1410"/>
      <c r="G48" s="1411"/>
      <c r="H48" s="1412"/>
      <c r="I48" s="1409"/>
      <c r="J48" s="485"/>
      <c r="K48" s="783"/>
      <c r="L48" s="1143"/>
      <c r="M48" s="1131"/>
      <c r="N48" s="1131"/>
      <c r="O48" s="1131"/>
      <c r="P48" s="3291" t="str">
        <f>A48</f>
        <v>成交单价（元/平方米）</v>
      </c>
      <c r="Q48" s="3267"/>
      <c r="R48" s="3295">
        <f>E48</f>
        <v>0</v>
      </c>
      <c r="S48" s="3295"/>
      <c r="T48" s="3295">
        <f>G48</f>
        <v>0</v>
      </c>
      <c r="U48" s="3295"/>
      <c r="V48" s="3295">
        <f>I48</f>
        <v>0</v>
      </c>
      <c r="W48" s="3295"/>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91" t="str">
        <f>A49</f>
        <v>比较价值（元/平方米）</v>
      </c>
      <c r="Q49" s="3267"/>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341" t="str">
        <f>A50</f>
        <v>估价对象XX用房的比较价值（楼面单价，元/平方米）</v>
      </c>
      <c r="Q50" s="3342"/>
      <c r="R50" s="3343" t="e">
        <f>IF(F1="售价",ROUND(AVERAGE(R49:V49),0),ROUND(AVERAGE(R49:V49),1))</f>
        <v>#DIV/0!</v>
      </c>
      <c r="S50" s="3343"/>
      <c r="T50" s="3343"/>
      <c r="U50" s="3343"/>
      <c r="V50" s="3343"/>
      <c r="W50" s="334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79"/>
      <c r="Q58" s="504"/>
    </row>
    <row r="59" spans="1:29" s="508" customFormat="1" ht="15">
      <c r="A59" s="505" t="s">
        <v>2541</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2578</v>
      </c>
      <c r="B61" s="516"/>
      <c r="C61" s="517"/>
      <c r="D61" s="518"/>
      <c r="E61" s="518"/>
      <c r="F61" s="518"/>
      <c r="G61" s="518"/>
      <c r="H61" s="518"/>
      <c r="I61" s="518"/>
      <c r="J61" s="518"/>
      <c r="K61" s="518"/>
      <c r="L61" s="518"/>
      <c r="M61" s="519"/>
      <c r="N61" s="518"/>
      <c r="O61" s="519"/>
      <c r="P61" s="2680"/>
      <c r="Q61" s="504"/>
    </row>
    <row r="62" spans="1:29" s="117" customFormat="1" ht="15">
      <c r="A62" s="521" t="s">
        <v>2543</v>
      </c>
      <c r="B62" s="510"/>
      <c r="C62" s="522" t="s">
        <v>2645</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2581</v>
      </c>
      <c r="B64" s="528" t="s">
        <v>2547</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2692</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2556</v>
      </c>
      <c r="B101" s="528" t="s">
        <v>2605</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2607</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2609</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2610</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2611</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2694</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2613</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7" t="s">
        <v>2695</v>
      </c>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35526.120000000024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3"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7"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57">
      <c r="A15" s="440" t="s">
        <v>2552</v>
      </c>
      <c r="B15" s="69" t="s">
        <v>2696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2" t="s">
        <v>2553</v>
      </c>
      <c r="Q15" s="1809" t="str">
        <f t="shared" si="6"/>
        <v>产业集聚程度</v>
      </c>
      <c r="R15" s="774" t="s">
        <v>17</v>
      </c>
      <c r="S15" s="775">
        <f t="shared" si="0"/>
        <v>100</v>
      </c>
      <c r="T15" s="774" t="s">
        <v>17</v>
      </c>
      <c r="U15" s="775">
        <f t="shared" si="1"/>
        <v>100</v>
      </c>
      <c r="V15" s="774" t="s">
        <v>17</v>
      </c>
      <c r="W15" s="775">
        <f t="shared" si="2"/>
        <v>100</v>
      </c>
      <c r="X15" s="1812"/>
      <c r="Y15" s="3282" t="s">
        <v>2553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3"/>
      <c r="Q16" s="1809"/>
      <c r="R16" s="774"/>
      <c r="S16" s="775"/>
      <c r="T16" s="774"/>
      <c r="U16" s="775"/>
      <c r="V16" s="774"/>
      <c r="W16" s="775"/>
      <c r="X16" s="1812"/>
      <c r="Y16" s="3283"/>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3"/>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83"/>
      <c r="Q18" s="1809"/>
      <c r="R18" s="774"/>
      <c r="S18" s="775"/>
      <c r="T18" s="774"/>
      <c r="U18" s="775"/>
      <c r="V18" s="774"/>
      <c r="W18" s="775"/>
      <c r="X18" s="1812"/>
      <c r="Y18" s="3283"/>
      <c r="Z18" s="1813"/>
      <c r="AA18" s="1810">
        <v>1</v>
      </c>
      <c r="AB18" s="1810">
        <v>1</v>
      </c>
      <c r="AC18" s="1810">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3"/>
      <c r="Q19" s="1809" t="str">
        <f>B19</f>
        <v>公共配套设施</v>
      </c>
      <c r="R19" s="774" t="s">
        <v>17</v>
      </c>
      <c r="S19" s="775">
        <f>F19</f>
        <v>100</v>
      </c>
      <c r="T19" s="774" t="s">
        <v>17</v>
      </c>
      <c r="U19" s="775">
        <f>H19</f>
        <v>100</v>
      </c>
      <c r="V19" s="774" t="s">
        <v>17</v>
      </c>
      <c r="W19" s="775">
        <f>J19</f>
        <v>100</v>
      </c>
      <c r="X19" s="1812"/>
      <c r="Y19" s="328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83"/>
      <c r="Q20" s="1809"/>
      <c r="R20" s="774"/>
      <c r="S20" s="775"/>
      <c r="T20" s="774"/>
      <c r="U20" s="775"/>
      <c r="V20" s="774"/>
      <c r="W20" s="775"/>
      <c r="X20" s="1812"/>
      <c r="Y20" s="3283"/>
      <c r="Z20" s="1813"/>
      <c r="AA20" s="1810">
        <v>1</v>
      </c>
      <c r="AB20" s="1810">
        <v>1</v>
      </c>
      <c r="AC20" s="1810">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3"/>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83"/>
      <c r="Q22" s="1809"/>
      <c r="R22" s="774"/>
      <c r="S22" s="775"/>
      <c r="T22" s="774"/>
      <c r="U22" s="775"/>
      <c r="V22" s="774"/>
      <c r="W22" s="775"/>
      <c r="X22" s="1812"/>
      <c r="Y22" s="3283"/>
      <c r="Z22" s="1813"/>
      <c r="AA22" s="1810">
        <v>1</v>
      </c>
      <c r="AB22" s="1810">
        <v>1</v>
      </c>
      <c r="AC22" s="1810">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3"/>
      <c r="Q23" s="1809" t="str">
        <f>B23</f>
        <v>环境质量</v>
      </c>
      <c r="R23" s="774" t="s">
        <v>17</v>
      </c>
      <c r="S23" s="775">
        <f>F23</f>
        <v>100</v>
      </c>
      <c r="T23" s="774" t="s">
        <v>17</v>
      </c>
      <c r="U23" s="775">
        <f>H23</f>
        <v>100</v>
      </c>
      <c r="V23" s="774" t="s">
        <v>17</v>
      </c>
      <c r="W23" s="775">
        <f>J23</f>
        <v>100</v>
      </c>
      <c r="X23" s="1812"/>
      <c r="Y23" s="3283"/>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83"/>
      <c r="Q24" s="1809"/>
      <c r="R24" s="774"/>
      <c r="S24" s="775"/>
      <c r="T24" s="774"/>
      <c r="U24" s="775"/>
      <c r="V24" s="774"/>
      <c r="W24" s="775"/>
      <c r="X24" s="1812"/>
      <c r="Y24" s="328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3"/>
      <c r="Q25" s="1809">
        <f>B25</f>
        <v>111</v>
      </c>
      <c r="R25" s="774" t="s">
        <v>17</v>
      </c>
      <c r="S25" s="775">
        <f>F25</f>
        <v>100</v>
      </c>
      <c r="T25" s="774" t="s">
        <v>17</v>
      </c>
      <c r="U25" s="775">
        <f>H25</f>
        <v>100</v>
      </c>
      <c r="V25" s="774" t="s">
        <v>17</v>
      </c>
      <c r="W25" s="775">
        <f>J25</f>
        <v>100</v>
      </c>
      <c r="X25" s="1812"/>
      <c r="Y25" s="328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3"/>
      <c r="Q26" s="1809">
        <f t="shared" ref="Q26:Q40" si="11">B26</f>
        <v>111</v>
      </c>
      <c r="R26" s="774" t="s">
        <v>17</v>
      </c>
      <c r="S26" s="775">
        <f>F26</f>
        <v>100</v>
      </c>
      <c r="T26" s="774" t="s">
        <v>17</v>
      </c>
      <c r="U26" s="775">
        <f>H26</f>
        <v>100</v>
      </c>
      <c r="V26" s="774" t="s">
        <v>17</v>
      </c>
      <c r="W26" s="775">
        <f>J26</f>
        <v>100</v>
      </c>
      <c r="X26" s="1812"/>
      <c r="Y26" s="328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3"/>
      <c r="Q27" s="1794">
        <f t="shared" si="11"/>
        <v>111</v>
      </c>
      <c r="R27" s="770" t="s">
        <v>17</v>
      </c>
      <c r="S27" s="771">
        <f>F27</f>
        <v>100</v>
      </c>
      <c r="T27" s="770" t="s">
        <v>17</v>
      </c>
      <c r="U27" s="771">
        <f>H27</f>
        <v>100</v>
      </c>
      <c r="V27" s="770" t="s">
        <v>17</v>
      </c>
      <c r="W27" s="771">
        <f>J27</f>
        <v>100</v>
      </c>
      <c r="X27" s="772"/>
      <c r="Y27" s="328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3"/>
      <c r="Q28" s="1809">
        <f t="shared" si="11"/>
        <v>111</v>
      </c>
      <c r="R28" s="774" t="s">
        <v>17</v>
      </c>
      <c r="S28" s="775">
        <f t="shared" ref="S28:S40" si="12">F28</f>
        <v>100</v>
      </c>
      <c r="T28" s="774" t="s">
        <v>17</v>
      </c>
      <c r="U28" s="775">
        <f t="shared" ref="U28:U40" si="13">H28</f>
        <v>100</v>
      </c>
      <c r="V28" s="774" t="s">
        <v>17</v>
      </c>
      <c r="W28" s="775">
        <f t="shared" ref="W28:W40" si="14">J28</f>
        <v>100</v>
      </c>
      <c r="X28" s="1812"/>
      <c r="Y28" s="3283"/>
      <c r="Z28" s="1813">
        <f t="shared" ref="Z28:Z40" si="15">Q28</f>
        <v>111</v>
      </c>
      <c r="AA28" s="1810">
        <f t="shared" si="3"/>
        <v>1</v>
      </c>
      <c r="AB28" s="1810">
        <f t="shared" si="4"/>
        <v>1</v>
      </c>
      <c r="AC28" s="1810">
        <f t="shared" si="5"/>
        <v>1</v>
      </c>
    </row>
    <row r="29" spans="1:29" ht="28.5">
      <c r="A29" s="466" t="s">
        <v>2556</v>
      </c>
      <c r="B29" s="71" t="s">
        <v>2686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4" t="s">
        <v>2558</v>
      </c>
      <c r="Q29" s="1809" t="str">
        <f t="shared" si="11"/>
        <v>建筑类型</v>
      </c>
      <c r="R29" s="774" t="s">
        <v>17</v>
      </c>
      <c r="S29" s="775">
        <f t="shared" si="12"/>
        <v>100</v>
      </c>
      <c r="T29" s="774" t="s">
        <v>17</v>
      </c>
      <c r="U29" s="775">
        <f t="shared" si="13"/>
        <v>100</v>
      </c>
      <c r="V29" s="774" t="s">
        <v>17</v>
      </c>
      <c r="W29" s="775">
        <f t="shared" si="14"/>
        <v>100</v>
      </c>
      <c r="X29" s="1812"/>
      <c r="Y29" s="3285" t="s">
        <v>2558</v>
      </c>
      <c r="Z29" s="1813" t="str">
        <f t="shared" si="15"/>
        <v>建筑类型</v>
      </c>
      <c r="AA29" s="1810">
        <f t="shared" si="3"/>
        <v>1</v>
      </c>
      <c r="AB29" s="1810">
        <f t="shared" si="4"/>
        <v>1</v>
      </c>
      <c r="AC29" s="1810">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5"/>
      <c r="Q30" s="776" t="str">
        <f t="shared" si="11"/>
        <v>项目建筑规模</v>
      </c>
      <c r="R30" s="777" t="s">
        <v>17</v>
      </c>
      <c r="S30" s="778" t="e">
        <f t="shared" si="12"/>
        <v>#N/A</v>
      </c>
      <c r="T30" s="777" t="s">
        <v>17</v>
      </c>
      <c r="U30" s="778" t="e">
        <f t="shared" si="13"/>
        <v>#N/A</v>
      </c>
      <c r="V30" s="777" t="s">
        <v>17</v>
      </c>
      <c r="W30" s="778" t="e">
        <f t="shared" si="14"/>
        <v>#N/A</v>
      </c>
      <c r="X30" s="779"/>
      <c r="Y30" s="3285"/>
      <c r="Z30" s="780" t="str">
        <f t="shared" si="15"/>
        <v>项目建筑规模</v>
      </c>
      <c r="AA30" s="1810" t="e">
        <f t="shared" si="3"/>
        <v>#N/A</v>
      </c>
      <c r="AB30" s="1810" t="e">
        <f t="shared" si="4"/>
        <v>#N/A</v>
      </c>
      <c r="AC30" s="1810"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5"/>
      <c r="Q31" s="1809" t="str">
        <f t="shared" si="11"/>
        <v>建筑结构</v>
      </c>
      <c r="R31" s="774" t="s">
        <v>17</v>
      </c>
      <c r="S31" s="775">
        <f t="shared" si="12"/>
        <v>100</v>
      </c>
      <c r="T31" s="774" t="s">
        <v>17</v>
      </c>
      <c r="U31" s="775">
        <f t="shared" si="13"/>
        <v>100</v>
      </c>
      <c r="V31" s="774" t="s">
        <v>17</v>
      </c>
      <c r="W31" s="775">
        <f t="shared" si="14"/>
        <v>100</v>
      </c>
      <c r="X31" s="1812"/>
      <c r="Y31" s="3285"/>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5"/>
      <c r="Q32" s="1809" t="str">
        <f t="shared" si="11"/>
        <v>公共部分装修</v>
      </c>
      <c r="R32" s="774" t="s">
        <v>17</v>
      </c>
      <c r="S32" s="775">
        <f t="shared" si="12"/>
        <v>100</v>
      </c>
      <c r="T32" s="774" t="s">
        <v>17</v>
      </c>
      <c r="U32" s="775">
        <f t="shared" si="13"/>
        <v>100</v>
      </c>
      <c r="V32" s="774" t="s">
        <v>17</v>
      </c>
      <c r="W32" s="775">
        <f t="shared" si="14"/>
        <v>100</v>
      </c>
      <c r="X32" s="1812"/>
      <c r="Y32" s="3285"/>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5"/>
      <c r="Q33" s="1809" t="str">
        <f t="shared" si="11"/>
        <v>成新度</v>
      </c>
      <c r="R33" s="774" t="s">
        <v>17</v>
      </c>
      <c r="S33" s="775" t="e">
        <f t="shared" si="12"/>
        <v>#N/A</v>
      </c>
      <c r="T33" s="774" t="s">
        <v>17</v>
      </c>
      <c r="U33" s="775" t="e">
        <f t="shared" si="13"/>
        <v>#N/A</v>
      </c>
      <c r="V33" s="774" t="s">
        <v>17</v>
      </c>
      <c r="W33" s="775" t="e">
        <f t="shared" si="14"/>
        <v>#N/A</v>
      </c>
      <c r="X33" s="1812"/>
      <c r="Y33" s="3285"/>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5"/>
      <c r="Q34" s="1794" t="str">
        <f t="shared" si="11"/>
        <v>物业管理</v>
      </c>
      <c r="R34" s="770" t="s">
        <v>17</v>
      </c>
      <c r="S34" s="771">
        <f t="shared" si="12"/>
        <v>100</v>
      </c>
      <c r="T34" s="770" t="s">
        <v>17</v>
      </c>
      <c r="U34" s="771">
        <f t="shared" si="13"/>
        <v>100</v>
      </c>
      <c r="V34" s="770" t="s">
        <v>17</v>
      </c>
      <c r="W34" s="771">
        <f t="shared" si="14"/>
        <v>100</v>
      </c>
      <c r="X34" s="772"/>
      <c r="Y34" s="3285"/>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5" t="s">
        <v>2558</v>
      </c>
      <c r="Q35" s="1809" t="str">
        <f t="shared" si="11"/>
        <v>市政基础设施</v>
      </c>
      <c r="R35" s="774" t="s">
        <v>17</v>
      </c>
      <c r="S35" s="775">
        <f t="shared" si="12"/>
        <v>100</v>
      </c>
      <c r="T35" s="774" t="s">
        <v>17</v>
      </c>
      <c r="U35" s="775">
        <f t="shared" si="13"/>
        <v>100</v>
      </c>
      <c r="V35" s="774" t="s">
        <v>17</v>
      </c>
      <c r="W35" s="775">
        <f t="shared" si="14"/>
        <v>100</v>
      </c>
      <c r="X35" s="1812"/>
      <c r="Y35" s="3285" t="s">
        <v>2558</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5"/>
      <c r="Q36" s="1809" t="str">
        <f t="shared" si="11"/>
        <v>内部装修</v>
      </c>
      <c r="R36" s="774" t="s">
        <v>17</v>
      </c>
      <c r="S36" s="775">
        <f t="shared" si="12"/>
        <v>100</v>
      </c>
      <c r="T36" s="774" t="s">
        <v>17</v>
      </c>
      <c r="U36" s="775">
        <f t="shared" si="13"/>
        <v>100</v>
      </c>
      <c r="V36" s="774" t="s">
        <v>17</v>
      </c>
      <c r="W36" s="775">
        <f t="shared" si="14"/>
        <v>100</v>
      </c>
      <c r="X36" s="1812"/>
      <c r="Y36" s="3285"/>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5"/>
      <c r="Q37" s="1809" t="str">
        <f t="shared" si="11"/>
        <v>内部装修状况</v>
      </c>
      <c r="R37" s="774" t="s">
        <v>17</v>
      </c>
      <c r="S37" s="775">
        <f t="shared" si="12"/>
        <v>100</v>
      </c>
      <c r="T37" s="774" t="s">
        <v>17</v>
      </c>
      <c r="U37" s="775">
        <f t="shared" si="13"/>
        <v>100</v>
      </c>
      <c r="V37" s="774" t="s">
        <v>17</v>
      </c>
      <c r="W37" s="775">
        <f t="shared" si="14"/>
        <v>100</v>
      </c>
      <c r="X37" s="1812"/>
      <c r="Y37" s="328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5"/>
      <c r="Q38" s="776">
        <f t="shared" si="11"/>
        <v>111</v>
      </c>
      <c r="R38" s="777" t="s">
        <v>17</v>
      </c>
      <c r="S38" s="778">
        <f t="shared" si="12"/>
        <v>100</v>
      </c>
      <c r="T38" s="777" t="s">
        <v>17</v>
      </c>
      <c r="U38" s="778">
        <f t="shared" si="13"/>
        <v>100</v>
      </c>
      <c r="V38" s="777" t="s">
        <v>17</v>
      </c>
      <c r="W38" s="778">
        <f t="shared" si="14"/>
        <v>100</v>
      </c>
      <c r="X38" s="779"/>
      <c r="Y38" s="328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5"/>
      <c r="Q39" s="1809">
        <f t="shared" si="11"/>
        <v>111</v>
      </c>
      <c r="R39" s="774" t="s">
        <v>17</v>
      </c>
      <c r="S39" s="775">
        <f t="shared" si="12"/>
        <v>100</v>
      </c>
      <c r="T39" s="774" t="s">
        <v>17</v>
      </c>
      <c r="U39" s="775">
        <f t="shared" si="13"/>
        <v>100</v>
      </c>
      <c r="V39" s="774" t="s">
        <v>17</v>
      </c>
      <c r="W39" s="775">
        <f t="shared" si="14"/>
        <v>100</v>
      </c>
      <c r="X39" s="1812"/>
      <c r="Y39" s="3285"/>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9"/>
      <c r="Q40" s="1809">
        <f t="shared" si="11"/>
        <v>111</v>
      </c>
      <c r="R40" s="774" t="s">
        <v>17</v>
      </c>
      <c r="S40" s="775">
        <f t="shared" si="12"/>
        <v>100</v>
      </c>
      <c r="T40" s="774" t="s">
        <v>17</v>
      </c>
      <c r="U40" s="775">
        <f t="shared" si="13"/>
        <v>100</v>
      </c>
      <c r="V40" s="774" t="s">
        <v>17</v>
      </c>
      <c r="W40" s="775">
        <f t="shared" si="14"/>
        <v>100</v>
      </c>
      <c r="X40" s="1812"/>
      <c r="Y40" s="3299"/>
      <c r="Z40" s="1813">
        <f t="shared" si="15"/>
        <v>111</v>
      </c>
      <c r="AA40" s="1810">
        <f t="shared" si="3"/>
        <v>1</v>
      </c>
      <c r="AB40" s="1810">
        <f t="shared" si="4"/>
        <v>1</v>
      </c>
      <c r="AC40" s="1810">
        <f t="shared" si="5"/>
        <v>1</v>
      </c>
    </row>
    <row r="41" spans="1:29" ht="15">
      <c r="A41" s="479" t="s">
        <v>2570</v>
      </c>
      <c r="B41" s="480"/>
      <c r="C41" s="1407" t="s">
        <v>1</v>
      </c>
      <c r="D41" s="1408"/>
      <c r="E41" s="1409"/>
      <c r="F41" s="1410"/>
      <c r="G41" s="1411"/>
      <c r="H41" s="1412"/>
      <c r="I41" s="1409"/>
      <c r="J41" s="1412"/>
      <c r="K41" s="783"/>
      <c r="L41" s="1143"/>
      <c r="M41" s="1144"/>
      <c r="N41" s="1131"/>
      <c r="O41" s="1144"/>
      <c r="P41" s="3267" t="str">
        <f>A41</f>
        <v>成交单价（元/平方米）</v>
      </c>
      <c r="Q41" s="3267"/>
      <c r="R41" s="3295">
        <f>E41</f>
        <v>0</v>
      </c>
      <c r="S41" s="3295"/>
      <c r="T41" s="3295">
        <f>G41</f>
        <v>0</v>
      </c>
      <c r="U41" s="3295"/>
      <c r="V41" s="3295">
        <f>I41</f>
        <v>0</v>
      </c>
      <c r="W41" s="3295"/>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67" t="str">
        <f>A42</f>
        <v>比较价值（元/平方米）</v>
      </c>
      <c r="Q42" s="3267"/>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87" t="str">
        <f>A43</f>
        <v>估价对象XX用房的比较价值（楼面单价，元/平方米）</v>
      </c>
      <c r="Q43" s="3288"/>
      <c r="R43" s="3294" t="e">
        <f>IF(F1="售价",ROUND(AVERAGE(R42:V42),0),ROUND(AVERAGE(R42:V42),1))</f>
        <v>#DIV/0!</v>
      </c>
      <c r="S43" s="3294"/>
      <c r="T43" s="3294"/>
      <c r="U43" s="3294"/>
      <c r="V43" s="3294"/>
      <c r="W43" s="32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1"/>
      <c r="F1" s="2583"/>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3" t="s">
        <v>2542</v>
      </c>
      <c r="Q7" s="3281"/>
      <c r="R7" s="770" t="s">
        <v>17</v>
      </c>
      <c r="S7" s="771">
        <f t="shared" ref="S7:S14" si="0">F7</f>
        <v>0</v>
      </c>
      <c r="T7" s="770" t="s">
        <v>17</v>
      </c>
      <c r="U7" s="771">
        <f t="shared" ref="U7:U14" si="1">H7</f>
        <v>0</v>
      </c>
      <c r="V7" s="770" t="s">
        <v>17</v>
      </c>
      <c r="W7" s="771">
        <f t="shared" ref="W7:W14" si="2">J7</f>
        <v>0</v>
      </c>
      <c r="X7" s="772"/>
      <c r="Y7" s="3253" t="s">
        <v>2542</v>
      </c>
      <c r="Z7" s="3254"/>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7" t="s">
        <v>2548</v>
      </c>
      <c r="Q9" s="1794" t="str">
        <f t="shared" ref="Q9:Q14" si="6">B9</f>
        <v>用途</v>
      </c>
      <c r="R9" s="770" t="s">
        <v>17</v>
      </c>
      <c r="S9" s="771">
        <f t="shared" si="0"/>
        <v>100</v>
      </c>
      <c r="T9" s="770" t="s">
        <v>17</v>
      </c>
      <c r="U9" s="771">
        <f t="shared" si="1"/>
        <v>100</v>
      </c>
      <c r="V9" s="770" t="s">
        <v>17</v>
      </c>
      <c r="W9" s="771">
        <f t="shared" si="2"/>
        <v>100</v>
      </c>
      <c r="X9" s="772"/>
      <c r="Y9" s="3113"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7"/>
      <c r="Q11" s="1794">
        <f t="shared" si="6"/>
        <v>111</v>
      </c>
      <c r="R11" s="770" t="s">
        <v>17</v>
      </c>
      <c r="S11" s="771">
        <f t="shared" si="0"/>
        <v>100</v>
      </c>
      <c r="T11" s="770" t="s">
        <v>17</v>
      </c>
      <c r="U11" s="771">
        <f t="shared" si="1"/>
        <v>100</v>
      </c>
      <c r="V11" s="770" t="s">
        <v>17</v>
      </c>
      <c r="W11" s="771">
        <f t="shared" si="2"/>
        <v>100</v>
      </c>
      <c r="X11" s="772"/>
      <c r="Y11" s="31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85.5">
      <c r="A14" s="401" t="s">
        <v>2552</v>
      </c>
      <c r="B14" s="629" t="s">
        <v>2702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2" t="s">
        <v>2553</v>
      </c>
      <c r="Q14" s="1809" t="str">
        <f t="shared" si="6"/>
        <v>交通便捷度</v>
      </c>
      <c r="R14" s="774" t="s">
        <v>17</v>
      </c>
      <c r="S14" s="775">
        <f t="shared" si="0"/>
        <v>100</v>
      </c>
      <c r="T14" s="774" t="s">
        <v>17</v>
      </c>
      <c r="U14" s="775">
        <f t="shared" si="1"/>
        <v>100</v>
      </c>
      <c r="V14" s="774" t="s">
        <v>17</v>
      </c>
      <c r="W14" s="775">
        <f t="shared" si="2"/>
        <v>100</v>
      </c>
      <c r="X14" s="1812"/>
      <c r="Y14" s="3282" t="s">
        <v>2553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3"/>
      <c r="Q15" s="1809"/>
      <c r="R15" s="774"/>
      <c r="S15" s="775"/>
      <c r="T15" s="774"/>
      <c r="U15" s="775"/>
      <c r="V15" s="774"/>
      <c r="W15" s="775"/>
      <c r="X15" s="1812"/>
      <c r="Y15" s="3283"/>
      <c r="Z15" s="1813"/>
      <c r="AA15" s="1810">
        <v>1</v>
      </c>
      <c r="AB15" s="1810">
        <v>1</v>
      </c>
      <c r="AC15" s="1810">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3"/>
      <c r="Q16" s="1809" t="str">
        <f>B16</f>
        <v>公共配套设施</v>
      </c>
      <c r="R16" s="774" t="s">
        <v>17</v>
      </c>
      <c r="S16" s="775">
        <f>F16</f>
        <v>100</v>
      </c>
      <c r="T16" s="774" t="s">
        <v>17</v>
      </c>
      <c r="U16" s="775">
        <f>H16</f>
        <v>100</v>
      </c>
      <c r="V16" s="774" t="s">
        <v>17</v>
      </c>
      <c r="W16" s="775">
        <f>J16</f>
        <v>100</v>
      </c>
      <c r="X16" s="1812"/>
      <c r="Y16" s="328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83"/>
      <c r="Q17" s="1809"/>
      <c r="R17" s="774"/>
      <c r="S17" s="775"/>
      <c r="T17" s="774"/>
      <c r="U17" s="775"/>
      <c r="V17" s="774"/>
      <c r="W17" s="775"/>
      <c r="X17" s="1812"/>
      <c r="Y17" s="3283"/>
      <c r="Z17" s="1813"/>
      <c r="AA17" s="1810">
        <v>1</v>
      </c>
      <c r="AB17" s="1810">
        <v>1</v>
      </c>
      <c r="AC17" s="1810">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3"/>
      <c r="Q18" s="1809" t="str">
        <f>B18</f>
        <v>基础设施水平</v>
      </c>
      <c r="R18" s="774" t="s">
        <v>17</v>
      </c>
      <c r="S18" s="775">
        <f>F18</f>
        <v>100</v>
      </c>
      <c r="T18" s="774" t="s">
        <v>17</v>
      </c>
      <c r="U18" s="775">
        <f>H18</f>
        <v>100</v>
      </c>
      <c r="V18" s="774" t="s">
        <v>17</v>
      </c>
      <c r="W18" s="775">
        <f>J18</f>
        <v>100</v>
      </c>
      <c r="X18" s="1812"/>
      <c r="Y18" s="328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83"/>
      <c r="Q19" s="1809"/>
      <c r="R19" s="774"/>
      <c r="S19" s="775"/>
      <c r="T19" s="774"/>
      <c r="U19" s="775"/>
      <c r="V19" s="774"/>
      <c r="W19" s="775"/>
      <c r="X19" s="1812"/>
      <c r="Y19" s="3283"/>
      <c r="Z19" s="1813"/>
      <c r="AA19" s="1810">
        <v>1</v>
      </c>
      <c r="AB19" s="1810">
        <v>1</v>
      </c>
      <c r="AC19" s="1810">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3"/>
      <c r="Q20" s="1809" t="str">
        <f>B20</f>
        <v>自然及人文环境</v>
      </c>
      <c r="R20" s="774" t="s">
        <v>17</v>
      </c>
      <c r="S20" s="775">
        <f>F20</f>
        <v>100</v>
      </c>
      <c r="T20" s="774" t="s">
        <v>17</v>
      </c>
      <c r="U20" s="775">
        <f>H20</f>
        <v>100</v>
      </c>
      <c r="V20" s="774" t="s">
        <v>17</v>
      </c>
      <c r="W20" s="775">
        <f>J20</f>
        <v>100</v>
      </c>
      <c r="X20" s="1812"/>
      <c r="Y20" s="328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3"/>
      <c r="Q21" s="1809"/>
      <c r="R21" s="774"/>
      <c r="S21" s="775"/>
      <c r="T21" s="774"/>
      <c r="U21" s="775"/>
      <c r="V21" s="774"/>
      <c r="W21" s="775"/>
      <c r="X21" s="1812"/>
      <c r="Y21" s="3283"/>
      <c r="Z21" s="1813"/>
      <c r="AA21" s="1810">
        <v>1</v>
      </c>
      <c r="AB21" s="1810">
        <v>1</v>
      </c>
      <c r="AC21" s="1810">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3"/>
      <c r="Q22" s="1809" t="str">
        <f>B22</f>
        <v>楼层</v>
      </c>
      <c r="R22" s="774" t="s">
        <v>17</v>
      </c>
      <c r="S22" s="775">
        <f>F22</f>
        <v>100</v>
      </c>
      <c r="T22" s="774" t="s">
        <v>17</v>
      </c>
      <c r="U22" s="775">
        <f>H22</f>
        <v>100</v>
      </c>
      <c r="V22" s="774" t="s">
        <v>17</v>
      </c>
      <c r="W22" s="775">
        <f>J22</f>
        <v>100</v>
      </c>
      <c r="X22" s="1812"/>
      <c r="Y22" s="328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3"/>
      <c r="Q23" s="1809">
        <f>B23</f>
        <v>111</v>
      </c>
      <c r="R23" s="774" t="s">
        <v>17</v>
      </c>
      <c r="S23" s="775">
        <f>F23</f>
        <v>100</v>
      </c>
      <c r="T23" s="774" t="s">
        <v>17</v>
      </c>
      <c r="U23" s="775">
        <f>H23</f>
        <v>100</v>
      </c>
      <c r="V23" s="774" t="s">
        <v>17</v>
      </c>
      <c r="W23" s="775">
        <f>J23</f>
        <v>100</v>
      </c>
      <c r="X23" s="1812"/>
      <c r="Y23" s="328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3"/>
      <c r="Q24" s="1809">
        <f t="shared" ref="Q24:Q36" si="11">B24</f>
        <v>111</v>
      </c>
      <c r="R24" s="774" t="s">
        <v>17</v>
      </c>
      <c r="S24" s="775">
        <f>F24</f>
        <v>100</v>
      </c>
      <c r="T24" s="774" t="s">
        <v>17</v>
      </c>
      <c r="U24" s="775">
        <f>H24</f>
        <v>100</v>
      </c>
      <c r="V24" s="774" t="s">
        <v>17</v>
      </c>
      <c r="W24" s="775">
        <f>J24</f>
        <v>100</v>
      </c>
      <c r="X24" s="1812"/>
      <c r="Y24" s="328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3"/>
      <c r="Q25" s="1794">
        <f t="shared" si="11"/>
        <v>111</v>
      </c>
      <c r="R25" s="770" t="s">
        <v>17</v>
      </c>
      <c r="S25" s="771">
        <f>F25</f>
        <v>100</v>
      </c>
      <c r="T25" s="770" t="s">
        <v>17</v>
      </c>
      <c r="U25" s="771">
        <f>H25</f>
        <v>100</v>
      </c>
      <c r="V25" s="770" t="s">
        <v>17</v>
      </c>
      <c r="W25" s="771">
        <f>J25</f>
        <v>100</v>
      </c>
      <c r="X25" s="772"/>
      <c r="Y25" s="3283"/>
      <c r="Z25" s="55">
        <f>Q25</f>
        <v>111</v>
      </c>
      <c r="AA25" s="1810">
        <f>D25/F25</f>
        <v>1</v>
      </c>
      <c r="AB25" s="1810">
        <f>D25/H25</f>
        <v>1</v>
      </c>
      <c r="AC25" s="1810">
        <f>D25/J25</f>
        <v>1</v>
      </c>
    </row>
    <row r="26" spans="1:29" ht="28.5">
      <c r="A26" s="652" t="s">
        <v>2556</v>
      </c>
      <c r="B26" s="70" t="s">
        <v>2705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4" t="s">
        <v>2558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85" t="s">
        <v>2558</v>
      </c>
      <c r="Z26" s="1813" t="str">
        <f t="shared" ref="Z26:Z36" si="15">Q26</f>
        <v>配套类型</v>
      </c>
      <c r="AA26" s="1810">
        <f t="shared" si="3"/>
        <v>1</v>
      </c>
      <c r="AB26" s="1810">
        <f t="shared" si="4"/>
        <v>1</v>
      </c>
      <c r="AC26" s="1810">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5"/>
      <c r="Q27" s="776" t="str">
        <f t="shared" si="11"/>
        <v>项目停车位配比</v>
      </c>
      <c r="R27" s="777" t="s">
        <v>17</v>
      </c>
      <c r="S27" s="778">
        <f t="shared" si="12"/>
        <v>100</v>
      </c>
      <c r="T27" s="777" t="s">
        <v>17</v>
      </c>
      <c r="U27" s="778">
        <f t="shared" si="13"/>
        <v>100</v>
      </c>
      <c r="V27" s="777" t="s">
        <v>17</v>
      </c>
      <c r="W27" s="778">
        <f t="shared" si="14"/>
        <v>100</v>
      </c>
      <c r="X27" s="779"/>
      <c r="Y27" s="3285"/>
      <c r="Z27" s="780" t="str">
        <f t="shared" si="15"/>
        <v>项目停车位配比</v>
      </c>
      <c r="AA27" s="1810">
        <f t="shared" si="3"/>
        <v>1</v>
      </c>
      <c r="AB27" s="1810">
        <f t="shared" si="4"/>
        <v>1</v>
      </c>
      <c r="AC27" s="1810">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5"/>
      <c r="Q28" s="1809" t="str">
        <f t="shared" si="11"/>
        <v>公共部分装修</v>
      </c>
      <c r="R28" s="774" t="s">
        <v>17</v>
      </c>
      <c r="S28" s="775">
        <f t="shared" si="12"/>
        <v>100</v>
      </c>
      <c r="T28" s="774" t="s">
        <v>17</v>
      </c>
      <c r="U28" s="775">
        <f t="shared" si="13"/>
        <v>100</v>
      </c>
      <c r="V28" s="774" t="s">
        <v>17</v>
      </c>
      <c r="W28" s="775">
        <f t="shared" si="14"/>
        <v>100</v>
      </c>
      <c r="X28" s="1812"/>
      <c r="Y28" s="3285"/>
      <c r="Z28" s="1813" t="str">
        <f t="shared" si="15"/>
        <v>公共部分装修</v>
      </c>
      <c r="AA28" s="1810">
        <f t="shared" si="3"/>
        <v>1</v>
      </c>
      <c r="AB28" s="1810">
        <f t="shared" si="4"/>
        <v>1</v>
      </c>
      <c r="AC28" s="1810">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5"/>
      <c r="Q29" s="1809" t="str">
        <f t="shared" si="11"/>
        <v>成新率</v>
      </c>
      <c r="R29" s="774" t="s">
        <v>17</v>
      </c>
      <c r="S29" s="775" t="e">
        <f t="shared" si="12"/>
        <v>#N/A</v>
      </c>
      <c r="T29" s="774" t="s">
        <v>17</v>
      </c>
      <c r="U29" s="775" t="e">
        <f t="shared" si="13"/>
        <v>#N/A</v>
      </c>
      <c r="V29" s="774" t="s">
        <v>17</v>
      </c>
      <c r="W29" s="775" t="e">
        <f t="shared" si="14"/>
        <v>#N/A</v>
      </c>
      <c r="X29" s="1812"/>
      <c r="Y29" s="3285"/>
      <c r="Z29" s="1813" t="str">
        <f t="shared" si="15"/>
        <v>成新率</v>
      </c>
      <c r="AA29" s="1810" t="e">
        <f t="shared" si="3"/>
        <v>#N/A</v>
      </c>
      <c r="AB29" s="1810" t="e">
        <f t="shared" si="4"/>
        <v>#N/A</v>
      </c>
      <c r="AC29" s="1810"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5"/>
      <c r="Q30" s="1809" t="str">
        <f t="shared" si="11"/>
        <v>物业等级</v>
      </c>
      <c r="R30" s="774" t="s">
        <v>17</v>
      </c>
      <c r="S30" s="775">
        <f t="shared" si="12"/>
        <v>100</v>
      </c>
      <c r="T30" s="774" t="s">
        <v>17</v>
      </c>
      <c r="U30" s="775">
        <f t="shared" si="13"/>
        <v>100</v>
      </c>
      <c r="V30" s="774" t="s">
        <v>17</v>
      </c>
      <c r="W30" s="775">
        <f t="shared" si="14"/>
        <v>100</v>
      </c>
      <c r="X30" s="1812"/>
      <c r="Y30" s="3285"/>
      <c r="Z30" s="1813" t="str">
        <f t="shared" si="15"/>
        <v>物业等级</v>
      </c>
      <c r="AA30" s="1810">
        <f t="shared" si="3"/>
        <v>1</v>
      </c>
      <c r="AB30" s="1810">
        <f t="shared" si="4"/>
        <v>1</v>
      </c>
      <c r="AC30" s="1810">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5"/>
      <c r="Q31" s="1794" t="str">
        <f t="shared" si="11"/>
        <v>停车位面积</v>
      </c>
      <c r="R31" s="770" t="s">
        <v>17</v>
      </c>
      <c r="S31" s="771" t="e">
        <f t="shared" si="12"/>
        <v>#N/A</v>
      </c>
      <c r="T31" s="770" t="s">
        <v>17</v>
      </c>
      <c r="U31" s="771" t="e">
        <f t="shared" si="13"/>
        <v>#N/A</v>
      </c>
      <c r="V31" s="770" t="s">
        <v>17</v>
      </c>
      <c r="W31" s="771" t="e">
        <f t="shared" si="14"/>
        <v>#N/A</v>
      </c>
      <c r="X31" s="772"/>
      <c r="Y31" s="3285"/>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5" t="s">
        <v>2558</v>
      </c>
      <c r="Q32" s="1809" t="str">
        <f t="shared" si="11"/>
        <v>车位类型</v>
      </c>
      <c r="R32" s="774" t="s">
        <v>17</v>
      </c>
      <c r="S32" s="775">
        <f t="shared" si="12"/>
        <v>100</v>
      </c>
      <c r="T32" s="774" t="s">
        <v>17</v>
      </c>
      <c r="U32" s="775">
        <f t="shared" si="13"/>
        <v>100</v>
      </c>
      <c r="V32" s="774" t="s">
        <v>17</v>
      </c>
      <c r="W32" s="775">
        <f t="shared" si="14"/>
        <v>100</v>
      </c>
      <c r="X32" s="1812"/>
      <c r="Y32" s="3285" t="s">
        <v>2558</v>
      </c>
      <c r="Z32" s="1813" t="str">
        <f t="shared" si="15"/>
        <v>车位类型</v>
      </c>
      <c r="AA32" s="1810">
        <f t="shared" si="3"/>
        <v>1</v>
      </c>
      <c r="AB32" s="1810">
        <f t="shared" si="4"/>
        <v>1</v>
      </c>
      <c r="AC32" s="1810">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5"/>
      <c r="Q33" s="1809" t="str">
        <f t="shared" si="11"/>
        <v>是否直接入户</v>
      </c>
      <c r="R33" s="774" t="s">
        <v>17</v>
      </c>
      <c r="S33" s="775">
        <f t="shared" si="12"/>
        <v>100</v>
      </c>
      <c r="T33" s="774" t="s">
        <v>17</v>
      </c>
      <c r="U33" s="775">
        <f t="shared" si="13"/>
        <v>100</v>
      </c>
      <c r="V33" s="774" t="s">
        <v>17</v>
      </c>
      <c r="W33" s="775">
        <f t="shared" si="14"/>
        <v>100</v>
      </c>
      <c r="X33" s="1812"/>
      <c r="Y33" s="32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5"/>
      <c r="Q34" s="1809">
        <f t="shared" si="11"/>
        <v>111</v>
      </c>
      <c r="R34" s="774" t="s">
        <v>17</v>
      </c>
      <c r="S34" s="775">
        <f t="shared" si="12"/>
        <v>100</v>
      </c>
      <c r="T34" s="774" t="s">
        <v>17</v>
      </c>
      <c r="U34" s="775">
        <f t="shared" si="13"/>
        <v>100</v>
      </c>
      <c r="V34" s="774" t="s">
        <v>17</v>
      </c>
      <c r="W34" s="775">
        <f t="shared" si="14"/>
        <v>100</v>
      </c>
      <c r="X34" s="1812"/>
      <c r="Y34" s="32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5"/>
      <c r="Q35" s="776">
        <f t="shared" si="11"/>
        <v>111</v>
      </c>
      <c r="R35" s="777" t="s">
        <v>17</v>
      </c>
      <c r="S35" s="778">
        <f t="shared" si="12"/>
        <v>100</v>
      </c>
      <c r="T35" s="777" t="s">
        <v>17</v>
      </c>
      <c r="U35" s="778">
        <f t="shared" si="13"/>
        <v>100</v>
      </c>
      <c r="V35" s="777" t="s">
        <v>17</v>
      </c>
      <c r="W35" s="778">
        <f t="shared" si="14"/>
        <v>100</v>
      </c>
      <c r="X35" s="779"/>
      <c r="Y35" s="328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5"/>
      <c r="Q36" s="1809">
        <f t="shared" si="11"/>
        <v>111</v>
      </c>
      <c r="R36" s="774" t="s">
        <v>17</v>
      </c>
      <c r="S36" s="775">
        <f t="shared" si="12"/>
        <v>100</v>
      </c>
      <c r="T36" s="774" t="s">
        <v>17</v>
      </c>
      <c r="U36" s="775">
        <f t="shared" si="13"/>
        <v>100</v>
      </c>
      <c r="V36" s="774" t="s">
        <v>17</v>
      </c>
      <c r="W36" s="775">
        <f t="shared" si="14"/>
        <v>100</v>
      </c>
      <c r="X36" s="1812"/>
      <c r="Y36" s="3285"/>
      <c r="Z36" s="1813">
        <f t="shared" si="15"/>
        <v>111</v>
      </c>
      <c r="AA36" s="1810">
        <f t="shared" si="3"/>
        <v>1</v>
      </c>
      <c r="AB36" s="1810">
        <f t="shared" si="4"/>
        <v>1</v>
      </c>
      <c r="AC36" s="1810">
        <f t="shared" si="5"/>
        <v>1</v>
      </c>
    </row>
    <row r="37" spans="1:29" ht="15">
      <c r="A37" s="479" t="s">
        <v>2713</v>
      </c>
      <c r="B37" s="2693" t="s">
        <v>2714</v>
      </c>
      <c r="C37" s="1407" t="s">
        <v>1</v>
      </c>
      <c r="D37" s="1408"/>
      <c r="E37" s="1409"/>
      <c r="F37" s="1410"/>
      <c r="G37" s="1411"/>
      <c r="H37" s="1412"/>
      <c r="I37" s="1409"/>
      <c r="J37" s="1412"/>
      <c r="K37" s="619"/>
      <c r="L37" s="1143"/>
      <c r="M37" s="1144"/>
      <c r="N37" s="1131"/>
      <c r="O37" s="1144"/>
      <c r="P37" s="3267" t="str">
        <f>A37</f>
        <v>成交单价</v>
      </c>
      <c r="Q37" s="3267"/>
      <c r="R37" s="3295">
        <f>E37</f>
        <v>0</v>
      </c>
      <c r="S37" s="3295"/>
      <c r="T37" s="3295">
        <f>G37</f>
        <v>0</v>
      </c>
      <c r="U37" s="3295"/>
      <c r="V37" s="3295">
        <f>I37</f>
        <v>0</v>
      </c>
      <c r="W37" s="3295"/>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7" t="str">
        <f>A38</f>
        <v>比较价值（元/平方米）</v>
      </c>
      <c r="Q38" s="3267"/>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87" t="str">
        <f>A39</f>
        <v>估价对象XX用房的比较价值（楼面单价，元/平方米）</v>
      </c>
      <c r="Q39" s="3288"/>
      <c r="R39" s="3294" t="e">
        <f>IF(F1="售价",ROUND(AVERAGE(R38:V38),0),ROUND(AVERAGE(R38:V38),1))</f>
        <v>#DIV/0!</v>
      </c>
      <c r="S39" s="3294"/>
      <c r="T39" s="3294"/>
      <c r="U39" s="3294"/>
      <c r="V39" s="3294"/>
      <c r="W39" s="32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53" t="s">
        <v>2542</v>
      </c>
      <c r="Q7" s="3281"/>
      <c r="R7" s="770" t="s">
        <v>17</v>
      </c>
      <c r="S7" s="771">
        <f t="shared" ref="S7:S14" si="0">F7</f>
        <v>0</v>
      </c>
      <c r="T7" s="770" t="s">
        <v>17</v>
      </c>
      <c r="U7" s="771">
        <f t="shared" ref="U7:U14" si="1">H7</f>
        <v>0</v>
      </c>
      <c r="V7" s="770" t="s">
        <v>17</v>
      </c>
      <c r="W7" s="771">
        <f t="shared" ref="W7:W14" si="2">J7</f>
        <v>0</v>
      </c>
      <c r="X7" s="772"/>
      <c r="Y7" s="3253" t="s">
        <v>2542</v>
      </c>
      <c r="Z7" s="3254"/>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7" t="s">
        <v>2548</v>
      </c>
      <c r="Q9" s="1794" t="str">
        <f t="shared" ref="Q9:Q14" si="6">B9</f>
        <v>用途</v>
      </c>
      <c r="R9" s="770" t="s">
        <v>17</v>
      </c>
      <c r="S9" s="771">
        <f t="shared" si="0"/>
        <v>100</v>
      </c>
      <c r="T9" s="770" t="s">
        <v>17</v>
      </c>
      <c r="U9" s="771">
        <f t="shared" si="1"/>
        <v>100</v>
      </c>
      <c r="V9" s="770" t="s">
        <v>17</v>
      </c>
      <c r="W9" s="771">
        <f t="shared" si="2"/>
        <v>100</v>
      </c>
      <c r="X9" s="772"/>
      <c r="Y9" s="3113"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7"/>
      <c r="Q11" s="1794">
        <f t="shared" si="6"/>
        <v>111</v>
      </c>
      <c r="R11" s="770" t="s">
        <v>17</v>
      </c>
      <c r="S11" s="771">
        <f t="shared" si="0"/>
        <v>100</v>
      </c>
      <c r="T11" s="770" t="s">
        <v>17</v>
      </c>
      <c r="U11" s="771">
        <f t="shared" si="1"/>
        <v>100</v>
      </c>
      <c r="V11" s="770" t="s">
        <v>17</v>
      </c>
      <c r="W11" s="771">
        <f t="shared" si="2"/>
        <v>100</v>
      </c>
      <c r="X11" s="772"/>
      <c r="Y11" s="311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85.5">
      <c r="A14" s="440" t="s">
        <v>2552</v>
      </c>
      <c r="B14" s="69" t="s">
        <v>2702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2" t="s">
        <v>2553</v>
      </c>
      <c r="Q14" s="1809" t="str">
        <f t="shared" si="6"/>
        <v>交通便捷度</v>
      </c>
      <c r="R14" s="774" t="s">
        <v>17</v>
      </c>
      <c r="S14" s="775">
        <f t="shared" si="0"/>
        <v>100</v>
      </c>
      <c r="T14" s="774" t="s">
        <v>17</v>
      </c>
      <c r="U14" s="775">
        <f t="shared" si="1"/>
        <v>100</v>
      </c>
      <c r="V14" s="774" t="s">
        <v>17</v>
      </c>
      <c r="W14" s="775">
        <f t="shared" si="2"/>
        <v>100</v>
      </c>
      <c r="X14" s="1812"/>
      <c r="Y14" s="3282" t="s">
        <v>2553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3"/>
      <c r="Q15" s="1809"/>
      <c r="R15" s="774"/>
      <c r="S15" s="775"/>
      <c r="T15" s="774"/>
      <c r="U15" s="775"/>
      <c r="V15" s="774"/>
      <c r="W15" s="775"/>
      <c r="X15" s="1812"/>
      <c r="Y15" s="3283"/>
      <c r="Z15" s="1813"/>
      <c r="AA15" s="1810">
        <v>1</v>
      </c>
      <c r="AB15" s="1810">
        <v>1</v>
      </c>
      <c r="AC15" s="1810">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3"/>
      <c r="Q16" s="1809" t="str">
        <f>B16</f>
        <v>公共配套设施</v>
      </c>
      <c r="R16" s="774" t="s">
        <v>17</v>
      </c>
      <c r="S16" s="775">
        <f>F16</f>
        <v>100</v>
      </c>
      <c r="T16" s="774" t="s">
        <v>17</v>
      </c>
      <c r="U16" s="775">
        <f>H16</f>
        <v>100</v>
      </c>
      <c r="V16" s="774" t="s">
        <v>17</v>
      </c>
      <c r="W16" s="775">
        <f>J16</f>
        <v>100</v>
      </c>
      <c r="X16" s="1812"/>
      <c r="Y16" s="328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83"/>
      <c r="Q17" s="1809"/>
      <c r="R17" s="774"/>
      <c r="S17" s="775"/>
      <c r="T17" s="774"/>
      <c r="U17" s="775"/>
      <c r="V17" s="774"/>
      <c r="W17" s="775"/>
      <c r="X17" s="1812"/>
      <c r="Y17" s="3283"/>
      <c r="Z17" s="1813"/>
      <c r="AA17" s="1810">
        <v>1</v>
      </c>
      <c r="AB17" s="1810">
        <v>1</v>
      </c>
      <c r="AC17" s="1810">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3"/>
      <c r="Q18" s="1809" t="str">
        <f>B18</f>
        <v>基础设施水平</v>
      </c>
      <c r="R18" s="774" t="s">
        <v>17</v>
      </c>
      <c r="S18" s="775">
        <f>F18</f>
        <v>100</v>
      </c>
      <c r="T18" s="774" t="s">
        <v>17</v>
      </c>
      <c r="U18" s="775">
        <f>H18</f>
        <v>100</v>
      </c>
      <c r="V18" s="774" t="s">
        <v>17</v>
      </c>
      <c r="W18" s="775">
        <f>J18</f>
        <v>100</v>
      </c>
      <c r="X18" s="1812"/>
      <c r="Y18" s="3283"/>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83"/>
      <c r="Q19" s="1809"/>
      <c r="R19" s="774"/>
      <c r="S19" s="775"/>
      <c r="T19" s="774"/>
      <c r="U19" s="775"/>
      <c r="V19" s="774"/>
      <c r="W19" s="775"/>
      <c r="X19" s="1812"/>
      <c r="Y19" s="3283"/>
      <c r="Z19" s="1813"/>
      <c r="AA19" s="1810">
        <v>1</v>
      </c>
      <c r="AB19" s="1810">
        <v>1</v>
      </c>
      <c r="AC19" s="1810">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3"/>
      <c r="Q20" s="1809" t="str">
        <f>B20</f>
        <v>自然及人文环境</v>
      </c>
      <c r="R20" s="774" t="s">
        <v>17</v>
      </c>
      <c r="S20" s="775">
        <f>F20</f>
        <v>100</v>
      </c>
      <c r="T20" s="774" t="s">
        <v>17</v>
      </c>
      <c r="U20" s="775">
        <f>H20</f>
        <v>100</v>
      </c>
      <c r="V20" s="774" t="s">
        <v>17</v>
      </c>
      <c r="W20" s="775">
        <f>J20</f>
        <v>100</v>
      </c>
      <c r="X20" s="1812"/>
      <c r="Y20" s="328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3"/>
      <c r="Q21" s="1809"/>
      <c r="R21" s="774"/>
      <c r="S21" s="775"/>
      <c r="T21" s="774"/>
      <c r="U21" s="775"/>
      <c r="V21" s="774"/>
      <c r="W21" s="775"/>
      <c r="X21" s="1812"/>
      <c r="Y21" s="3283"/>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3"/>
      <c r="Q22" s="1809" t="str">
        <f>B22</f>
        <v>楼层</v>
      </c>
      <c r="R22" s="774" t="s">
        <v>17</v>
      </c>
      <c r="S22" s="775">
        <f>F22</f>
        <v>100</v>
      </c>
      <c r="T22" s="774" t="s">
        <v>17</v>
      </c>
      <c r="U22" s="775">
        <f>H22</f>
        <v>100</v>
      </c>
      <c r="V22" s="774" t="s">
        <v>17</v>
      </c>
      <c r="W22" s="775">
        <f>J22</f>
        <v>100</v>
      </c>
      <c r="X22" s="1812"/>
      <c r="Y22" s="328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3"/>
      <c r="Q23" s="1809">
        <f>B23</f>
        <v>111</v>
      </c>
      <c r="R23" s="774" t="s">
        <v>17</v>
      </c>
      <c r="S23" s="775">
        <f>F23</f>
        <v>100</v>
      </c>
      <c r="T23" s="774" t="s">
        <v>17</v>
      </c>
      <c r="U23" s="775">
        <f>H23</f>
        <v>100</v>
      </c>
      <c r="V23" s="774" t="s">
        <v>17</v>
      </c>
      <c r="W23" s="775">
        <f>J23</f>
        <v>100</v>
      </c>
      <c r="X23" s="1812"/>
      <c r="Y23" s="328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3"/>
      <c r="Q24" s="1809">
        <f t="shared" ref="Q24:Q34" si="11">B24</f>
        <v>111</v>
      </c>
      <c r="R24" s="774" t="s">
        <v>17</v>
      </c>
      <c r="S24" s="775">
        <f>F24</f>
        <v>100</v>
      </c>
      <c r="T24" s="774" t="s">
        <v>17</v>
      </c>
      <c r="U24" s="775">
        <f>H24</f>
        <v>100</v>
      </c>
      <c r="V24" s="774" t="s">
        <v>17</v>
      </c>
      <c r="W24" s="775">
        <f>J24</f>
        <v>100</v>
      </c>
      <c r="X24" s="1812"/>
      <c r="Y24" s="3283"/>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83"/>
      <c r="Q25" s="1794">
        <f t="shared" si="11"/>
        <v>111</v>
      </c>
      <c r="R25" s="770" t="s">
        <v>17</v>
      </c>
      <c r="S25" s="771">
        <f>F25</f>
        <v>100</v>
      </c>
      <c r="T25" s="770" t="s">
        <v>17</v>
      </c>
      <c r="U25" s="771">
        <f>H25</f>
        <v>100</v>
      </c>
      <c r="V25" s="770" t="s">
        <v>17</v>
      </c>
      <c r="W25" s="771">
        <f>J25</f>
        <v>100</v>
      </c>
      <c r="X25" s="772"/>
      <c r="Y25" s="3283"/>
      <c r="Z25" s="55">
        <f>Q25</f>
        <v>111</v>
      </c>
      <c r="AA25" s="1810">
        <f>D25/F25</f>
        <v>1</v>
      </c>
      <c r="AB25" s="1810">
        <f>D25/H25</f>
        <v>1</v>
      </c>
      <c r="AC25" s="1810">
        <f>D25/J25</f>
        <v>1</v>
      </c>
    </row>
    <row r="26" spans="1:29" ht="28.5">
      <c r="A26" s="466" t="s">
        <v>2556</v>
      </c>
      <c r="B26" s="71" t="s">
        <v>2707</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4" t="s">
        <v>2558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85" t="s">
        <v>2558</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5"/>
      <c r="Q27" s="776" t="str">
        <f t="shared" si="11"/>
        <v>成新率</v>
      </c>
      <c r="R27" s="777" t="s">
        <v>17</v>
      </c>
      <c r="S27" s="778" t="e">
        <f t="shared" si="12"/>
        <v>#N/A</v>
      </c>
      <c r="T27" s="777" t="s">
        <v>17</v>
      </c>
      <c r="U27" s="778" t="e">
        <f t="shared" si="13"/>
        <v>#N/A</v>
      </c>
      <c r="V27" s="777" t="s">
        <v>17</v>
      </c>
      <c r="W27" s="778" t="e">
        <f t="shared" si="14"/>
        <v>#N/A</v>
      </c>
      <c r="X27" s="779"/>
      <c r="Y27" s="3285"/>
      <c r="Z27" s="780"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5"/>
      <c r="Q28" s="1809" t="str">
        <f t="shared" si="11"/>
        <v>物业等级</v>
      </c>
      <c r="R28" s="774" t="s">
        <v>17</v>
      </c>
      <c r="S28" s="775">
        <f t="shared" si="12"/>
        <v>100</v>
      </c>
      <c r="T28" s="774" t="s">
        <v>17</v>
      </c>
      <c r="U28" s="775">
        <f t="shared" si="13"/>
        <v>100</v>
      </c>
      <c r="V28" s="774" t="s">
        <v>17</v>
      </c>
      <c r="W28" s="775">
        <f t="shared" si="14"/>
        <v>100</v>
      </c>
      <c r="X28" s="1812"/>
      <c r="Y28" s="3285"/>
      <c r="Z28" s="1813" t="str">
        <f t="shared" si="15"/>
        <v>物业等级</v>
      </c>
      <c r="AA28" s="1810">
        <f t="shared" si="3"/>
        <v>1</v>
      </c>
      <c r="AB28" s="1810">
        <f t="shared" si="4"/>
        <v>1</v>
      </c>
      <c r="AC28" s="1810">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5"/>
      <c r="Q29" s="1809" t="str">
        <f t="shared" si="11"/>
        <v>有无电梯</v>
      </c>
      <c r="R29" s="774" t="s">
        <v>17</v>
      </c>
      <c r="S29" s="775">
        <f t="shared" si="12"/>
        <v>100</v>
      </c>
      <c r="T29" s="774" t="s">
        <v>17</v>
      </c>
      <c r="U29" s="775">
        <f t="shared" si="13"/>
        <v>100</v>
      </c>
      <c r="V29" s="774" t="s">
        <v>17</v>
      </c>
      <c r="W29" s="775">
        <f t="shared" si="14"/>
        <v>100</v>
      </c>
      <c r="X29" s="1812"/>
      <c r="Y29" s="3285"/>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5"/>
      <c r="Q30" s="1809" t="str">
        <f t="shared" si="11"/>
        <v>建筑面积</v>
      </c>
      <c r="R30" s="774" t="s">
        <v>17</v>
      </c>
      <c r="S30" s="775" t="e">
        <f t="shared" si="12"/>
        <v>#N/A</v>
      </c>
      <c r="T30" s="774" t="s">
        <v>17</v>
      </c>
      <c r="U30" s="775" t="e">
        <f t="shared" si="13"/>
        <v>#N/A</v>
      </c>
      <c r="V30" s="774" t="s">
        <v>17</v>
      </c>
      <c r="W30" s="775" t="e">
        <f t="shared" si="14"/>
        <v>#N/A</v>
      </c>
      <c r="X30" s="1812"/>
      <c r="Y30" s="3285"/>
      <c r="Z30" s="1813" t="str">
        <f t="shared" si="15"/>
        <v>建筑面积</v>
      </c>
      <c r="AA30" s="1810" t="e">
        <f t="shared" si="3"/>
        <v>#N/A</v>
      </c>
      <c r="AB30" s="1810" t="e">
        <f t="shared" si="4"/>
        <v>#N/A</v>
      </c>
      <c r="AC30" s="1810"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5"/>
      <c r="Q31" s="1794" t="str">
        <f t="shared" si="11"/>
        <v>是否封闭</v>
      </c>
      <c r="R31" s="770" t="s">
        <v>17</v>
      </c>
      <c r="S31" s="771">
        <f t="shared" si="12"/>
        <v>100</v>
      </c>
      <c r="T31" s="770" t="s">
        <v>17</v>
      </c>
      <c r="U31" s="771">
        <f t="shared" si="13"/>
        <v>100</v>
      </c>
      <c r="V31" s="770" t="s">
        <v>17</v>
      </c>
      <c r="W31" s="771">
        <f t="shared" si="14"/>
        <v>100</v>
      </c>
      <c r="X31" s="772"/>
      <c r="Y31" s="328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5" t="s">
        <v>2558</v>
      </c>
      <c r="Q32" s="1809">
        <f t="shared" si="11"/>
        <v>111</v>
      </c>
      <c r="R32" s="774" t="s">
        <v>17</v>
      </c>
      <c r="S32" s="775">
        <f t="shared" si="12"/>
        <v>100</v>
      </c>
      <c r="T32" s="774" t="s">
        <v>17</v>
      </c>
      <c r="U32" s="775">
        <f t="shared" si="13"/>
        <v>100</v>
      </c>
      <c r="V32" s="774" t="s">
        <v>17</v>
      </c>
      <c r="W32" s="775">
        <f t="shared" si="14"/>
        <v>100</v>
      </c>
      <c r="X32" s="1812"/>
      <c r="Y32" s="3285" t="s">
        <v>2558</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5"/>
      <c r="Q33" s="1809">
        <f t="shared" si="11"/>
        <v>111</v>
      </c>
      <c r="R33" s="774" t="s">
        <v>17</v>
      </c>
      <c r="S33" s="775">
        <f t="shared" si="12"/>
        <v>100</v>
      </c>
      <c r="T33" s="774" t="s">
        <v>17</v>
      </c>
      <c r="U33" s="775">
        <f t="shared" si="13"/>
        <v>100</v>
      </c>
      <c r="V33" s="774" t="s">
        <v>17</v>
      </c>
      <c r="W33" s="775">
        <f t="shared" si="14"/>
        <v>100</v>
      </c>
      <c r="X33" s="1812"/>
      <c r="Y33" s="3285"/>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85"/>
      <c r="Q34" s="1809">
        <f t="shared" si="11"/>
        <v>111</v>
      </c>
      <c r="R34" s="774" t="s">
        <v>17</v>
      </c>
      <c r="S34" s="775">
        <f t="shared" si="12"/>
        <v>100</v>
      </c>
      <c r="T34" s="774" t="s">
        <v>17</v>
      </c>
      <c r="U34" s="775">
        <f t="shared" si="13"/>
        <v>100</v>
      </c>
      <c r="V34" s="774" t="s">
        <v>17</v>
      </c>
      <c r="W34" s="775">
        <f t="shared" si="14"/>
        <v>100</v>
      </c>
      <c r="X34" s="1812"/>
      <c r="Y34" s="3285"/>
      <c r="Z34" s="1813">
        <f t="shared" si="15"/>
        <v>111</v>
      </c>
      <c r="AA34" s="1810">
        <f t="shared" si="3"/>
        <v>1</v>
      </c>
      <c r="AB34" s="1810">
        <f t="shared" si="4"/>
        <v>1</v>
      </c>
      <c r="AC34" s="1810">
        <f t="shared" si="5"/>
        <v>1</v>
      </c>
    </row>
    <row r="35" spans="1:29" ht="15">
      <c r="A35" s="479" t="s">
        <v>2570</v>
      </c>
      <c r="B35" s="480"/>
      <c r="C35" s="1407" t="s">
        <v>1</v>
      </c>
      <c r="D35" s="1408"/>
      <c r="E35" s="1409"/>
      <c r="F35" s="1410"/>
      <c r="G35" s="1411"/>
      <c r="H35" s="1412"/>
      <c r="I35" s="1409"/>
      <c r="J35" s="1412"/>
      <c r="K35" s="783"/>
      <c r="L35" s="1143"/>
      <c r="M35" s="1144"/>
      <c r="N35" s="1131"/>
      <c r="O35" s="1144"/>
      <c r="P35" s="3267" t="str">
        <f>A35</f>
        <v>成交单价（元/平方米）</v>
      </c>
      <c r="Q35" s="3267"/>
      <c r="R35" s="3295">
        <f>E35</f>
        <v>0</v>
      </c>
      <c r="S35" s="3295"/>
      <c r="T35" s="3295">
        <f>G35</f>
        <v>0</v>
      </c>
      <c r="U35" s="3295"/>
      <c r="V35" s="3295">
        <f>I35</f>
        <v>0</v>
      </c>
      <c r="W35" s="3295"/>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67" t="str">
        <f>A36</f>
        <v>比较价值（元/平方米）</v>
      </c>
      <c r="Q36" s="3267"/>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87" t="str">
        <f>A37</f>
        <v>估价对象XX用房的比较价值（楼面单价，元/平方米）</v>
      </c>
      <c r="Q37" s="3288"/>
      <c r="R37" s="3294" t="e">
        <f>IF(F1="售价",ROUND(AVERAGE(R36:V36),0),ROUND(AVERAGE(R36:V36),1))</f>
        <v>#DIV/0!</v>
      </c>
      <c r="S37" s="3294"/>
      <c r="T37" s="3294"/>
      <c r="U37" s="3294"/>
      <c r="V37" s="3294"/>
      <c r="W37" s="32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344" t="s">
        <v>2790</v>
      </c>
      <c r="D6" s="3345"/>
      <c r="E6" s="3346" t="s">
        <v>2790</v>
      </c>
      <c r="F6" s="3347"/>
      <c r="G6" s="3344" t="s">
        <v>2790</v>
      </c>
      <c r="H6" s="3345"/>
      <c r="I6" s="3344" t="s">
        <v>2790</v>
      </c>
      <c r="J6" s="3345"/>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53"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40" si="3">D8/F8</f>
        <v>#DIV/0!</v>
      </c>
      <c r="AB8" s="773" t="e">
        <f t="shared" ref="AB8:AB40" si="4">D8/H8</f>
        <v>#DIV/0!</v>
      </c>
      <c r="AC8" s="773" t="e">
        <f t="shared" ref="AC8:AC40" si="5">D8/J8</f>
        <v>#DIV/0!</v>
      </c>
    </row>
    <row r="9" spans="1:29" s="117" customFormat="1">
      <c r="A9" s="415" t="s">
        <v>2546</v>
      </c>
      <c r="B9" s="71" t="s">
        <v>2547</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67"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57">
      <c r="A15" s="440" t="s">
        <v>2552</v>
      </c>
      <c r="B15" s="629" t="s">
        <v>2791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2" t="s">
        <v>2553</v>
      </c>
      <c r="Q15" s="1809" t="str">
        <f t="shared" si="6"/>
        <v>产业集聚程度</v>
      </c>
      <c r="R15" s="774" t="s">
        <v>17</v>
      </c>
      <c r="S15" s="775">
        <f t="shared" si="0"/>
        <v>100</v>
      </c>
      <c r="T15" s="774" t="s">
        <v>17</v>
      </c>
      <c r="U15" s="775">
        <f t="shared" si="1"/>
        <v>100</v>
      </c>
      <c r="V15" s="774" t="s">
        <v>17</v>
      </c>
      <c r="W15" s="775">
        <f t="shared" si="2"/>
        <v>100</v>
      </c>
      <c r="X15" s="1812"/>
      <c r="Y15" s="3282" t="s">
        <v>2553</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83"/>
      <c r="Q16" s="1809"/>
      <c r="R16" s="774"/>
      <c r="S16" s="775"/>
      <c r="T16" s="774"/>
      <c r="U16" s="775"/>
      <c r="V16" s="774"/>
      <c r="W16" s="775"/>
      <c r="X16" s="1812"/>
      <c r="Y16" s="3283"/>
      <c r="Z16" s="1813"/>
      <c r="AA16" s="1810">
        <v>1</v>
      </c>
      <c r="AB16" s="1810">
        <v>1</v>
      </c>
      <c r="AC16" s="1810">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3"/>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83"/>
      <c r="Q18" s="1809"/>
      <c r="R18" s="774"/>
      <c r="S18" s="775"/>
      <c r="T18" s="774"/>
      <c r="U18" s="775"/>
      <c r="V18" s="774"/>
      <c r="W18" s="775"/>
      <c r="X18" s="1812"/>
      <c r="Y18" s="3283"/>
      <c r="Z18" s="1813"/>
      <c r="AA18" s="1810">
        <v>1</v>
      </c>
      <c r="AB18" s="1810">
        <v>1</v>
      </c>
      <c r="AC18" s="1810">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3"/>
      <c r="Q19" s="1809" t="str">
        <f t="shared" ref="Q19:Q33" si="8">B19</f>
        <v>区域土地利用方向</v>
      </c>
      <c r="R19" s="774" t="s">
        <v>17</v>
      </c>
      <c r="S19" s="775">
        <f>F19</f>
        <v>100</v>
      </c>
      <c r="T19" s="774" t="s">
        <v>17</v>
      </c>
      <c r="U19" s="775">
        <f>H19</f>
        <v>100</v>
      </c>
      <c r="V19" s="774" t="s">
        <v>17</v>
      </c>
      <c r="W19" s="775">
        <f>J19</f>
        <v>100</v>
      </c>
      <c r="X19" s="1812"/>
      <c r="Y19" s="328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83"/>
      <c r="Q20" s="1809"/>
      <c r="R20" s="774"/>
      <c r="S20" s="775"/>
      <c r="T20" s="774"/>
      <c r="U20" s="775"/>
      <c r="V20" s="774"/>
      <c r="W20" s="775"/>
      <c r="X20" s="1812"/>
      <c r="Y20" s="3283"/>
      <c r="Z20" s="1813"/>
      <c r="AA20" s="1810"/>
      <c r="AB20" s="1810"/>
      <c r="AC20" s="1810"/>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3"/>
      <c r="Q21" s="1809" t="str">
        <f t="shared" si="8"/>
        <v>环境状况</v>
      </c>
      <c r="R21" s="774" t="s">
        <v>17</v>
      </c>
      <c r="S21" s="775">
        <f>F21</f>
        <v>100</v>
      </c>
      <c r="T21" s="774" t="s">
        <v>17</v>
      </c>
      <c r="U21" s="775">
        <f>H21</f>
        <v>100</v>
      </c>
      <c r="V21" s="774" t="s">
        <v>17</v>
      </c>
      <c r="W21" s="775">
        <f>J21</f>
        <v>100</v>
      </c>
      <c r="X21" s="1812"/>
      <c r="Y21" s="328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83"/>
      <c r="Q22" s="1809"/>
      <c r="R22" s="774"/>
      <c r="S22" s="775"/>
      <c r="T22" s="774"/>
      <c r="U22" s="775"/>
      <c r="V22" s="774"/>
      <c r="W22" s="775"/>
      <c r="X22" s="1812"/>
      <c r="Y22" s="3283"/>
      <c r="Z22" s="1813"/>
      <c r="AA22" s="1810">
        <v>1</v>
      </c>
      <c r="AB22" s="1810">
        <v>1</v>
      </c>
      <c r="AC22" s="1810">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3"/>
      <c r="Q23" s="1794" t="str">
        <f t="shared" si="8"/>
        <v>公共配套设施</v>
      </c>
      <c r="R23" s="770" t="s">
        <v>17</v>
      </c>
      <c r="S23" s="771">
        <f>F23</f>
        <v>100</v>
      </c>
      <c r="T23" s="770" t="s">
        <v>17</v>
      </c>
      <c r="U23" s="771">
        <f>H23</f>
        <v>100</v>
      </c>
      <c r="V23" s="770" t="s">
        <v>17</v>
      </c>
      <c r="W23" s="771">
        <f>J23</f>
        <v>100</v>
      </c>
      <c r="X23" s="772"/>
      <c r="Y23" s="3283"/>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83"/>
      <c r="Q24" s="1794"/>
      <c r="R24" s="770"/>
      <c r="S24" s="771"/>
      <c r="T24" s="770"/>
      <c r="U24" s="771"/>
      <c r="V24" s="770"/>
      <c r="W24" s="771"/>
      <c r="X24" s="772"/>
      <c r="Y24" s="3283"/>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3"/>
      <c r="Q25" s="1794" t="str">
        <f t="shared" ref="Q25" si="9">B25</f>
        <v>基础设施水平</v>
      </c>
      <c r="R25" s="770" t="s">
        <v>17</v>
      </c>
      <c r="S25" s="771">
        <f>F25</f>
        <v>100</v>
      </c>
      <c r="T25" s="770" t="s">
        <v>17</v>
      </c>
      <c r="U25" s="771">
        <f>H25</f>
        <v>100</v>
      </c>
      <c r="V25" s="770" t="s">
        <v>17</v>
      </c>
      <c r="W25" s="771">
        <f>J25</f>
        <v>100</v>
      </c>
      <c r="X25" s="772"/>
      <c r="Y25" s="3283"/>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83"/>
      <c r="Q26" s="1794"/>
      <c r="R26" s="770"/>
      <c r="S26" s="771"/>
      <c r="T26" s="770"/>
      <c r="U26" s="771"/>
      <c r="V26" s="770"/>
      <c r="W26" s="771"/>
      <c r="X26" s="772"/>
      <c r="Y26" s="328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83"/>
      <c r="Z27" s="1813" t="str">
        <f t="shared" ref="Z27:Z40" si="13">Q27</f>
        <v>临街状况</v>
      </c>
      <c r="AA27" s="1810">
        <f t="shared" si="3"/>
        <v>1</v>
      </c>
      <c r="AB27" s="1810">
        <f t="shared" si="4"/>
        <v>1</v>
      </c>
      <c r="AC27" s="1810">
        <f t="shared" si="5"/>
        <v>1</v>
      </c>
    </row>
    <row r="28" spans="1:29" ht="27">
      <c r="A28" s="428"/>
      <c r="B28" s="633" t="s">
        <v>2684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3"/>
      <c r="Q28" s="1809" t="str">
        <f t="shared" si="8"/>
        <v>毗邻道路的类型与等级</v>
      </c>
      <c r="R28" s="774" t="s">
        <v>17</v>
      </c>
      <c r="S28" s="775">
        <f t="shared" si="10"/>
        <v>100</v>
      </c>
      <c r="T28" s="774" t="s">
        <v>17</v>
      </c>
      <c r="U28" s="775">
        <f t="shared" si="11"/>
        <v>100</v>
      </c>
      <c r="V28" s="774" t="s">
        <v>17</v>
      </c>
      <c r="W28" s="775">
        <f t="shared" si="12"/>
        <v>100</v>
      </c>
      <c r="X28" s="1812"/>
      <c r="Y28" s="328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83"/>
      <c r="Q29" s="1809"/>
      <c r="R29" s="774"/>
      <c r="S29" s="775"/>
      <c r="T29" s="774"/>
      <c r="U29" s="775"/>
      <c r="V29" s="774"/>
      <c r="W29" s="775"/>
      <c r="X29" s="1812"/>
      <c r="Y29" s="3283"/>
      <c r="Z29" s="1813"/>
      <c r="AA29" s="1810">
        <v>1</v>
      </c>
      <c r="AB29" s="1810">
        <v>1</v>
      </c>
      <c r="AC29" s="1810">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3"/>
      <c r="Q30" s="1809" t="str">
        <f t="shared" si="8"/>
        <v>土地级别</v>
      </c>
      <c r="R30" s="774" t="s">
        <v>17</v>
      </c>
      <c r="S30" s="775">
        <f t="shared" si="10"/>
        <v>100</v>
      </c>
      <c r="T30" s="774" t="s">
        <v>17</v>
      </c>
      <c r="U30" s="775">
        <f t="shared" si="11"/>
        <v>100</v>
      </c>
      <c r="V30" s="774" t="s">
        <v>17</v>
      </c>
      <c r="W30" s="775">
        <f t="shared" si="12"/>
        <v>100</v>
      </c>
      <c r="X30" s="1812"/>
      <c r="Y30" s="3283"/>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3"/>
      <c r="Q31" s="1809">
        <f t="shared" si="8"/>
        <v>111</v>
      </c>
      <c r="R31" s="774" t="s">
        <v>17</v>
      </c>
      <c r="S31" s="775">
        <f t="shared" si="10"/>
        <v>100</v>
      </c>
      <c r="T31" s="774" t="s">
        <v>17</v>
      </c>
      <c r="U31" s="775">
        <f t="shared" si="11"/>
        <v>100</v>
      </c>
      <c r="V31" s="774" t="s">
        <v>17</v>
      </c>
      <c r="W31" s="775">
        <f t="shared" si="12"/>
        <v>100</v>
      </c>
      <c r="X31" s="1812"/>
      <c r="Y31" s="3283"/>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4" t="s">
        <v>2558</v>
      </c>
      <c r="Q32" s="1809">
        <f t="shared" si="8"/>
        <v>111</v>
      </c>
      <c r="R32" s="774" t="s">
        <v>17</v>
      </c>
      <c r="S32" s="775">
        <f t="shared" si="10"/>
        <v>100</v>
      </c>
      <c r="T32" s="774" t="s">
        <v>17</v>
      </c>
      <c r="U32" s="775">
        <f t="shared" si="11"/>
        <v>100</v>
      </c>
      <c r="V32" s="774" t="s">
        <v>17</v>
      </c>
      <c r="W32" s="775">
        <f t="shared" si="12"/>
        <v>100</v>
      </c>
      <c r="X32" s="1812"/>
      <c r="Y32" s="3285" t="s">
        <v>2558</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5"/>
      <c r="Q33" s="1809">
        <f t="shared" si="8"/>
        <v>111</v>
      </c>
      <c r="R33" s="777" t="s">
        <v>17</v>
      </c>
      <c r="S33" s="778">
        <f t="shared" si="10"/>
        <v>100</v>
      </c>
      <c r="T33" s="777" t="s">
        <v>17</v>
      </c>
      <c r="U33" s="778">
        <f t="shared" si="11"/>
        <v>100</v>
      </c>
      <c r="V33" s="777" t="s">
        <v>17</v>
      </c>
      <c r="W33" s="778">
        <f t="shared" si="12"/>
        <v>100</v>
      </c>
      <c r="X33" s="779"/>
      <c r="Y33" s="3285"/>
      <c r="Z33" s="780">
        <f t="shared" si="13"/>
        <v>111</v>
      </c>
      <c r="AA33" s="1810">
        <f t="shared" si="3"/>
        <v>1</v>
      </c>
      <c r="AB33" s="1810">
        <f t="shared" si="4"/>
        <v>1</v>
      </c>
      <c r="AC33" s="1810">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5"/>
      <c r="Q34" s="1809" t="str">
        <f>B34</f>
        <v>宗地面积</v>
      </c>
      <c r="R34" s="774" t="s">
        <v>17</v>
      </c>
      <c r="S34" s="775" t="e">
        <f t="shared" si="10"/>
        <v>#N/A</v>
      </c>
      <c r="T34" s="774" t="s">
        <v>17</v>
      </c>
      <c r="U34" s="775" t="e">
        <f t="shared" si="11"/>
        <v>#N/A</v>
      </c>
      <c r="V34" s="774" t="s">
        <v>17</v>
      </c>
      <c r="W34" s="775" t="e">
        <f t="shared" si="12"/>
        <v>#N/A</v>
      </c>
      <c r="X34" s="1812"/>
      <c r="Y34" s="3285"/>
      <c r="Z34" s="1813" t="str">
        <f t="shared" si="13"/>
        <v>宗地面积</v>
      </c>
      <c r="AA34" s="1810" t="e">
        <f t="shared" si="3"/>
        <v>#N/A</v>
      </c>
      <c r="AB34" s="1810" t="e">
        <f t="shared" si="4"/>
        <v>#N/A</v>
      </c>
      <c r="AC34" s="1810"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85"/>
      <c r="Q35" s="1809" t="str">
        <f t="shared" ref="Q35:Q40" si="14">B35</f>
        <v>宗地形状</v>
      </c>
      <c r="R35" s="774" t="s">
        <v>17</v>
      </c>
      <c r="S35" s="775">
        <f t="shared" si="10"/>
        <v>100</v>
      </c>
      <c r="T35" s="774" t="s">
        <v>17</v>
      </c>
      <c r="U35" s="775">
        <f t="shared" si="11"/>
        <v>100</v>
      </c>
      <c r="V35" s="774" t="s">
        <v>17</v>
      </c>
      <c r="W35" s="775">
        <f t="shared" si="12"/>
        <v>100</v>
      </c>
      <c r="X35" s="1812"/>
      <c r="Y35" s="3285"/>
      <c r="Z35" s="1813" t="str">
        <f t="shared" si="13"/>
        <v>宗地形状</v>
      </c>
      <c r="AA35" s="1810">
        <f t="shared" si="3"/>
        <v>1</v>
      </c>
      <c r="AB35" s="1810">
        <f t="shared" si="4"/>
        <v>1</v>
      </c>
      <c r="AC35" s="1810">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85"/>
      <c r="Q36" s="1809" t="str">
        <f t="shared" si="14"/>
        <v>宗地开发程度</v>
      </c>
      <c r="R36" s="770" t="s">
        <v>17</v>
      </c>
      <c r="S36" s="771">
        <f t="shared" si="10"/>
        <v>100</v>
      </c>
      <c r="T36" s="770" t="s">
        <v>17</v>
      </c>
      <c r="U36" s="771">
        <f t="shared" si="11"/>
        <v>100</v>
      </c>
      <c r="V36" s="770" t="s">
        <v>17</v>
      </c>
      <c r="W36" s="771">
        <f t="shared" si="12"/>
        <v>100</v>
      </c>
      <c r="X36" s="772"/>
      <c r="Y36" s="3285"/>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85" t="s">
        <v>2558</v>
      </c>
      <c r="Q37" s="1809" t="str">
        <f t="shared" si="14"/>
        <v>工程地质条件</v>
      </c>
      <c r="R37" s="774" t="s">
        <v>17</v>
      </c>
      <c r="S37" s="775">
        <f t="shared" si="10"/>
        <v>100</v>
      </c>
      <c r="T37" s="774" t="s">
        <v>17</v>
      </c>
      <c r="U37" s="775">
        <f t="shared" si="11"/>
        <v>100</v>
      </c>
      <c r="V37" s="774" t="s">
        <v>17</v>
      </c>
      <c r="W37" s="775">
        <f t="shared" si="12"/>
        <v>100</v>
      </c>
      <c r="X37" s="1812"/>
      <c r="Y37" s="3285" t="s">
        <v>2558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5"/>
      <c r="Q38" s="1809">
        <f t="shared" si="14"/>
        <v>111</v>
      </c>
      <c r="R38" s="774" t="s">
        <v>17</v>
      </c>
      <c r="S38" s="775">
        <f t="shared" si="10"/>
        <v>100</v>
      </c>
      <c r="T38" s="774" t="s">
        <v>17</v>
      </c>
      <c r="U38" s="775">
        <f t="shared" si="11"/>
        <v>100</v>
      </c>
      <c r="V38" s="774" t="s">
        <v>17</v>
      </c>
      <c r="W38" s="775">
        <f t="shared" si="12"/>
        <v>100</v>
      </c>
      <c r="X38" s="1812"/>
      <c r="Y38" s="328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5"/>
      <c r="Q39" s="1809">
        <f t="shared" si="14"/>
        <v>111</v>
      </c>
      <c r="R39" s="774" t="s">
        <v>17</v>
      </c>
      <c r="S39" s="775">
        <f t="shared" si="10"/>
        <v>100</v>
      </c>
      <c r="T39" s="774" t="s">
        <v>17</v>
      </c>
      <c r="U39" s="775">
        <f t="shared" si="11"/>
        <v>100</v>
      </c>
      <c r="V39" s="774" t="s">
        <v>17</v>
      </c>
      <c r="W39" s="775">
        <f t="shared" si="12"/>
        <v>100</v>
      </c>
      <c r="X39" s="1812"/>
      <c r="Y39" s="3285"/>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5"/>
      <c r="Q40" s="1809">
        <f t="shared" si="14"/>
        <v>111</v>
      </c>
      <c r="R40" s="777" t="s">
        <v>17</v>
      </c>
      <c r="S40" s="778">
        <f t="shared" si="10"/>
        <v>100</v>
      </c>
      <c r="T40" s="777" t="s">
        <v>17</v>
      </c>
      <c r="U40" s="778">
        <f t="shared" si="11"/>
        <v>100</v>
      </c>
      <c r="V40" s="777" t="s">
        <v>17</v>
      </c>
      <c r="W40" s="778">
        <f t="shared" si="12"/>
        <v>100</v>
      </c>
      <c r="X40" s="779"/>
      <c r="Y40" s="3285"/>
      <c r="Z40" s="780">
        <f t="shared" si="13"/>
        <v>111</v>
      </c>
      <c r="AA40" s="1810">
        <f t="shared" si="3"/>
        <v>1</v>
      </c>
      <c r="AB40" s="1810">
        <f t="shared" si="4"/>
        <v>1</v>
      </c>
      <c r="AC40" s="1810">
        <f t="shared" si="5"/>
        <v>1</v>
      </c>
    </row>
    <row r="41" spans="1:29" ht="15">
      <c r="A41" s="479" t="s">
        <v>2713</v>
      </c>
      <c r="B41" s="2702" t="s">
        <v>2793</v>
      </c>
      <c r="C41" s="682" t="s">
        <v>1</v>
      </c>
      <c r="D41" s="481"/>
      <c r="E41" s="482"/>
      <c r="F41" s="483"/>
      <c r="G41" s="484"/>
      <c r="H41" s="485"/>
      <c r="I41" s="482"/>
      <c r="J41" s="485"/>
      <c r="K41" s="783"/>
      <c r="L41" s="1143"/>
      <c r="M41" s="1131"/>
      <c r="N41" s="1131"/>
      <c r="O41" s="1144"/>
      <c r="P41" s="3267" t="str">
        <f>A41</f>
        <v>成交单价</v>
      </c>
      <c r="Q41" s="3267"/>
      <c r="R41" s="3280">
        <f>E41</f>
        <v>0</v>
      </c>
      <c r="S41" s="3280"/>
      <c r="T41" s="3280">
        <f>G41</f>
        <v>0</v>
      </c>
      <c r="U41" s="3280"/>
      <c r="V41" s="3280">
        <f>I41</f>
        <v>0</v>
      </c>
      <c r="W41" s="328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67" t="str">
        <f>A42</f>
        <v>比较价值（元/平方米）</v>
      </c>
      <c r="Q42" s="3267"/>
      <c r="R42" s="3286" t="e">
        <f>ROUND(PRODUCT(R41,AA7:AA40),0)</f>
        <v>#DIV/0!</v>
      </c>
      <c r="S42" s="3286"/>
      <c r="T42" s="3286" t="e">
        <f>ROUND(PRODUCT(T41,AB7:AB40),0)</f>
        <v>#DIV/0!</v>
      </c>
      <c r="U42" s="3286"/>
      <c r="V42" s="3286" t="e">
        <f>ROUND(PRODUCT(V41,AC7:AC40),0)</f>
        <v>#DIV/0!</v>
      </c>
      <c r="W42" s="3286"/>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87" t="str">
        <f>A43</f>
        <v>估价对象XX用房的比较价值（楼面单价，元/平方米）</v>
      </c>
      <c r="Q43" s="3288"/>
      <c r="R43" s="3289" t="e">
        <f>ROUND(AVERAGE(R42:V42),0)</f>
        <v>#DIV/0!</v>
      </c>
      <c r="S43" s="3289"/>
      <c r="T43" s="3289"/>
      <c r="U43" s="3289"/>
      <c r="V43" s="3289"/>
      <c r="W43" s="328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3" t="s">
        <v>2753</v>
      </c>
      <c r="D50" s="2704" t="s">
        <v>2754</v>
      </c>
      <c r="E50" s="686" t="s">
        <v>2755</v>
      </c>
      <c r="F50" s="687" t="s">
        <v>2756</v>
      </c>
      <c r="G50" s="3268" t="s">
        <v>2757</v>
      </c>
      <c r="H50" s="3290"/>
      <c r="I50" s="1813" t="s">
        <v>2794</v>
      </c>
      <c r="J50" s="1813" t="str">
        <f>项目基本情况!F35</f>
        <v>湖北省武汉市</v>
      </c>
      <c r="K50" s="2706" t="s">
        <v>2759</v>
      </c>
      <c r="L50" s="1106"/>
      <c r="M50" s="1144"/>
      <c r="N50" s="1144"/>
      <c r="O50" s="1144"/>
    </row>
    <row r="51" spans="1:17" s="692" customFormat="1">
      <c r="A51" s="688" t="s">
        <v>2760</v>
      </c>
      <c r="B51" s="689" t="e">
        <f>C43</f>
        <v>#DIV/0!</v>
      </c>
      <c r="C51" s="690">
        <v>1</v>
      </c>
      <c r="D51" s="1163">
        <v>1</v>
      </c>
      <c r="E51" s="690">
        <f>'数据-汇总表'!E8+'数据-汇总表'!E9</f>
        <v>35526.120000000024</v>
      </c>
      <c r="F51" s="691" t="e">
        <f t="shared" ref="F51:F60" si="15">ROUND(B51*E51/10000,0)</f>
        <v>#DIV/0!</v>
      </c>
      <c r="G51" s="3291"/>
      <c r="H51" s="3267"/>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92"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92"/>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92"/>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92"/>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7"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7"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8"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09" t="s">
        <v>2775</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960"/>
      <c r="B4" s="3051" t="s">
        <v>1626</v>
      </c>
      <c r="C4" s="3051"/>
      <c r="D4" s="3051"/>
      <c r="E4" s="1960"/>
    </row>
    <row r="5" spans="1:5" ht="16.5" thickTop="1">
      <c r="A5" s="1958"/>
      <c r="B5" s="3049" t="s">
        <v>1618</v>
      </c>
      <c r="C5" s="1961" t="s">
        <v>1619</v>
      </c>
      <c r="D5" s="1040">
        <f ca="1">结果表!H101</f>
        <v>25267</v>
      </c>
      <c r="E5" s="1958"/>
    </row>
    <row r="6" spans="1:5" ht="15.75">
      <c r="A6" s="1958"/>
      <c r="B6" s="3049"/>
      <c r="C6" s="1961" t="s">
        <v>1620</v>
      </c>
      <c r="D6" s="1040" t="str">
        <f ca="1">NUMBERSTRING(INT(D5*10000),2)&amp;"元整"</f>
        <v>贰亿伍仟贰佰陆拾柒万元整</v>
      </c>
      <c r="E6" s="1958"/>
    </row>
    <row r="7" spans="1:5" ht="15.75">
      <c r="A7" s="1958"/>
      <c r="B7" s="3054"/>
      <c r="C7" s="1962" t="s">
        <v>1621</v>
      </c>
      <c r="D7" s="1041">
        <f ca="1">结果表!H102</f>
        <v>7112</v>
      </c>
      <c r="E7" s="1958"/>
    </row>
    <row r="8" spans="1:5" ht="15.75">
      <c r="A8" s="1958"/>
      <c r="B8" s="3055" t="str">
        <f>结果表!E103</f>
        <v>2.估价师知悉的法定优先受偿款</v>
      </c>
      <c r="C8" s="1963" t="s">
        <v>1622</v>
      </c>
      <c r="D8" s="1041">
        <f>结果表!H103</f>
        <v>0</v>
      </c>
      <c r="E8" s="1958"/>
    </row>
    <row r="9" spans="1:5" ht="15.75">
      <c r="A9" s="1958"/>
      <c r="B9" s="3057"/>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48" t="str">
        <f>结果表!E107</f>
        <v>3.房地产抵押价值</v>
      </c>
      <c r="C13" s="1966" t="s">
        <v>1619</v>
      </c>
      <c r="D13" s="1043">
        <f ca="1">结果表!H107</f>
        <v>25267</v>
      </c>
      <c r="E13" s="1958"/>
    </row>
    <row r="14" spans="1:5" ht="15.75">
      <c r="A14" s="1958"/>
      <c r="B14" s="3049"/>
      <c r="C14" s="1961" t="s">
        <v>1620</v>
      </c>
      <c r="D14" s="1040" t="str">
        <f ca="1">NUMBERSTRING(INT(D13*10000),2)&amp;"元整"</f>
        <v>贰亿伍仟贰佰陆拾柒万元整</v>
      </c>
      <c r="E14" s="1958"/>
    </row>
    <row r="15" spans="1:5" ht="15">
      <c r="A15" s="1958"/>
      <c r="B15" s="3054"/>
      <c r="C15" s="1962" t="s">
        <v>1630</v>
      </c>
      <c r="D15" s="1052">
        <f ca="1">结果表!H108</f>
        <v>7112</v>
      </c>
      <c r="E15" s="1958"/>
    </row>
    <row r="16" spans="1:5" ht="15">
      <c r="A16" s="1958"/>
      <c r="B16" s="3055" t="str">
        <f>结果表!E109</f>
        <v>——</v>
      </c>
      <c r="C16" s="1966" t="s">
        <v>1631</v>
      </c>
      <c r="D16" s="1967" t="str">
        <f>结果表!H109</f>
        <v>——</v>
      </c>
      <c r="E16" s="1958"/>
    </row>
    <row r="17" spans="1:5" ht="15.75">
      <c r="A17" s="1958"/>
      <c r="B17" s="3056"/>
      <c r="C17" s="1961" t="s">
        <v>1632</v>
      </c>
      <c r="D17" s="1040" t="e">
        <f>NUMBERSTRING(INT(D16*10000),2)&amp;"元整"</f>
        <v>#VALUE!</v>
      </c>
      <c r="E17" s="1958"/>
    </row>
    <row r="18" spans="1:5" ht="15">
      <c r="A18" s="1958"/>
      <c r="B18" s="3057"/>
      <c r="C18" s="1962" t="s">
        <v>1621</v>
      </c>
      <c r="D18" s="1052" t="str">
        <f>结果表!H110</f>
        <v>——</v>
      </c>
      <c r="E18" s="1958"/>
    </row>
    <row r="19" spans="1:5" ht="15.75">
      <c r="A19" s="1958"/>
      <c r="B19" s="3048" t="str">
        <f>结果表!E111</f>
        <v>——</v>
      </c>
      <c r="C19" s="1966" t="s">
        <v>1619</v>
      </c>
      <c r="D19" s="1041" t="str">
        <f>结果表!H111</f>
        <v>——</v>
      </c>
      <c r="E19" s="1958"/>
    </row>
    <row r="20" spans="1:5" ht="15.75">
      <c r="A20" s="1958"/>
      <c r="B20" s="3049"/>
      <c r="C20" s="1961" t="s">
        <v>1632</v>
      </c>
      <c r="D20" s="1040" t="e">
        <f>NUMBERSTRING(INT(D19*10000),2)&amp;"元整"</f>
        <v>#VALUE!</v>
      </c>
      <c r="E20" s="1958"/>
    </row>
    <row r="21" spans="1:5" ht="15.75" thickBot="1">
      <c r="A21" s="1958"/>
      <c r="B21" s="3050"/>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2797</v>
      </c>
      <c r="B1" s="241"/>
      <c r="C1" s="245" t="s">
        <v>2798</v>
      </c>
      <c r="D1" s="388">
        <f>SUM(D29:D30,D33:D39)</f>
        <v>0</v>
      </c>
      <c r="E1" s="2715"/>
      <c r="F1" s="2715"/>
      <c r="G1" s="2715"/>
      <c r="H1" s="2715"/>
      <c r="I1" s="2715"/>
      <c r="J1" s="2715"/>
      <c r="K1" s="1370"/>
      <c r="L1" s="2716" t="s">
        <v>2799</v>
      </c>
      <c r="M1" s="1080">
        <f>SUMPRODUCT((区片价!B5:B9=I2)*(区片价!C3:F3=E2)*(区片价!C5:F9))</f>
        <v>0</v>
      </c>
      <c r="N1" s="1083">
        <f>SUMPRODUCT((因素修正幅度!B5:B9=I2)*(因素修正幅度!C3:F3=E2)*(因素修正幅度!C5:F9))</f>
        <v>0</v>
      </c>
      <c r="O1" s="2717"/>
      <c r="P1" s="2717"/>
      <c r="Q1" s="1370"/>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75">
      <c r="A2" s="245" t="s">
        <v>2805</v>
      </c>
      <c r="B2" s="248"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70"/>
      <c r="L2" s="2724" t="s">
        <v>2810</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2811</v>
      </c>
      <c r="B3" s="248" t="e">
        <f>ROUND(B2*10000/D1,0)</f>
        <v>#DIV/0!</v>
      </c>
      <c r="C3" s="2719" t="s">
        <v>2812</v>
      </c>
      <c r="D3" s="2720" t="s">
        <v>2813</v>
      </c>
      <c r="E3" s="2725"/>
      <c r="F3" s="2726" t="s">
        <v>2814</v>
      </c>
      <c r="G3" s="916" t="e">
        <f>IF(F3="宗地容积率",'数据-汇总表'!I4,IF(F3="估价对象容积率",'数据-汇总表'!I6,'数据-汇总表'!I7))</f>
        <v>#DIV/0!</v>
      </c>
      <c r="H3" s="198" t="s">
        <v>2815</v>
      </c>
      <c r="I3" s="944"/>
      <c r="J3" s="2723" t="s">
        <v>2816</v>
      </c>
      <c r="K3" s="1370"/>
      <c r="L3" s="2724" t="s">
        <v>2817</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4"/>
      <c r="B4" s="3365"/>
      <c r="C4" s="3365"/>
      <c r="D4" s="3366"/>
      <c r="E4" s="3366"/>
      <c r="F4" s="3366"/>
      <c r="G4" s="3366"/>
      <c r="H4" s="3366"/>
      <c r="I4" s="3366"/>
      <c r="J4" s="3367"/>
      <c r="K4" s="1370"/>
      <c r="L4" s="2724" t="s">
        <v>2818</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2819</v>
      </c>
      <c r="C5" s="917" t="e">
        <f>ROUND(IF(E2="商业",C6*C7+C16,(IF(E2="住宅",C6*C12+C16,C6+C16))),0)</f>
        <v>#DIV/0!</v>
      </c>
      <c r="D5" s="1786" t="e">
        <f>ROUND(IF(F17="增加",C6+C16,C6-C16),0)</f>
        <v>#DIV/0!</v>
      </c>
      <c r="E5" s="1786"/>
      <c r="F5" s="2729"/>
      <c r="G5" s="2730"/>
      <c r="H5" s="2730"/>
      <c r="I5" s="2730"/>
      <c r="J5" s="2731"/>
      <c r="K5" s="2732"/>
      <c r="L5" s="2724" t="s">
        <v>2820</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2821</v>
      </c>
      <c r="B6" s="2738" t="s">
        <v>2822</v>
      </c>
      <c r="C6" s="918">
        <f>SUMIF(L1:L12,G2,M1:M12)</f>
        <v>0</v>
      </c>
      <c r="D6" s="2739" t="s">
        <v>2823</v>
      </c>
      <c r="E6" s="2740"/>
      <c r="F6" s="2740"/>
      <c r="G6" s="2741"/>
      <c r="H6" s="2741"/>
      <c r="I6" s="2741"/>
      <c r="J6" s="2742"/>
      <c r="K6" s="1841"/>
      <c r="L6" s="2724" t="s">
        <v>2824</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48" t="str">
        <f>IF(E2="商业",IF(C8="不临58条商业街","",2),"")</f>
        <v/>
      </c>
      <c r="B7" s="2743" t="s">
        <v>2825</v>
      </c>
      <c r="C7" s="919" t="e">
        <f>IF(C8="不临58条商业街",1,ROUND(1+(1.6*E8+1.2*E9+0.8*E10+0.4*E11)*C9,4))</f>
        <v>#DIV/0!</v>
      </c>
      <c r="D7" s="2744" t="s">
        <v>2826</v>
      </c>
      <c r="E7" s="945"/>
      <c r="F7" s="2745"/>
      <c r="G7" s="2746"/>
      <c r="H7" s="2746"/>
      <c r="I7" s="2746"/>
      <c r="J7" s="2747"/>
      <c r="K7" s="1841"/>
      <c r="L7" s="2724" t="s">
        <v>2827</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2828</v>
      </c>
      <c r="X7" s="1603">
        <f>G2</f>
        <v>0</v>
      </c>
      <c r="Y7" s="1603" t="s">
        <v>2829</v>
      </c>
      <c r="Z7" s="1604" t="e">
        <f>G3</f>
        <v>#DIV/0!</v>
      </c>
      <c r="AA7" s="1605"/>
      <c r="AB7" s="1605"/>
      <c r="AC7" s="1606"/>
      <c r="AD7" s="1607"/>
      <c r="AE7" s="1607"/>
      <c r="AF7" s="1607"/>
      <c r="AG7" s="1607"/>
      <c r="AH7" s="1607"/>
      <c r="AI7" s="1607"/>
      <c r="AJ7" s="1608"/>
    </row>
    <row r="8" spans="1:36" ht="15">
      <c r="A8" s="3368"/>
      <c r="B8" s="198" t="s">
        <v>2830</v>
      </c>
      <c r="C8" s="2748"/>
      <c r="D8" s="920" t="s">
        <v>139</v>
      </c>
      <c r="E8" s="921" t="e">
        <f>ROUND(C11/E7,4)</f>
        <v>#DIV/0!</v>
      </c>
      <c r="F8" s="2749" t="s">
        <v>2831</v>
      </c>
      <c r="G8" s="2750"/>
      <c r="H8" s="2750"/>
      <c r="I8" s="2750"/>
      <c r="J8" s="2751"/>
      <c r="K8" s="1370"/>
      <c r="L8" s="2724" t="s">
        <v>2832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61" t="s">
        <v>2833</v>
      </c>
      <c r="X8" s="3362"/>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368"/>
      <c r="B9" s="198" t="s">
        <v>2846</v>
      </c>
      <c r="C9" s="922">
        <f>SUMIF(修正!C59:C119,C8,修正!E59:E119)</f>
        <v>0</v>
      </c>
      <c r="D9" s="200" t="s">
        <v>140</v>
      </c>
      <c r="E9" s="200" t="e">
        <f>ROUND(C11/E7,4)</f>
        <v>#DIV/0!</v>
      </c>
      <c r="F9" s="2749" t="s">
        <v>2847</v>
      </c>
      <c r="G9" s="2750"/>
      <c r="H9" s="2750"/>
      <c r="I9" s="2750"/>
      <c r="J9" s="2751"/>
      <c r="K9" s="1370"/>
      <c r="L9" s="2724" t="s">
        <v>2848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63"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8"/>
      <c r="B10" s="198" t="s">
        <v>2851</v>
      </c>
      <c r="C10" s="200">
        <f>SUMIF(修正!C59:C119,C8,修正!F59:F119)</f>
        <v>0</v>
      </c>
      <c r="D10" s="200" t="s">
        <v>141</v>
      </c>
      <c r="E10" s="200" t="e">
        <f>ROUND(C11/E7,4)</f>
        <v>#DIV/0!</v>
      </c>
      <c r="F10" s="2749" t="s">
        <v>2852</v>
      </c>
      <c r="G10" s="2750"/>
      <c r="H10" s="2750"/>
      <c r="I10" s="2750"/>
      <c r="J10" s="2751"/>
      <c r="K10" s="1370"/>
      <c r="L10" s="2724" t="s">
        <v>2853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8"/>
      <c r="B11" s="2752" t="s">
        <v>2854</v>
      </c>
      <c r="C11" s="923">
        <f>C10/4</f>
        <v>0</v>
      </c>
      <c r="D11" s="923" t="s">
        <v>142</v>
      </c>
      <c r="E11" s="923" t="e">
        <f>ROUND(C11/E7,4)</f>
        <v>#DIV/0!</v>
      </c>
      <c r="F11" s="2753" t="s">
        <v>2855</v>
      </c>
      <c r="G11" s="2754"/>
      <c r="H11" s="2754"/>
      <c r="I11" s="2754"/>
      <c r="J11" s="2755"/>
      <c r="K11" s="1370"/>
      <c r="L11" s="2724" t="s">
        <v>2856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63" t="s">
        <v>2857</v>
      </c>
      <c r="X11" s="1613" t="s">
        <v>2858</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348" t="s">
        <v>2859</v>
      </c>
      <c r="B12" s="2756" t="s">
        <v>2860</v>
      </c>
      <c r="C12" s="919">
        <f>ROUND(C15*D15*E15*F15*G15*H15*I15*J15,4)</f>
        <v>1</v>
      </c>
      <c r="D12" s="2757" t="s">
        <v>2861</v>
      </c>
      <c r="E12" s="2758"/>
      <c r="F12" s="2758"/>
      <c r="G12" s="2759"/>
      <c r="H12" s="2759"/>
      <c r="I12" s="2759"/>
      <c r="J12" s="2760"/>
      <c r="K12" s="1370"/>
      <c r="L12" s="2761" t="s">
        <v>2862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63"/>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9"/>
      <c r="B13" s="2762" t="s">
        <v>2864</v>
      </c>
      <c r="C13" s="2763" t="s">
        <v>2865</v>
      </c>
      <c r="D13" s="1807" t="s">
        <v>2866</v>
      </c>
      <c r="E13" s="1807" t="s">
        <v>2867</v>
      </c>
      <c r="F13" s="30" t="s">
        <v>2868</v>
      </c>
      <c r="G13" s="2764" t="s">
        <v>2869</v>
      </c>
      <c r="H13" s="2764" t="s">
        <v>2869</v>
      </c>
      <c r="I13" s="2764" t="s">
        <v>2869</v>
      </c>
      <c r="J13" s="2765" t="s">
        <v>2869</v>
      </c>
      <c r="K13" s="1370"/>
      <c r="L13" s="1370"/>
      <c r="M13" s="1370"/>
      <c r="N13" s="1370"/>
      <c r="O13" s="1370"/>
      <c r="P13" s="1370"/>
      <c r="Q13" s="1370"/>
      <c r="R13" s="1601">
        <v>12</v>
      </c>
      <c r="S13" s="1602"/>
      <c r="T13" s="1601" t="e">
        <f t="shared" si="0"/>
        <v>#DIV/0!</v>
      </c>
      <c r="U13" s="1602"/>
      <c r="V13" s="1601" t="e">
        <f t="shared" si="1"/>
        <v>#DIV/0!</v>
      </c>
      <c r="W13" s="3363"/>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69"/>
      <c r="B14" s="2766"/>
      <c r="C14" s="2767"/>
      <c r="D14" s="2768"/>
      <c r="E14" s="2768"/>
      <c r="F14" s="2769"/>
      <c r="G14" s="2770" t="s">
        <v>2870</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0"/>
      <c r="B15" s="2774" t="s">
        <v>2871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8" t="s">
        <v>2876</v>
      </c>
      <c r="B16" s="2743" t="s">
        <v>2877</v>
      </c>
      <c r="C16" s="2933" t="e">
        <f>ROUND(IF(F17="与级别开发程度一致",0,(G17-E17)/C17),0)</f>
        <v>#DIV/0!</v>
      </c>
      <c r="D16" s="3359" t="s">
        <v>2881</v>
      </c>
      <c r="E16" s="3360"/>
      <c r="F16" s="3359" t="s">
        <v>2878</v>
      </c>
      <c r="G16" s="3360"/>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9"/>
      <c r="B17" s="2944" t="s">
        <v>2880</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2883</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2884</v>
      </c>
      <c r="C19" s="924" t="e">
        <f>ROUND(IF(H19="按公示增长率计算",SUMPRODUCT((地价!A3:A26=YEAR(G19)&amp;"-"&amp;ROUNDUP(MONTH(G19)/3,0))*(地价!X2:AB2=E2)*(地价!X3:AB26)),IF(H19="地价指数",M20/M19,(1+I19)^O19)),4)</f>
        <v>#DIV/0!</v>
      </c>
      <c r="D19" s="2787" t="s">
        <v>2885</v>
      </c>
      <c r="E19" s="925">
        <v>41640</v>
      </c>
      <c r="F19" s="2787" t="s">
        <v>2886</v>
      </c>
      <c r="G19" s="926">
        <f>'数据-取费表'!B2</f>
        <v>43601</v>
      </c>
      <c r="H19" s="2788" t="s">
        <v>2887</v>
      </c>
      <c r="I19" s="927" t="str">
        <f>IF(H19="季度增幅（自定义）",SUMIF(N21:N24,E2,O21:O24),"")</f>
        <v/>
      </c>
      <c r="J19" s="2785"/>
      <c r="K19" s="1377"/>
      <c r="L19" s="2789" t="s">
        <v>2888</v>
      </c>
      <c r="M19" s="1733">
        <f>ROUND(SUMIF(地价!B2:F2,E2,地价!B26:F26),0)</f>
        <v>0</v>
      </c>
      <c r="N19" s="2790"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2890</v>
      </c>
      <c r="C20" s="929" t="e">
        <f>ROUND(POWER(1+G20,J20-I20)*(POWER(1+G20,I20)-1)/(POWER(1+G20,J20)-1),4)</f>
        <v>#DIV/0!</v>
      </c>
      <c r="D20" s="2796" t="s">
        <v>2891</v>
      </c>
      <c r="E20" s="1767">
        <f ca="1">存贷款利率!D4/100</f>
        <v>4.3499999999999997E-2</v>
      </c>
      <c r="F20" s="2796" t="s">
        <v>2882</v>
      </c>
      <c r="G20" s="934">
        <f>SUMIF(M26:P26,E2,M28:P28)</f>
        <v>0</v>
      </c>
      <c r="H20" s="2796" t="s">
        <v>2892</v>
      </c>
      <c r="I20" s="935" t="e">
        <f>SUMIF('数据-取费表'!C6:C15,E2,'数据-取费表'!F6:F15)/COUNTIF('数据-取费表'!C6:C15,E2)</f>
        <v>#DIV/0!</v>
      </c>
      <c r="J20" s="936">
        <f>IF(E2="住宅",70,IF(E2="商业",40,50))</f>
        <v>50</v>
      </c>
      <c r="K20" s="1377"/>
      <c r="L20" s="2797" t="s">
        <v>2893</v>
      </c>
      <c r="M20" s="1734">
        <f>ROUND(SUMPRODUCT((地价!A4:A26=YEAR(G19)&amp;"-"&amp;ROUNDUP(MONTH(G19)/3,0))*(地价!B2:F2=E2)*(地价!B4:F26)),0)</f>
        <v>0</v>
      </c>
      <c r="N20" s="2798" t="s">
        <v>2894</v>
      </c>
      <c r="O20" s="2799" t="s">
        <v>2895</v>
      </c>
      <c r="P20" s="2800" t="s">
        <v>2896</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2897</v>
      </c>
      <c r="C21" s="937" t="e">
        <f>IF(B21="容积率修正",IF(G3&lt;=10,D22,J22),C23)</f>
        <v>#DIV/0!</v>
      </c>
      <c r="D21" s="2803"/>
      <c r="E21" s="2803"/>
      <c r="F21" s="2803"/>
      <c r="G21" s="2803"/>
      <c r="H21" s="2803"/>
      <c r="I21" s="2803"/>
      <c r="J21" s="2804"/>
      <c r="K21" s="1377"/>
      <c r="N21" s="2805" t="s">
        <v>2898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2899</v>
      </c>
      <c r="B22" s="2806" t="s">
        <v>2900</v>
      </c>
      <c r="C22" s="1809" t="s">
        <v>2901</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5" t="s">
        <v>2902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2903</v>
      </c>
      <c r="B23" s="2807" t="s">
        <v>2904</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2906</v>
      </c>
      <c r="C24" s="924">
        <f>SUMIF(A45:A88,E2,B45:B88)</f>
        <v>0</v>
      </c>
      <c r="D24" s="2784"/>
      <c r="E24" s="2813"/>
      <c r="F24" s="2813"/>
      <c r="G24" s="2813"/>
      <c r="H24" s="2813"/>
      <c r="I24" s="2813"/>
      <c r="J24" s="2814"/>
      <c r="K24" s="1377"/>
      <c r="N24" s="2815" t="s">
        <v>2907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2908</v>
      </c>
      <c r="C25" s="930"/>
      <c r="D25" s="2746"/>
      <c r="E25" s="2746"/>
      <c r="F25" s="2817"/>
      <c r="G25" s="2746"/>
      <c r="H25" s="2746"/>
      <c r="I25" s="2746"/>
      <c r="J25" s="2747"/>
      <c r="K25" s="1370"/>
      <c r="N25" s="2818" t="s">
        <v>2909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2910</v>
      </c>
      <c r="C26" s="206" t="e">
        <f>E29+SUM(E33:E39)</f>
        <v>#DIV/0!</v>
      </c>
      <c r="D26" s="2820"/>
      <c r="E26" s="2771"/>
      <c r="F26" s="2821"/>
      <c r="G26" s="2771"/>
      <c r="H26" s="2771"/>
      <c r="I26" s="2771"/>
      <c r="J26" s="2822"/>
      <c r="K26" s="1370"/>
      <c r="L26" s="2775" t="s">
        <v>2807</v>
      </c>
      <c r="M26" s="920" t="s">
        <v>2872</v>
      </c>
      <c r="N26" s="920" t="s">
        <v>2873</v>
      </c>
      <c r="O26" s="920" t="s">
        <v>2874</v>
      </c>
      <c r="P26" s="2776" t="s">
        <v>2875</v>
      </c>
      <c r="R26" s="1376"/>
      <c r="S26" s="1376"/>
      <c r="T26" s="1371"/>
      <c r="U26" s="1371"/>
      <c r="V26" s="1371"/>
      <c r="W26" s="1370"/>
      <c r="X26" s="1370"/>
      <c r="Y26" s="1370"/>
      <c r="Z26" s="1377"/>
      <c r="AA26" s="1378"/>
      <c r="AB26" s="1378"/>
      <c r="AC26" s="1378"/>
      <c r="AD26" s="1378"/>
    </row>
    <row r="27" spans="1:37" ht="15.75" thickBot="1">
      <c r="A27" s="2819"/>
      <c r="B27" s="2823" t="s">
        <v>2911</v>
      </c>
      <c r="C27" s="931" t="e">
        <f>E30+SUM(I33:I39)</f>
        <v>#DIV/0!</v>
      </c>
      <c r="D27" s="2824"/>
      <c r="E27" s="2825"/>
      <c r="F27" s="2826"/>
      <c r="G27" s="2825"/>
      <c r="H27" s="2825"/>
      <c r="I27" s="2825"/>
      <c r="J27" s="2827"/>
      <c r="K27" s="1370"/>
      <c r="L27" s="2779"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2912</v>
      </c>
      <c r="C28" s="2830" t="s">
        <v>2913</v>
      </c>
      <c r="D28" s="2830" t="s">
        <v>2914</v>
      </c>
      <c r="E28" s="2831" t="s">
        <v>2915</v>
      </c>
      <c r="F28" s="2832"/>
      <c r="G28" s="2759"/>
      <c r="H28" s="2759"/>
      <c r="I28" s="2759"/>
      <c r="J28" s="2760"/>
      <c r="K28" s="1370"/>
      <c r="L28" s="2780"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2916</v>
      </c>
      <c r="C29" s="206" t="e">
        <f>ROUND(C5*C18*C19*C20*C21*C24,0)</f>
        <v>#DIV/0!</v>
      </c>
      <c r="D29" s="2835"/>
      <c r="E29" s="942" t="e">
        <f>ROUND(C29*D29/10000,0)</f>
        <v>#DIV/0!</v>
      </c>
      <c r="F29" s="2836" t="s">
        <v>2917</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2918</v>
      </c>
      <c r="C30" s="229" t="e">
        <f>ROUND(IF(E2="工业",C29*M39,C29*M38),0)</f>
        <v>#DIV/0!</v>
      </c>
      <c r="D30" s="2841"/>
      <c r="E30" s="942" t="e">
        <f>ROUND(C30*D30/10000,0)</f>
        <v>#DIV/0!</v>
      </c>
      <c r="F30" s="2842" t="s">
        <v>2919</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2920</v>
      </c>
      <c r="C31" s="2847" t="s">
        <v>2921</v>
      </c>
      <c r="D31" s="2759"/>
      <c r="E31" s="2847"/>
      <c r="F31" s="2847"/>
      <c r="G31" s="2757" t="s">
        <v>2922</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2913</v>
      </c>
      <c r="D32" s="498" t="s">
        <v>2914</v>
      </c>
      <c r="E32" s="498" t="s">
        <v>2915</v>
      </c>
      <c r="F32" s="388" t="s">
        <v>2923</v>
      </c>
      <c r="G32" s="2850" t="s">
        <v>2913</v>
      </c>
      <c r="H32" s="2850" t="s">
        <v>2914</v>
      </c>
      <c r="I32" s="2850"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56" t="s">
        <v>2924</v>
      </c>
      <c r="B33" s="2851" t="s">
        <v>2925</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7"/>
      <c r="B34" s="2763" t="s">
        <v>2926</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7"/>
      <c r="B35" s="2763" t="s">
        <v>2927</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58"/>
      <c r="B36" s="2763" t="s">
        <v>2928</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2929</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2930</v>
      </c>
      <c r="M37" s="2855"/>
      <c r="N37" s="1370"/>
      <c r="O37" s="1370"/>
      <c r="P37" s="1370"/>
      <c r="Q37" s="1370"/>
      <c r="R37" s="1370"/>
      <c r="S37" s="1370"/>
      <c r="T37" s="1370"/>
      <c r="U37" s="1370"/>
      <c r="V37" s="1370"/>
      <c r="W37" s="1370"/>
      <c r="X37" s="1370"/>
      <c r="Y37" s="1370"/>
      <c r="Z37" s="1371"/>
    </row>
    <row r="38" spans="1:37">
      <c r="A38" s="2853"/>
      <c r="B38" s="2763" t="s">
        <v>2931</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2932</v>
      </c>
      <c r="M38" s="2856">
        <v>0.25</v>
      </c>
      <c r="N38" s="1370"/>
      <c r="O38" s="1370"/>
      <c r="P38" s="1370"/>
      <c r="Q38" s="1370"/>
      <c r="R38" s="1370"/>
      <c r="S38" s="1370"/>
      <c r="T38" s="1370"/>
      <c r="U38" s="1370"/>
      <c r="V38" s="1370"/>
      <c r="W38" s="1370"/>
      <c r="X38" s="1370"/>
      <c r="Y38" s="1370"/>
      <c r="Z38" s="1371"/>
    </row>
    <row r="39" spans="1:37" ht="13.5" thickBot="1">
      <c r="A39" s="2839"/>
      <c r="B39" s="2857" t="s">
        <v>2933</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2875</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3044</v>
      </c>
      <c r="C41" s="388" t="e">
        <f>ROUND(POWER(1+E41,H41-G41)*(POWER(1+E41,G41)-1)/(POWER(1+E41,H41)-1),4)</f>
        <v>#DIV/0!</v>
      </c>
      <c r="D41" s="200" t="s">
        <v>2882</v>
      </c>
      <c r="E41" s="2927">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2934</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2935</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2936</v>
      </c>
      <c r="B47" s="1808" t="s">
        <v>2937</v>
      </c>
      <c r="C47" s="1808" t="s">
        <v>2938</v>
      </c>
      <c r="D47" s="1808" t="s">
        <v>2939</v>
      </c>
      <c r="E47" s="819" t="s">
        <v>2940</v>
      </c>
      <c r="F47" s="2869" t="s">
        <v>2941</v>
      </c>
      <c r="G47" s="1808" t="s">
        <v>754</v>
      </c>
      <c r="H47" s="2870" t="s">
        <v>2942</v>
      </c>
      <c r="I47" s="1808" t="s">
        <v>2943</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8" t="s">
        <v>2944</v>
      </c>
      <c r="B48" s="2871" t="str">
        <f>估价对象房地状况!C4</f>
        <v>估价对象位于XX商圈，周边商业氛围成熟，人流量大，商业繁华度好</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2945</v>
      </c>
      <c r="B49" s="2872" t="str">
        <f>估价对象房地状况!C18</f>
        <v>估价对象周边道路状况、公共交通通达情况、停车便捷程度，综合评价交通便捷度较好</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2946</v>
      </c>
      <c r="B50" s="2872">
        <f>估价对象房地状况!C19</f>
        <v>0</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2947</v>
      </c>
      <c r="B51" s="2873" t="s">
        <v>2948</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2949</v>
      </c>
      <c r="B52" s="2872">
        <f>估价对象房地状况!C24</f>
        <v>0</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2950</v>
      </c>
      <c r="B53" s="2874" t="s">
        <v>2951</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2952</v>
      </c>
      <c r="B54" s="1724" t="str">
        <f>估价对象房地状况!C21</f>
        <v>估价对象所在区域公共配套设施齐备情况</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2953</v>
      </c>
      <c r="B55" s="2872" t="str">
        <f>估价对象房地状况!C22</f>
        <v>估价对象所在区域基础设施水平</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2954</v>
      </c>
      <c r="B56" s="2877" t="str">
        <f>估价对象房地状况!C20</f>
        <v>区域自然环境：；人文环境；综合评价环境状况一般</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2955</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2936</v>
      </c>
      <c r="B58" s="1808"/>
      <c r="C58" s="1808" t="s">
        <v>2938</v>
      </c>
      <c r="D58" s="1808" t="s">
        <v>2939</v>
      </c>
      <c r="E58" s="819" t="s">
        <v>2940</v>
      </c>
      <c r="F58" s="2869" t="s">
        <v>2956</v>
      </c>
      <c r="G58" s="1808" t="s">
        <v>754</v>
      </c>
      <c r="H58" s="2870" t="s">
        <v>2942</v>
      </c>
      <c r="I58" s="1808" t="s">
        <v>2943</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8" t="s">
        <v>2957</v>
      </c>
      <c r="B59" s="2871" t="str">
        <f>估价对象房地状况!C17</f>
        <v>估价对象位于XX商圈，周边办公楼项目较多，入驻率高，办公集聚程度较好</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2945</v>
      </c>
      <c r="B60" s="2872" t="str">
        <f>估价对象房地状况!C18</f>
        <v>估价对象周边道路状况、公共交通通达情况、停车便捷程度，综合评价交通便捷度较好</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2946</v>
      </c>
      <c r="B61" s="2872">
        <f>估价对象房地状况!C19</f>
        <v>0</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2947</v>
      </c>
      <c r="B62" s="2873" t="s">
        <v>2948</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2949</v>
      </c>
      <c r="B63" s="2872">
        <f>估价对象房地状况!C24</f>
        <v>0</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2950</v>
      </c>
      <c r="B64" s="2874" t="s">
        <v>2951</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2952</v>
      </c>
      <c r="B65" s="1724" t="str">
        <f>估价对象房地状况!C21</f>
        <v>估价对象所在区域公共配套设施齐备情况</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2953</v>
      </c>
      <c r="B66" s="1724" t="str">
        <f>估价对象房地状况!C22</f>
        <v>估价对象所在区域基础设施水平</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2954</v>
      </c>
      <c r="B67" s="2878" t="str">
        <f>估价对象房地状况!C20</f>
        <v>区域自然环境：；人文环境；综合评价环境状况一般</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2958</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2936</v>
      </c>
      <c r="B69" s="1808"/>
      <c r="C69" s="1808" t="s">
        <v>2938</v>
      </c>
      <c r="D69" s="1808" t="s">
        <v>2939</v>
      </c>
      <c r="E69" s="819" t="s">
        <v>2940</v>
      </c>
      <c r="F69" s="2869" t="s">
        <v>2956</v>
      </c>
      <c r="G69" s="1808" t="s">
        <v>754</v>
      </c>
      <c r="H69" s="2870" t="s">
        <v>2942</v>
      </c>
      <c r="I69" s="1808" t="s">
        <v>2943</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8" t="s">
        <v>2959</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2945</v>
      </c>
      <c r="B71" s="2872" t="str">
        <f>估价对象房地状况!C18</f>
        <v>估价对象周边道路状况、公共交通通达情况、停车便捷程度，综合评价交通便捷度较好</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2946</v>
      </c>
      <c r="B72" s="2872">
        <f>估价对象房地状况!C19</f>
        <v>0</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2960</v>
      </c>
      <c r="B73" s="2872">
        <f>估价对象房地状况!C24</f>
        <v>0</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2952</v>
      </c>
      <c r="B74" s="1724" t="str">
        <f>估价对象房地状况!C21</f>
        <v>估价对象所在区域公共配套设施齐备情况</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2953</v>
      </c>
      <c r="B75" s="1724" t="str">
        <f>估价对象房地状况!C22</f>
        <v>估价对象所在区域基础设施水平</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2950</v>
      </c>
      <c r="B76" s="2874" t="s">
        <v>2951</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2954</v>
      </c>
      <c r="B77" s="2871" t="str">
        <f>估价对象房地状况!C20</f>
        <v>区域自然环境：；人文环境；综合评价环境状况一般</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2961</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2962</v>
      </c>
      <c r="B79" s="2865">
        <f>1+E81</f>
        <v>1</v>
      </c>
      <c r="C79" s="814"/>
      <c r="D79" s="814"/>
      <c r="E79" s="815"/>
      <c r="F79" s="2867"/>
      <c r="G79" s="6"/>
      <c r="H79" s="6"/>
      <c r="I79" s="6"/>
      <c r="J79" s="7"/>
      <c r="K79" s="7"/>
      <c r="L79" s="7"/>
      <c r="M79" s="7"/>
      <c r="N79" s="7"/>
      <c r="Z79" s="2718"/>
      <c r="AA79" s="2786"/>
      <c r="AG79" s="1372"/>
      <c r="AK79" s="2786"/>
    </row>
    <row r="80" spans="1:37" ht="24.75">
      <c r="A80" s="2868" t="s">
        <v>2936</v>
      </c>
      <c r="B80" s="1808"/>
      <c r="C80" s="1808" t="s">
        <v>2938</v>
      </c>
      <c r="D80" s="1808" t="s">
        <v>2939</v>
      </c>
      <c r="E80" s="819" t="s">
        <v>2940</v>
      </c>
      <c r="F80" s="2869" t="s">
        <v>2956</v>
      </c>
      <c r="G80" s="1808" t="s">
        <v>754</v>
      </c>
      <c r="H80" s="2870" t="s">
        <v>2942</v>
      </c>
      <c r="I80" s="1808" t="s">
        <v>2943</v>
      </c>
      <c r="J80" s="603" t="s">
        <v>2590</v>
      </c>
      <c r="K80" s="603" t="s">
        <v>2591</v>
      </c>
      <c r="L80" s="603" t="s">
        <v>2592</v>
      </c>
      <c r="M80" s="603" t="s">
        <v>2593</v>
      </c>
      <c r="N80" s="603" t="s">
        <v>2594</v>
      </c>
      <c r="Z80" s="2718"/>
      <c r="AA80" s="2786"/>
      <c r="AG80" s="1372"/>
      <c r="AK80" s="2786"/>
    </row>
    <row r="81" spans="1:37" ht="38.25">
      <c r="A81" s="2868" t="s">
        <v>2963</v>
      </c>
      <c r="B81" s="2872" t="str">
        <f>估价对象房地状况!G15</f>
        <v>估价对象位于XX开发区，园区建设成熟度XX，产业集聚程度XX</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2945</v>
      </c>
      <c r="B82" s="2872" t="str">
        <f>估价对象房地状况!G16</f>
        <v>估价对象周边道路状况、公共交通通达情况、停车便捷程度，综合评价交通便捷度较好</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2946</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2960</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2952</v>
      </c>
      <c r="B85" s="1724" t="str">
        <f>估价对象房地状况!G19</f>
        <v>估价对象所在区域公共配套设施齐备情况</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2953</v>
      </c>
      <c r="B86" s="1724" t="str">
        <f>估价对象房地状况!G20</f>
        <v>估价对象所在区域基础设施水平</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2950</v>
      </c>
      <c r="B87" s="2874" t="s">
        <v>2964</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2965</v>
      </c>
      <c r="B88" s="2881" t="str">
        <f>估价对象房地状况!G18</f>
        <v>该园区内是否有污染型企业，绿化情况，卫生条件，整体环境状况判断</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50" t="s">
        <v>2966</v>
      </c>
      <c r="B90" s="3350"/>
      <c r="C90" s="3350"/>
      <c r="D90" s="3350"/>
      <c r="E90" s="3350"/>
      <c r="F90" s="3350"/>
      <c r="G90" s="3350"/>
      <c r="H90" s="3350"/>
      <c r="I90" s="3350"/>
      <c r="J90" s="3350"/>
      <c r="K90" s="2882"/>
      <c r="L90" s="2882"/>
      <c r="M90" s="2882"/>
      <c r="N90" s="2882"/>
    </row>
    <row r="91" spans="1:37">
      <c r="A91" s="3352" t="s">
        <v>2967</v>
      </c>
      <c r="B91" s="3352" t="s">
        <v>2968</v>
      </c>
      <c r="C91" s="2836" t="s">
        <v>2969</v>
      </c>
      <c r="D91" s="2837"/>
      <c r="E91" s="2837"/>
      <c r="F91" s="2837"/>
      <c r="G91" s="2837"/>
      <c r="H91" s="2837"/>
      <c r="I91" s="2837"/>
      <c r="J91" s="2883"/>
      <c r="K91" s="2884"/>
      <c r="L91" s="2884"/>
      <c r="M91" s="2884"/>
      <c r="N91" s="2884"/>
    </row>
    <row r="92" spans="1:37">
      <c r="A92" s="3352"/>
      <c r="B92" s="3352"/>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353" t="s">
        <v>2970</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5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5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5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5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5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54"/>
      <c r="B99" s="2885" t="s">
        <v>2850</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5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53" t="s">
        <v>2971</v>
      </c>
      <c r="B101" s="2889" t="s">
        <v>2972</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354"/>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354"/>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354"/>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354"/>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354"/>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354"/>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354"/>
      <c r="B108" s="3181" t="s">
        <v>2973</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55"/>
      <c r="B109" s="3182"/>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351" t="s">
        <v>2974</v>
      </c>
      <c r="B110" s="3351"/>
      <c r="C110" s="3351"/>
      <c r="D110" s="3351"/>
      <c r="E110" s="3351"/>
      <c r="F110" s="3351"/>
      <c r="G110" s="3351"/>
      <c r="H110" s="3351"/>
      <c r="I110" s="3351"/>
      <c r="J110" s="3351"/>
      <c r="K110" s="2891"/>
      <c r="L110" s="2891"/>
      <c r="M110" s="2891"/>
      <c r="N110" s="2891"/>
    </row>
    <row r="112" spans="1:14" ht="13.5" thickBot="1"/>
    <row r="113" spans="1:13" ht="25.5" thickBot="1">
      <c r="A113" s="903" t="s">
        <v>2975</v>
      </c>
      <c r="B113" s="1287" t="e">
        <f>G3</f>
        <v>#DIV/0!</v>
      </c>
      <c r="C113" s="904" t="s">
        <v>2976</v>
      </c>
      <c r="D113" s="905" t="e">
        <f>SUMPRODUCT((A115:A118=F113)*(B114:M114=H113)*B115:M118)</f>
        <v>#DIV/0!</v>
      </c>
      <c r="E113" s="2722" t="s">
        <v>2807</v>
      </c>
      <c r="F113" s="2893">
        <f>E2</f>
        <v>0</v>
      </c>
      <c r="G113" s="2722" t="s">
        <v>2808</v>
      </c>
      <c r="H113" s="2893">
        <f>G2</f>
        <v>0</v>
      </c>
      <c r="I113" s="2722"/>
      <c r="J113" s="2894"/>
      <c r="K113" s="2894"/>
      <c r="L113" s="2894"/>
      <c r="M113" s="2894"/>
    </row>
    <row r="114" spans="1:13">
      <c r="A114" s="908"/>
      <c r="B114" s="2895" t="s">
        <v>2977</v>
      </c>
      <c r="C114" s="2895" t="s">
        <v>2978</v>
      </c>
      <c r="D114" s="2895" t="s">
        <v>2979</v>
      </c>
      <c r="E114" s="2896" t="s">
        <v>2980</v>
      </c>
      <c r="F114" s="2896" t="s">
        <v>2981</v>
      </c>
      <c r="G114" s="2896" t="s">
        <v>2982</v>
      </c>
      <c r="H114" s="2897" t="s">
        <v>2983</v>
      </c>
      <c r="I114" s="2897" t="s">
        <v>2984</v>
      </c>
      <c r="J114" s="2898" t="s">
        <v>2985</v>
      </c>
      <c r="K114" s="2898" t="s">
        <v>2986</v>
      </c>
      <c r="L114" s="2898" t="s">
        <v>2987</v>
      </c>
      <c r="M114" s="2899" t="s">
        <v>2988</v>
      </c>
    </row>
    <row r="115" spans="1:13">
      <c r="A115" s="909" t="s">
        <v>2872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71" t="s">
        <v>183</v>
      </c>
      <c r="B18" s="882" t="s">
        <v>560</v>
      </c>
      <c r="C18" s="883" t="s">
        <v>561</v>
      </c>
      <c r="D18" s="884"/>
      <c r="E18" s="882">
        <v>1</v>
      </c>
      <c r="F18" s="885" t="s">
        <v>562</v>
      </c>
      <c r="G18" s="886"/>
      <c r="H18" s="878"/>
      <c r="I18" s="878"/>
    </row>
    <row r="19" spans="1:9" s="887" customFormat="1" ht="19.5" customHeight="1">
      <c r="A19" s="3371"/>
      <c r="B19" s="3371" t="s">
        <v>563</v>
      </c>
      <c r="C19" s="883" t="s">
        <v>564</v>
      </c>
      <c r="D19" s="884"/>
      <c r="E19" s="882">
        <v>0.9</v>
      </c>
      <c r="F19" s="885" t="s">
        <v>565</v>
      </c>
      <c r="G19" s="886"/>
      <c r="H19" s="878"/>
      <c r="I19" s="878"/>
    </row>
    <row r="20" spans="1:9" s="887" customFormat="1" ht="19.5" customHeight="1">
      <c r="A20" s="3371"/>
      <c r="B20" s="3371"/>
      <c r="C20" s="883" t="s">
        <v>566</v>
      </c>
      <c r="D20" s="884"/>
      <c r="E20" s="882">
        <v>1.1000000000000001</v>
      </c>
      <c r="F20" s="885" t="s">
        <v>567</v>
      </c>
      <c r="G20" s="886"/>
      <c r="H20" s="878"/>
      <c r="I20" s="878"/>
    </row>
    <row r="21" spans="1:9" s="887" customFormat="1" ht="19.5" customHeight="1">
      <c r="A21" s="3371"/>
      <c r="B21" s="3371"/>
      <c r="C21" s="883" t="s">
        <v>568</v>
      </c>
      <c r="D21" s="884"/>
      <c r="E21" s="882">
        <v>0.8</v>
      </c>
      <c r="F21" s="885" t="s">
        <v>569</v>
      </c>
      <c r="G21" s="886"/>
      <c r="H21" s="878"/>
      <c r="I21" s="878"/>
    </row>
    <row r="22" spans="1:9" s="887" customFormat="1" ht="19.5" customHeight="1">
      <c r="A22" s="3371"/>
      <c r="B22" s="3371"/>
      <c r="C22" s="883" t="s">
        <v>570</v>
      </c>
      <c r="D22" s="884"/>
      <c r="E22" s="882">
        <v>0.5</v>
      </c>
      <c r="F22" s="885"/>
      <c r="G22" s="886"/>
      <c r="H22" s="878"/>
      <c r="I22" s="878"/>
    </row>
    <row r="23" spans="1:9" s="887" customFormat="1" ht="19.5" customHeight="1">
      <c r="A23" s="3371" t="s">
        <v>184</v>
      </c>
      <c r="B23" s="882" t="s">
        <v>560</v>
      </c>
      <c r="C23" s="883" t="s">
        <v>571</v>
      </c>
      <c r="D23" s="884"/>
      <c r="E23" s="882">
        <v>1</v>
      </c>
      <c r="F23" s="885" t="s">
        <v>572</v>
      </c>
      <c r="G23" s="886"/>
      <c r="H23" s="878"/>
      <c r="I23" s="878"/>
    </row>
    <row r="24" spans="1:9" s="887" customFormat="1" ht="19.5" customHeight="1">
      <c r="A24" s="3371"/>
      <c r="B24" s="3371" t="s">
        <v>563</v>
      </c>
      <c r="C24" s="883" t="s">
        <v>573</v>
      </c>
      <c r="D24" s="884"/>
      <c r="E24" s="882">
        <v>0.5</v>
      </c>
      <c r="F24" s="885"/>
      <c r="G24" s="886"/>
      <c r="H24" s="878"/>
      <c r="I24" s="878"/>
    </row>
    <row r="25" spans="1:9" s="887" customFormat="1" ht="19.5" customHeight="1">
      <c r="A25" s="3371"/>
      <c r="B25" s="3371"/>
      <c r="C25" s="883" t="s">
        <v>574</v>
      </c>
      <c r="D25" s="884"/>
      <c r="E25" s="882">
        <v>1.1000000000000001</v>
      </c>
      <c r="F25" s="885"/>
      <c r="G25" s="886"/>
      <c r="H25" s="878"/>
      <c r="I25" s="878"/>
    </row>
    <row r="26" spans="1:9" s="887" customFormat="1" ht="19.5" customHeight="1">
      <c r="A26" s="3371"/>
      <c r="B26" s="3371"/>
      <c r="C26" s="883" t="s">
        <v>575</v>
      </c>
      <c r="D26" s="884"/>
      <c r="E26" s="882">
        <v>1.1000000000000001</v>
      </c>
      <c r="F26" s="885"/>
      <c r="G26" s="886"/>
      <c r="H26" s="878"/>
      <c r="I26" s="878"/>
    </row>
    <row r="27" spans="1:9" s="887" customFormat="1" ht="19.5" customHeight="1">
      <c r="A27" s="3371"/>
      <c r="B27" s="3371"/>
      <c r="C27" s="883" t="s">
        <v>576</v>
      </c>
      <c r="D27" s="884"/>
      <c r="E27" s="882">
        <v>0.9</v>
      </c>
      <c r="F27" s="885" t="s">
        <v>577</v>
      </c>
      <c r="G27" s="886"/>
      <c r="H27" s="878"/>
      <c r="I27" s="878"/>
    </row>
    <row r="28" spans="1:9" s="887" customFormat="1" ht="19.5" customHeight="1">
      <c r="A28" s="3371"/>
      <c r="B28" s="3371"/>
      <c r="C28" s="883" t="s">
        <v>578</v>
      </c>
      <c r="D28" s="884"/>
      <c r="E28" s="882">
        <v>0.9</v>
      </c>
      <c r="F28" s="885" t="s">
        <v>579</v>
      </c>
      <c r="G28" s="886"/>
      <c r="H28" s="878"/>
      <c r="I28" s="878"/>
    </row>
    <row r="29" spans="1:9" s="887" customFormat="1" ht="19.5" customHeight="1">
      <c r="A29" s="3371"/>
      <c r="B29" s="3371"/>
      <c r="C29" s="883" t="s">
        <v>580</v>
      </c>
      <c r="D29" s="884"/>
      <c r="E29" s="882">
        <v>0.9</v>
      </c>
      <c r="F29" s="885" t="s">
        <v>581</v>
      </c>
      <c r="G29" s="886"/>
      <c r="H29" s="878"/>
      <c r="I29" s="878"/>
    </row>
    <row r="30" spans="1:9" s="887" customFormat="1" ht="19.5" customHeight="1">
      <c r="A30" s="3371"/>
      <c r="B30" s="3371"/>
      <c r="C30" s="883" t="s">
        <v>582</v>
      </c>
      <c r="D30" s="884"/>
      <c r="E30" s="882">
        <v>0.9</v>
      </c>
      <c r="F30" s="885" t="s">
        <v>583</v>
      </c>
      <c r="G30" s="886"/>
      <c r="H30" s="878"/>
      <c r="I30" s="878"/>
    </row>
    <row r="31" spans="1:9" s="887" customFormat="1" ht="19.5" customHeight="1">
      <c r="A31" s="3371"/>
      <c r="B31" s="3371"/>
      <c r="C31" s="883" t="s">
        <v>584</v>
      </c>
      <c r="D31" s="884"/>
      <c r="E31" s="882">
        <v>0.8</v>
      </c>
      <c r="F31" s="885" t="s">
        <v>585</v>
      </c>
      <c r="G31" s="886"/>
      <c r="H31" s="878"/>
      <c r="I31" s="878"/>
    </row>
    <row r="32" spans="1:9" s="887" customFormat="1" ht="19.5" customHeight="1">
      <c r="A32" s="3371"/>
      <c r="B32" s="3371"/>
      <c r="C32" s="883" t="s">
        <v>586</v>
      </c>
      <c r="D32" s="884"/>
      <c r="E32" s="882">
        <v>0.8</v>
      </c>
      <c r="F32" s="885" t="s">
        <v>587</v>
      </c>
      <c r="G32" s="886"/>
      <c r="H32" s="878"/>
      <c r="I32" s="878"/>
    </row>
    <row r="33" spans="1:9" s="887" customFormat="1" ht="19.5" customHeight="1">
      <c r="A33" s="3371" t="s">
        <v>185</v>
      </c>
      <c r="B33" s="882" t="s">
        <v>560</v>
      </c>
      <c r="C33" s="883" t="s">
        <v>588</v>
      </c>
      <c r="D33" s="884"/>
      <c r="E33" s="882">
        <v>1</v>
      </c>
      <c r="F33" s="885" t="s">
        <v>589</v>
      </c>
      <c r="G33" s="886"/>
      <c r="H33" s="878"/>
      <c r="I33" s="878"/>
    </row>
    <row r="34" spans="1:9" s="887" customFormat="1" ht="19.5" customHeight="1">
      <c r="A34" s="3371"/>
      <c r="B34" s="882" t="s">
        <v>563</v>
      </c>
      <c r="C34" s="883" t="s">
        <v>590</v>
      </c>
      <c r="D34" s="884"/>
      <c r="E34" s="882">
        <v>1.5</v>
      </c>
      <c r="F34" s="885" t="s">
        <v>591</v>
      </c>
      <c r="G34" s="886"/>
      <c r="H34" s="878"/>
      <c r="I34" s="878"/>
    </row>
    <row r="35" spans="1:9" s="887" customFormat="1" ht="19.5" customHeight="1">
      <c r="A35" s="3371" t="s">
        <v>186</v>
      </c>
      <c r="B35" s="882" t="s">
        <v>560</v>
      </c>
      <c r="C35" s="883" t="s">
        <v>592</v>
      </c>
      <c r="D35" s="884"/>
      <c r="E35" s="882">
        <v>1</v>
      </c>
      <c r="F35" s="885" t="s">
        <v>593</v>
      </c>
      <c r="G35" s="886"/>
      <c r="H35" s="878"/>
      <c r="I35" s="878"/>
    </row>
    <row r="36" spans="1:9" s="887" customFormat="1" ht="19.5" customHeight="1">
      <c r="A36" s="3371"/>
      <c r="B36" s="3371" t="s">
        <v>563</v>
      </c>
      <c r="C36" s="883" t="s">
        <v>594</v>
      </c>
      <c r="D36" s="884"/>
      <c r="E36" s="882">
        <v>1</v>
      </c>
      <c r="F36" s="885" t="s">
        <v>595</v>
      </c>
      <c r="G36" s="886"/>
      <c r="H36" s="878"/>
      <c r="I36" s="878"/>
    </row>
    <row r="37" spans="1:9" s="887" customFormat="1" ht="19.5" customHeight="1">
      <c r="A37" s="3371"/>
      <c r="B37" s="3371"/>
      <c r="C37" s="883" t="s">
        <v>596</v>
      </c>
      <c r="D37" s="884"/>
      <c r="E37" s="882">
        <v>1.5</v>
      </c>
      <c r="F37" s="885" t="s">
        <v>597</v>
      </c>
      <c r="G37" s="886"/>
      <c r="H37" s="878"/>
      <c r="I37" s="878"/>
    </row>
    <row r="38" spans="1:9" s="887" customFormat="1" ht="19.5" customHeight="1">
      <c r="A38" s="3371"/>
      <c r="B38" s="3371"/>
      <c r="C38" s="883" t="s">
        <v>598</v>
      </c>
      <c r="D38" s="884"/>
      <c r="E38" s="882">
        <v>1</v>
      </c>
      <c r="F38" s="885" t="s">
        <v>599</v>
      </c>
      <c r="G38" s="886"/>
      <c r="H38" s="878"/>
      <c r="I38" s="878"/>
    </row>
    <row r="39" spans="1:9" s="887" customFormat="1" ht="19.5" customHeight="1">
      <c r="A39" s="3371"/>
      <c r="B39" s="33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71" t="s">
        <v>614</v>
      </c>
      <c r="C61" s="818" t="s">
        <v>615</v>
      </c>
      <c r="D61" s="818" t="s">
        <v>616</v>
      </c>
      <c r="E61" s="895">
        <v>0.5</v>
      </c>
      <c r="F61" s="882">
        <v>80</v>
      </c>
    </row>
    <row r="62" spans="1:8" s="878" customFormat="1" ht="24">
      <c r="A62" s="882">
        <v>2</v>
      </c>
      <c r="B62" s="3371"/>
      <c r="C62" s="818" t="s">
        <v>617</v>
      </c>
      <c r="D62" s="818" t="s">
        <v>618</v>
      </c>
      <c r="E62" s="895">
        <v>0.5</v>
      </c>
      <c r="F62" s="882">
        <v>80</v>
      </c>
    </row>
    <row r="63" spans="1:8" s="878" customFormat="1" ht="36">
      <c r="A63" s="882">
        <v>3</v>
      </c>
      <c r="B63" s="3371"/>
      <c r="C63" s="818" t="s">
        <v>619</v>
      </c>
      <c r="D63" s="818" t="s">
        <v>620</v>
      </c>
      <c r="E63" s="895">
        <v>0.5</v>
      </c>
      <c r="F63" s="882">
        <v>80</v>
      </c>
    </row>
    <row r="64" spans="1:8" s="878" customFormat="1" ht="36">
      <c r="A64" s="882">
        <v>4</v>
      </c>
      <c r="B64" s="3371"/>
      <c r="C64" s="818" t="s">
        <v>621</v>
      </c>
      <c r="D64" s="818" t="s">
        <v>622</v>
      </c>
      <c r="E64" s="895">
        <v>0.4</v>
      </c>
      <c r="F64" s="882">
        <v>60</v>
      </c>
    </row>
    <row r="65" spans="1:6" s="878" customFormat="1" ht="36">
      <c r="A65" s="882">
        <v>5</v>
      </c>
      <c r="B65" s="3371"/>
      <c r="C65" s="818" t="s">
        <v>623</v>
      </c>
      <c r="D65" s="818" t="s">
        <v>624</v>
      </c>
      <c r="E65" s="895">
        <v>0.2</v>
      </c>
      <c r="F65" s="882">
        <v>30</v>
      </c>
    </row>
    <row r="66" spans="1:6" s="878" customFormat="1" ht="36">
      <c r="A66" s="882">
        <v>6</v>
      </c>
      <c r="B66" s="3371"/>
      <c r="C66" s="818" t="s">
        <v>625</v>
      </c>
      <c r="D66" s="818" t="s">
        <v>626</v>
      </c>
      <c r="E66" s="895">
        <v>0.3</v>
      </c>
      <c r="F66" s="882">
        <v>50</v>
      </c>
    </row>
    <row r="67" spans="1:6" s="878" customFormat="1" ht="36">
      <c r="A67" s="882">
        <v>7</v>
      </c>
      <c r="B67" s="3371"/>
      <c r="C67" s="818" t="s">
        <v>627</v>
      </c>
      <c r="D67" s="818" t="s">
        <v>628</v>
      </c>
      <c r="E67" s="895">
        <v>0.2</v>
      </c>
      <c r="F67" s="882">
        <v>30</v>
      </c>
    </row>
    <row r="68" spans="1:6" s="878" customFormat="1" ht="36">
      <c r="A68" s="882">
        <v>8</v>
      </c>
      <c r="B68" s="3371"/>
      <c r="C68" s="818" t="s">
        <v>629</v>
      </c>
      <c r="D68" s="818" t="s">
        <v>630</v>
      </c>
      <c r="E68" s="895">
        <v>0.2</v>
      </c>
      <c r="F68" s="882">
        <v>30</v>
      </c>
    </row>
    <row r="69" spans="1:6" s="878" customFormat="1" ht="36">
      <c r="A69" s="882">
        <v>9</v>
      </c>
      <c r="B69" s="3371"/>
      <c r="C69" s="818" t="s">
        <v>631</v>
      </c>
      <c r="D69" s="818" t="s">
        <v>632</v>
      </c>
      <c r="E69" s="895">
        <v>0.2</v>
      </c>
      <c r="F69" s="882">
        <v>30</v>
      </c>
    </row>
    <row r="70" spans="1:6" s="878" customFormat="1" ht="48">
      <c r="A70" s="882">
        <v>10</v>
      </c>
      <c r="B70" s="3371"/>
      <c r="C70" s="818" t="s">
        <v>633</v>
      </c>
      <c r="D70" s="818" t="s">
        <v>634</v>
      </c>
      <c r="E70" s="895">
        <v>0.2</v>
      </c>
      <c r="F70" s="882">
        <v>30</v>
      </c>
    </row>
    <row r="71" spans="1:6" s="878" customFormat="1" ht="48">
      <c r="A71" s="882">
        <v>11</v>
      </c>
      <c r="B71" s="3371"/>
      <c r="C71" s="818" t="s">
        <v>635</v>
      </c>
      <c r="D71" s="818" t="s">
        <v>636</v>
      </c>
      <c r="E71" s="895">
        <v>0.2</v>
      </c>
      <c r="F71" s="882">
        <v>30</v>
      </c>
    </row>
    <row r="72" spans="1:6" s="878" customFormat="1" ht="36">
      <c r="A72" s="882">
        <v>12</v>
      </c>
      <c r="B72" s="3371"/>
      <c r="C72" s="818" t="s">
        <v>637</v>
      </c>
      <c r="D72" s="818" t="s">
        <v>638</v>
      </c>
      <c r="E72" s="895">
        <v>0.5</v>
      </c>
      <c r="F72" s="882">
        <v>80</v>
      </c>
    </row>
    <row r="73" spans="1:6" s="878" customFormat="1" ht="24">
      <c r="A73" s="882">
        <v>13</v>
      </c>
      <c r="B73" s="3371"/>
      <c r="C73" s="818" t="s">
        <v>639</v>
      </c>
      <c r="D73" s="818" t="s">
        <v>640</v>
      </c>
      <c r="E73" s="895">
        <v>0.4</v>
      </c>
      <c r="F73" s="882">
        <v>60</v>
      </c>
    </row>
    <row r="74" spans="1:6" s="878" customFormat="1" ht="24">
      <c r="A74" s="882">
        <v>14</v>
      </c>
      <c r="B74" s="3371"/>
      <c r="C74" s="818" t="s">
        <v>641</v>
      </c>
      <c r="D74" s="818" t="s">
        <v>642</v>
      </c>
      <c r="E74" s="895">
        <v>0.2</v>
      </c>
      <c r="F74" s="882">
        <v>30</v>
      </c>
    </row>
    <row r="75" spans="1:6" s="878" customFormat="1" ht="24">
      <c r="A75" s="882">
        <v>15</v>
      </c>
      <c r="B75" s="3371"/>
      <c r="C75" s="818" t="s">
        <v>643</v>
      </c>
      <c r="D75" s="818" t="s">
        <v>644</v>
      </c>
      <c r="E75" s="895">
        <v>0.2</v>
      </c>
      <c r="F75" s="882">
        <v>30</v>
      </c>
    </row>
    <row r="76" spans="1:6" s="878" customFormat="1" ht="24">
      <c r="A76" s="882">
        <v>16</v>
      </c>
      <c r="B76" s="3371" t="s">
        <v>645</v>
      </c>
      <c r="C76" s="818" t="s">
        <v>646</v>
      </c>
      <c r="D76" s="818" t="s">
        <v>647</v>
      </c>
      <c r="E76" s="895">
        <v>0.5</v>
      </c>
      <c r="F76" s="882">
        <v>80</v>
      </c>
    </row>
    <row r="77" spans="1:6" s="878" customFormat="1" ht="24">
      <c r="A77" s="882">
        <v>17</v>
      </c>
      <c r="B77" s="3371"/>
      <c r="C77" s="818" t="s">
        <v>648</v>
      </c>
      <c r="D77" s="818" t="s">
        <v>649</v>
      </c>
      <c r="E77" s="895">
        <v>0.5</v>
      </c>
      <c r="F77" s="882">
        <v>80</v>
      </c>
    </row>
    <row r="78" spans="1:6" s="878" customFormat="1" ht="24">
      <c r="A78" s="882">
        <v>18</v>
      </c>
      <c r="B78" s="3371"/>
      <c r="C78" s="818" t="s">
        <v>650</v>
      </c>
      <c r="D78" s="818" t="s">
        <v>651</v>
      </c>
      <c r="E78" s="895">
        <v>0.2</v>
      </c>
      <c r="F78" s="882">
        <v>30</v>
      </c>
    </row>
    <row r="79" spans="1:6" s="878" customFormat="1" ht="24">
      <c r="A79" s="882">
        <v>19</v>
      </c>
      <c r="B79" s="3371"/>
      <c r="C79" s="818" t="s">
        <v>652</v>
      </c>
      <c r="D79" s="818" t="s">
        <v>653</v>
      </c>
      <c r="E79" s="895">
        <v>0.5</v>
      </c>
      <c r="F79" s="882">
        <v>80</v>
      </c>
    </row>
    <row r="80" spans="1:6" s="878" customFormat="1" ht="36">
      <c r="A80" s="882">
        <v>20</v>
      </c>
      <c r="B80" s="3371"/>
      <c r="C80" s="818" t="s">
        <v>654</v>
      </c>
      <c r="D80" s="818" t="s">
        <v>655</v>
      </c>
      <c r="E80" s="895">
        <v>0.2</v>
      </c>
      <c r="F80" s="882">
        <v>30</v>
      </c>
    </row>
    <row r="81" spans="1:6" s="878" customFormat="1" ht="36">
      <c r="A81" s="882">
        <v>21</v>
      </c>
      <c r="B81" s="3371"/>
      <c r="C81" s="818" t="s">
        <v>656</v>
      </c>
      <c r="D81" s="818" t="s">
        <v>657</v>
      </c>
      <c r="E81" s="895">
        <v>0.2</v>
      </c>
      <c r="F81" s="882">
        <v>30</v>
      </c>
    </row>
    <row r="82" spans="1:6" s="878" customFormat="1" ht="48">
      <c r="A82" s="882">
        <v>22</v>
      </c>
      <c r="B82" s="3371"/>
      <c r="C82" s="818" t="s">
        <v>658</v>
      </c>
      <c r="D82" s="818" t="s">
        <v>659</v>
      </c>
      <c r="E82" s="895">
        <v>0.2</v>
      </c>
      <c r="F82" s="882">
        <v>30</v>
      </c>
    </row>
    <row r="83" spans="1:6" s="878" customFormat="1" ht="48">
      <c r="A83" s="882">
        <v>23</v>
      </c>
      <c r="B83" s="3371"/>
      <c r="C83" s="818" t="s">
        <v>660</v>
      </c>
      <c r="D83" s="818" t="s">
        <v>661</v>
      </c>
      <c r="E83" s="895">
        <v>0.2</v>
      </c>
      <c r="F83" s="882">
        <v>30</v>
      </c>
    </row>
    <row r="84" spans="1:6" s="878" customFormat="1" ht="36">
      <c r="A84" s="882">
        <v>24</v>
      </c>
      <c r="B84" s="3371"/>
      <c r="C84" s="818" t="s">
        <v>662</v>
      </c>
      <c r="D84" s="818" t="s">
        <v>663</v>
      </c>
      <c r="E84" s="895">
        <v>0.2</v>
      </c>
      <c r="F84" s="882">
        <v>30</v>
      </c>
    </row>
    <row r="85" spans="1:6" s="878" customFormat="1" ht="36">
      <c r="A85" s="882">
        <v>25</v>
      </c>
      <c r="B85" s="3371"/>
      <c r="C85" s="818" t="s">
        <v>664</v>
      </c>
      <c r="D85" s="818" t="s">
        <v>665</v>
      </c>
      <c r="E85" s="895">
        <v>0.5</v>
      </c>
      <c r="F85" s="882">
        <v>80</v>
      </c>
    </row>
    <row r="86" spans="1:6" s="878" customFormat="1" ht="36">
      <c r="A86" s="882">
        <v>26</v>
      </c>
      <c r="B86" s="3371"/>
      <c r="C86" s="818" t="s">
        <v>666</v>
      </c>
      <c r="D86" s="818" t="s">
        <v>667</v>
      </c>
      <c r="E86" s="895">
        <v>0.2</v>
      </c>
      <c r="F86" s="882">
        <v>30</v>
      </c>
    </row>
    <row r="87" spans="1:6" s="878" customFormat="1" ht="36">
      <c r="A87" s="882">
        <v>27</v>
      </c>
      <c r="B87" s="3371"/>
      <c r="C87" s="818" t="s">
        <v>668</v>
      </c>
      <c r="D87" s="818" t="s">
        <v>669</v>
      </c>
      <c r="E87" s="895">
        <v>0.2</v>
      </c>
      <c r="F87" s="882">
        <v>30</v>
      </c>
    </row>
    <row r="88" spans="1:6" s="878" customFormat="1" ht="36">
      <c r="A88" s="882">
        <v>28</v>
      </c>
      <c r="B88" s="3371"/>
      <c r="C88" s="818" t="s">
        <v>670</v>
      </c>
      <c r="D88" s="818" t="s">
        <v>671</v>
      </c>
      <c r="E88" s="895">
        <v>0.2</v>
      </c>
      <c r="F88" s="882">
        <v>30</v>
      </c>
    </row>
    <row r="89" spans="1:6" s="878" customFormat="1" ht="24">
      <c r="A89" s="882">
        <v>29</v>
      </c>
      <c r="B89" s="3371"/>
      <c r="C89" s="818" t="s">
        <v>672</v>
      </c>
      <c r="D89" s="818" t="s">
        <v>673</v>
      </c>
      <c r="E89" s="895">
        <v>0.2</v>
      </c>
      <c r="F89" s="882">
        <v>30</v>
      </c>
    </row>
    <row r="90" spans="1:6" s="878" customFormat="1" ht="24">
      <c r="A90" s="882">
        <v>30</v>
      </c>
      <c r="B90" s="3371"/>
      <c r="C90" s="818" t="s">
        <v>674</v>
      </c>
      <c r="D90" s="818" t="s">
        <v>675</v>
      </c>
      <c r="E90" s="895">
        <v>0.2</v>
      </c>
      <c r="F90" s="882">
        <v>30</v>
      </c>
    </row>
    <row r="91" spans="1:6" s="878" customFormat="1" ht="36">
      <c r="A91" s="882">
        <v>31</v>
      </c>
      <c r="B91" s="3371"/>
      <c r="C91" s="818" t="s">
        <v>676</v>
      </c>
      <c r="D91" s="818" t="s">
        <v>677</v>
      </c>
      <c r="E91" s="895">
        <v>0.2</v>
      </c>
      <c r="F91" s="882">
        <v>30</v>
      </c>
    </row>
    <row r="92" spans="1:6" s="878" customFormat="1" ht="24">
      <c r="A92" s="882">
        <v>32</v>
      </c>
      <c r="B92" s="3371" t="s">
        <v>678</v>
      </c>
      <c r="C92" s="882" t="s">
        <v>679</v>
      </c>
      <c r="D92" s="818" t="s">
        <v>680</v>
      </c>
      <c r="E92" s="895">
        <v>0.2</v>
      </c>
      <c r="F92" s="882">
        <v>30</v>
      </c>
    </row>
    <row r="93" spans="1:6" s="878" customFormat="1" ht="36">
      <c r="A93" s="882">
        <v>33</v>
      </c>
      <c r="B93" s="3371"/>
      <c r="C93" s="882" t="s">
        <v>681</v>
      </c>
      <c r="D93" s="818" t="s">
        <v>682</v>
      </c>
      <c r="E93" s="895">
        <v>0.2</v>
      </c>
      <c r="F93" s="882">
        <v>30</v>
      </c>
    </row>
    <row r="94" spans="1:6" s="878" customFormat="1" ht="48">
      <c r="A94" s="882">
        <v>34</v>
      </c>
      <c r="B94" s="3371"/>
      <c r="C94" s="882" t="s">
        <v>683</v>
      </c>
      <c r="D94" s="818" t="s">
        <v>684</v>
      </c>
      <c r="E94" s="895">
        <v>0.2</v>
      </c>
      <c r="F94" s="882">
        <v>30</v>
      </c>
    </row>
    <row r="95" spans="1:6" s="878" customFormat="1" ht="36">
      <c r="A95" s="882">
        <v>35</v>
      </c>
      <c r="B95" s="3371"/>
      <c r="C95" s="882" t="s">
        <v>685</v>
      </c>
      <c r="D95" s="818" t="s">
        <v>686</v>
      </c>
      <c r="E95" s="895">
        <v>0.2</v>
      </c>
      <c r="F95" s="882">
        <v>30</v>
      </c>
    </row>
    <row r="96" spans="1:6" s="878" customFormat="1" ht="48">
      <c r="A96" s="882">
        <v>36</v>
      </c>
      <c r="B96" s="3371"/>
      <c r="C96" s="818" t="s">
        <v>687</v>
      </c>
      <c r="D96" s="818" t="s">
        <v>688</v>
      </c>
      <c r="E96" s="895">
        <v>0.2</v>
      </c>
      <c r="F96" s="882">
        <v>30</v>
      </c>
    </row>
    <row r="97" spans="1:6" s="878" customFormat="1" ht="36">
      <c r="A97" s="882">
        <v>37</v>
      </c>
      <c r="B97" s="3371"/>
      <c r="C97" s="882" t="s">
        <v>689</v>
      </c>
      <c r="D97" s="818" t="s">
        <v>690</v>
      </c>
      <c r="E97" s="895">
        <v>0.2</v>
      </c>
      <c r="F97" s="882">
        <v>30</v>
      </c>
    </row>
    <row r="98" spans="1:6" s="878" customFormat="1" ht="36">
      <c r="A98" s="882">
        <v>38</v>
      </c>
      <c r="B98" s="3371"/>
      <c r="C98" s="882" t="s">
        <v>691</v>
      </c>
      <c r="D98" s="818" t="s">
        <v>692</v>
      </c>
      <c r="E98" s="895">
        <v>0.2</v>
      </c>
      <c r="F98" s="882">
        <v>30</v>
      </c>
    </row>
    <row r="99" spans="1:6" s="878" customFormat="1" ht="36">
      <c r="A99" s="882">
        <v>39</v>
      </c>
      <c r="B99" s="3371" t="s">
        <v>693</v>
      </c>
      <c r="C99" s="882" t="s">
        <v>694</v>
      </c>
      <c r="D99" s="818" t="s">
        <v>695</v>
      </c>
      <c r="E99" s="895">
        <v>0.3</v>
      </c>
      <c r="F99" s="882">
        <v>50</v>
      </c>
    </row>
    <row r="100" spans="1:6" s="878" customFormat="1" ht="24">
      <c r="A100" s="882">
        <v>40</v>
      </c>
      <c r="B100" s="3371"/>
      <c r="C100" s="882" t="s">
        <v>696</v>
      </c>
      <c r="D100" s="818" t="s">
        <v>697</v>
      </c>
      <c r="E100" s="895">
        <v>0.2</v>
      </c>
      <c r="F100" s="882">
        <v>30</v>
      </c>
    </row>
    <row r="101" spans="1:6" s="878" customFormat="1" ht="36">
      <c r="A101" s="882">
        <v>41</v>
      </c>
      <c r="B101" s="33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1" t="s">
        <v>708</v>
      </c>
      <c r="C105" s="882" t="s">
        <v>709</v>
      </c>
      <c r="D105" s="818" t="s">
        <v>710</v>
      </c>
      <c r="E105" s="895">
        <v>0.2</v>
      </c>
      <c r="F105" s="882">
        <v>30</v>
      </c>
    </row>
    <row r="106" spans="1:6" s="878" customFormat="1" ht="36">
      <c r="A106" s="882">
        <v>46</v>
      </c>
      <c r="B106" s="3371"/>
      <c r="C106" s="882" t="s">
        <v>711</v>
      </c>
      <c r="D106" s="818" t="s">
        <v>712</v>
      </c>
      <c r="E106" s="895">
        <v>0.2</v>
      </c>
      <c r="F106" s="882">
        <v>30</v>
      </c>
    </row>
    <row r="107" spans="1:6" s="878" customFormat="1" ht="36">
      <c r="A107" s="882">
        <v>47</v>
      </c>
      <c r="B107" s="3371" t="s">
        <v>713</v>
      </c>
      <c r="C107" s="882" t="s">
        <v>714</v>
      </c>
      <c r="D107" s="818" t="s">
        <v>715</v>
      </c>
      <c r="E107" s="895">
        <v>0.3</v>
      </c>
      <c r="F107" s="882">
        <v>50</v>
      </c>
    </row>
    <row r="108" spans="1:6" s="878" customFormat="1" ht="36">
      <c r="A108" s="882">
        <v>48</v>
      </c>
      <c r="B108" s="33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1" t="s">
        <v>724</v>
      </c>
      <c r="C111" s="882" t="s">
        <v>725</v>
      </c>
      <c r="D111" s="818" t="s">
        <v>726</v>
      </c>
      <c r="E111" s="895">
        <v>0.2</v>
      </c>
      <c r="F111" s="882">
        <v>30</v>
      </c>
    </row>
    <row r="112" spans="1:6" s="878" customFormat="1" ht="24">
      <c r="A112" s="882">
        <v>52</v>
      </c>
      <c r="B112" s="3371"/>
      <c r="C112" s="882" t="s">
        <v>727</v>
      </c>
      <c r="D112" s="818" t="s">
        <v>728</v>
      </c>
      <c r="E112" s="895">
        <v>0.2</v>
      </c>
      <c r="F112" s="882">
        <v>30</v>
      </c>
    </row>
    <row r="113" spans="1:6" s="878" customFormat="1" ht="24">
      <c r="A113" s="882">
        <v>53</v>
      </c>
      <c r="B113" s="33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1" t="s">
        <v>737</v>
      </c>
      <c r="C116" s="882" t="s">
        <v>738</v>
      </c>
      <c r="D116" s="818" t="s">
        <v>739</v>
      </c>
      <c r="E116" s="895">
        <v>0.2</v>
      </c>
      <c r="F116" s="882">
        <v>30</v>
      </c>
    </row>
    <row r="117" spans="1:6" ht="36">
      <c r="A117" s="882">
        <v>57</v>
      </c>
      <c r="B117" s="33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2997</v>
      </c>
    </row>
    <row r="2" spans="1:5" ht="15.75">
      <c r="A2" s="2900" t="s">
        <v>2989</v>
      </c>
      <c r="B2" s="2901" t="e">
        <f ca="1">SUMIF(B6:B13,"&lt;&gt;#ref!",B6:B13)</f>
        <v>#DIV/0!</v>
      </c>
      <c r="C2" s="2900" t="s">
        <v>2990</v>
      </c>
      <c r="D2" s="2900" t="s">
        <v>2991</v>
      </c>
      <c r="E2" s="2901">
        <f ca="1">SUMIF(E6:E13,"&lt;&gt;#ref!",E6:E13)</f>
        <v>0</v>
      </c>
    </row>
    <row r="3" spans="1:5" ht="15.75">
      <c r="A3" s="2900" t="s">
        <v>2992</v>
      </c>
      <c r="B3" s="2901" t="e">
        <f ca="1">ROUND(B2*10000/E2,0)</f>
        <v>#DIV/0!</v>
      </c>
      <c r="C3" s="2900" t="s">
        <v>2998</v>
      </c>
      <c r="D3" s="2902"/>
      <c r="E3" s="2902"/>
    </row>
    <row r="4" spans="1:5" ht="15.75">
      <c r="A4" s="2903"/>
      <c r="B4" s="2902"/>
      <c r="C4" s="2902"/>
      <c r="D4" s="2902"/>
      <c r="E4" s="2902"/>
    </row>
    <row r="5" spans="1:5" ht="28.5">
      <c r="A5" s="2904" t="s">
        <v>2993</v>
      </c>
      <c r="B5" s="2900" t="s">
        <v>2994</v>
      </c>
      <c r="C5" s="2901"/>
      <c r="D5" s="2902"/>
      <c r="E5" s="2900" t="s">
        <v>2995</v>
      </c>
    </row>
    <row r="6" spans="1:5" ht="15.75">
      <c r="A6" s="2905" t="s">
        <v>2996</v>
      </c>
      <c r="B6" s="2901" t="e">
        <f ca="1">SUMIF(INDIRECT("'"&amp;A6&amp;"'"&amp;"!A:A"),"总价",INDIRECT("'"&amp;A6&amp;"'"&amp;"!B:B"))</f>
        <v>#DIV/0!</v>
      </c>
      <c r="C6" s="2900" t="s">
        <v>2990</v>
      </c>
      <c r="D6" s="2902"/>
      <c r="E6" s="2574">
        <f ca="1">SUMIF(INDIRECT("'"&amp;A6&amp;"'"&amp;"!C:C"),"建筑面积",INDIRECT("'"&amp;A6&amp;"'"&amp;"!D:D"))</f>
        <v>0</v>
      </c>
    </row>
    <row r="7" spans="1:5" ht="15.75">
      <c r="A7" s="2905"/>
      <c r="B7" s="2901" t="e">
        <f ca="1">SUMIF(INDIRECT("'"&amp;A7&amp;"'"&amp;"!A:A"),"总价",INDIRECT("'"&amp;A7&amp;"'"&amp;"!B:B"))</f>
        <v>#REF!</v>
      </c>
      <c r="C7" s="2900" t="s">
        <v>2990</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2990</v>
      </c>
      <c r="D8" s="2902"/>
      <c r="E8" s="2574" t="e">
        <f t="shared" ca="1" si="0"/>
        <v>#REF!</v>
      </c>
    </row>
    <row r="9" spans="1:5" ht="15.75">
      <c r="A9" s="2905"/>
      <c r="B9" s="2901" t="e">
        <f t="shared" ca="1" si="1"/>
        <v>#REF!</v>
      </c>
      <c r="C9" s="2900" t="s">
        <v>2990</v>
      </c>
      <c r="D9" s="2902"/>
      <c r="E9" s="2574" t="e">
        <f t="shared" ca="1" si="0"/>
        <v>#REF!</v>
      </c>
    </row>
    <row r="10" spans="1:5" ht="15.75">
      <c r="A10" s="2905"/>
      <c r="B10" s="2901" t="e">
        <f t="shared" ca="1" si="1"/>
        <v>#REF!</v>
      </c>
      <c r="C10" s="2900" t="s">
        <v>2990</v>
      </c>
      <c r="D10" s="2902"/>
      <c r="E10" s="2574" t="e">
        <f t="shared" ca="1" si="0"/>
        <v>#REF!</v>
      </c>
    </row>
    <row r="11" spans="1:5" ht="15.75">
      <c r="A11" s="2905"/>
      <c r="B11" s="2901" t="e">
        <f t="shared" ca="1" si="1"/>
        <v>#REF!</v>
      </c>
      <c r="C11" s="2900" t="s">
        <v>2990</v>
      </c>
      <c r="D11" s="2902"/>
      <c r="E11" s="2574" t="e">
        <f t="shared" ca="1" si="0"/>
        <v>#REF!</v>
      </c>
    </row>
    <row r="12" spans="1:5" ht="15.75">
      <c r="A12" s="2905"/>
      <c r="B12" s="2901" t="e">
        <f t="shared" ca="1" si="1"/>
        <v>#REF!</v>
      </c>
      <c r="C12" s="2900" t="s">
        <v>2990</v>
      </c>
      <c r="D12" s="2902"/>
      <c r="E12" s="2574" t="e">
        <f t="shared" ca="1" si="0"/>
        <v>#REF!</v>
      </c>
    </row>
    <row r="13" spans="1:5" ht="15.75">
      <c r="A13" s="2905"/>
      <c r="B13" s="2901" t="e">
        <f t="shared" ca="1" si="1"/>
        <v>#REF!</v>
      </c>
      <c r="C13" s="2900" t="s">
        <v>2990</v>
      </c>
      <c r="D13" s="2902"/>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7" t="s">
        <v>1146</v>
      </c>
      <c r="C1" s="3377"/>
      <c r="D1" s="3377"/>
      <c r="E1" s="3377"/>
      <c r="F1" s="3377"/>
      <c r="G1" s="3373" t="s">
        <v>1147</v>
      </c>
      <c r="H1" s="3373"/>
      <c r="I1" s="3373"/>
      <c r="J1" s="3373"/>
      <c r="K1" s="3373"/>
      <c r="L1" s="3373"/>
      <c r="N1" s="3373" t="s">
        <v>1148</v>
      </c>
      <c r="O1" s="3373"/>
      <c r="P1" s="3373"/>
      <c r="Q1" s="3373"/>
      <c r="R1" s="1446"/>
      <c r="S1" s="3373" t="s">
        <v>1149</v>
      </c>
      <c r="T1" s="3373"/>
      <c r="U1" s="3373"/>
      <c r="V1" s="3373"/>
      <c r="X1" s="3372" t="s">
        <v>1150</v>
      </c>
      <c r="Y1" s="3373"/>
      <c r="Z1" s="3373"/>
      <c r="AA1" s="3373"/>
      <c r="AB1" s="3373"/>
      <c r="AD1" s="3372" t="s">
        <v>1151</v>
      </c>
      <c r="AE1" s="3373"/>
      <c r="AF1" s="3373"/>
      <c r="AG1" s="3373"/>
      <c r="AH1" s="337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3032</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3033</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75">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7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7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8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3028</v>
      </c>
      <c r="B11" s="1469">
        <v>439</v>
      </c>
      <c r="C11" s="1469">
        <v>327</v>
      </c>
      <c r="D11" s="1469">
        <f>C11</f>
        <v>327</v>
      </c>
      <c r="E11" s="1469">
        <v>627</v>
      </c>
      <c r="F11" s="1470">
        <v>283</v>
      </c>
      <c r="G11" s="337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7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7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8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7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7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7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7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7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7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7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7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7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7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7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7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7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8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8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8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7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7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7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7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7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7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7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7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7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7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7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7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7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7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7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7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7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7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7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7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7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7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7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7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7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7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7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7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7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7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7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7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7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7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7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7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7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7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7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7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7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7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7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7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384" t="s">
        <v>3000</v>
      </c>
      <c r="D1" s="3385"/>
      <c r="E1" s="3385"/>
      <c r="F1" s="3385"/>
      <c r="G1" s="3385"/>
      <c r="H1" s="3385"/>
      <c r="I1" s="3385"/>
      <c r="J1" s="3385"/>
      <c r="K1" s="3385"/>
      <c r="L1" s="3385"/>
      <c r="M1" s="3385"/>
      <c r="N1" s="3385"/>
      <c r="O1" s="3385"/>
      <c r="P1" s="3385"/>
      <c r="Q1" s="3385"/>
      <c r="R1" s="3385"/>
      <c r="S1" s="3386"/>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3009</v>
      </c>
      <c r="B17" s="2907"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3011</v>
      </c>
      <c r="E19" s="1791"/>
      <c r="F19" s="1791"/>
      <c r="G19" s="1791"/>
      <c r="H19" s="1280"/>
      <c r="I19" s="168"/>
      <c r="J19" s="168"/>
      <c r="K19" s="168"/>
      <c r="L19" s="168"/>
      <c r="M19" s="168"/>
      <c r="N19" s="168"/>
      <c r="O19" s="168"/>
      <c r="P19" s="168"/>
      <c r="Q19" s="168"/>
      <c r="R19" s="788"/>
      <c r="S19" s="138"/>
    </row>
    <row r="20" spans="1:45" ht="16.5" thickBot="1">
      <c r="A20" s="715" t="s">
        <v>3012</v>
      </c>
      <c r="B20" s="338" t="e">
        <f ca="1">IF(D20="——",S22,S22-F20)</f>
        <v>#REF!</v>
      </c>
      <c r="C20" s="168"/>
      <c r="D20" s="2909" t="s">
        <v>3013</v>
      </c>
      <c r="E20" s="1792"/>
      <c r="F20" s="1204" t="e">
        <f ca="1">SUMIF(INDIRECT("'"&amp;H20&amp;"'"&amp;"!A:A"),"承租人权益价值",INDIRECT("'"&amp;H20&amp;"'"&amp;"!c:c"))</f>
        <v>#REF!</v>
      </c>
      <c r="G20" s="1204" t="s">
        <v>3014</v>
      </c>
      <c r="H20" s="2910"/>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62" t="s">
        <v>33</v>
      </c>
      <c r="D22" s="3163"/>
      <c r="E22" s="3163"/>
      <c r="F22" s="3163"/>
      <c r="G22" s="3163"/>
      <c r="H22" s="3163"/>
      <c r="I22" s="3163"/>
      <c r="J22" s="3163"/>
      <c r="K22" s="3163"/>
      <c r="L22" s="3163"/>
      <c r="M22" s="3163"/>
      <c r="N22" s="3163"/>
      <c r="O22" s="3163"/>
      <c r="P22" s="3163"/>
      <c r="Q22" s="338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25497</v>
      </c>
      <c r="C2" s="2" t="s">
        <v>133</v>
      </c>
      <c r="D2" s="243"/>
      <c r="E2" s="243"/>
      <c r="F2" s="243"/>
      <c r="G2" s="243"/>
    </row>
    <row r="3" spans="1:7" s="244" customFormat="1" ht="18" customHeight="1" thickBot="1">
      <c r="A3" s="247" t="s">
        <v>85</v>
      </c>
      <c r="B3" s="248">
        <f ca="1">ROUND(B2*10000/'数据-汇总表'!E3,0)</f>
        <v>7177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355</v>
      </c>
      <c r="D9" s="1032">
        <f>'数据-汇总表'!E5</f>
        <v>35526.120000000024</v>
      </c>
      <c r="E9" s="269">
        <f>'数据-取费表'!B27</f>
        <v>100</v>
      </c>
      <c r="F9" s="265"/>
      <c r="G9" s="270"/>
    </row>
    <row r="10" spans="1:7" s="258" customFormat="1" ht="13.5" customHeight="1">
      <c r="A10" s="950" t="s">
        <v>801</v>
      </c>
      <c r="B10" s="268" t="s">
        <v>94</v>
      </c>
      <c r="C10" s="269">
        <f>ROUND(D10*E10/10000,0)</f>
        <v>0</v>
      </c>
      <c r="D10" s="1032">
        <f>'数据-汇总表'!E6</f>
        <v>0</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711</v>
      </c>
      <c r="D19" s="1036">
        <f>'数据-汇总表'!E3</f>
        <v>35526.120000000024</v>
      </c>
      <c r="E19" s="255">
        <f>'数据-取费表'!B31</f>
        <v>200</v>
      </c>
      <c r="F19" s="275"/>
      <c r="G19" s="1" t="s">
        <v>1071</v>
      </c>
    </row>
    <row r="20" spans="1:7" s="258" customFormat="1" ht="13.5" customHeight="1">
      <c r="A20" s="948" t="s">
        <v>1054</v>
      </c>
      <c r="B20" s="254" t="s">
        <v>104</v>
      </c>
      <c r="C20" s="276">
        <f>ROUND((C5+C19)*F20,0)</f>
        <v>430</v>
      </c>
      <c r="D20" s="276"/>
      <c r="E20" s="276"/>
      <c r="F20" s="277">
        <f>'数据-取费表'!B37</f>
        <v>0.02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203</v>
      </c>
      <c r="D22" s="279">
        <f ca="1">C26</f>
        <v>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2</v>
      </c>
      <c r="D25" s="282"/>
      <c r="E25" s="285"/>
      <c r="F25" s="283"/>
      <c r="G25" s="286" t="s">
        <v>110</v>
      </c>
    </row>
    <row r="26" spans="1:7" s="258" customFormat="1">
      <c r="A26" s="951" t="s">
        <v>795</v>
      </c>
      <c r="B26" s="259" t="s">
        <v>1057</v>
      </c>
      <c r="C26" s="282">
        <f ca="1">ROUND(IF('数据-取费表'!B22&lt;=1,F21*F22*'数据-取费表'!B23/2,F21*(POWER((1+F22),'数据-取费表'!B23/2)-1)),4)</f>
        <v>1E-4</v>
      </c>
      <c r="D26" s="282"/>
      <c r="E26" s="285"/>
      <c r="F26" s="283"/>
      <c r="G26" s="287"/>
    </row>
    <row r="27" spans="1:7" s="258" customFormat="1" ht="24.75">
      <c r="A27" s="948" t="s">
        <v>787</v>
      </c>
      <c r="B27" s="288" t="s">
        <v>112</v>
      </c>
      <c r="C27" s="289">
        <f>C28</f>
        <v>220</v>
      </c>
      <c r="D27" s="279">
        <f>C29</f>
        <v>2.0000000000000001E-4</v>
      </c>
      <c r="E27" s="280" t="s">
        <v>126</v>
      </c>
      <c r="F27" s="290">
        <f>'数据-取费表'!Q16</f>
        <v>0.1</v>
      </c>
      <c r="G27" s="291" t="s">
        <v>1066</v>
      </c>
    </row>
    <row r="28" spans="1:7" s="258" customFormat="1" ht="13.5" customHeight="1">
      <c r="A28" s="951" t="s">
        <v>794</v>
      </c>
      <c r="B28" s="292" t="s">
        <v>1059</v>
      </c>
      <c r="C28" s="293">
        <f>ROUND((C5+C19+C20)*F27*'数据-取费表'!B21/'数据-取费表'!B20,0)</f>
        <v>220</v>
      </c>
      <c r="D28" s="279"/>
      <c r="E28" s="280"/>
      <c r="F28" s="290"/>
      <c r="G28" s="291"/>
    </row>
    <row r="29" spans="1:7" s="258" customFormat="1" ht="13.5" customHeight="1">
      <c r="A29" s="951" t="s">
        <v>792</v>
      </c>
      <c r="B29" s="292" t="s">
        <v>1060</v>
      </c>
      <c r="C29" s="282">
        <f>ROUND(C21*F27*'数据-取费表'!B21/'数据-取费表'!B20,4)</f>
        <v>2.0000000000000001E-4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24023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1217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1066</v>
      </c>
      <c r="D34" s="261"/>
      <c r="E34" s="264"/>
      <c r="F34" s="301">
        <f>IF('数据-取费表'!B24=0,1,'数据-取费表'!N16)</f>
        <v>0.1</v>
      </c>
      <c r="G34" s="263" t="s">
        <v>116</v>
      </c>
    </row>
    <row r="35" spans="1:7" ht="13.5" customHeight="1">
      <c r="A35" s="951" t="s">
        <v>796</v>
      </c>
      <c r="B35" s="259" t="s">
        <v>60</v>
      </c>
      <c r="C35" s="264">
        <f>ROUND(C34*F35,0)</f>
        <v>32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32</v>
      </c>
      <c r="D36" s="264"/>
      <c r="E36" s="264"/>
      <c r="F36" s="303">
        <f>'数据-取费表'!B34</f>
        <v>0.03</v>
      </c>
      <c r="G36" s="304" t="s">
        <v>62</v>
      </c>
    </row>
    <row r="37" spans="1:7" s="302" customFormat="1" ht="13.5" customHeight="1">
      <c r="A37" s="951" t="s">
        <v>798</v>
      </c>
      <c r="B37" s="259" t="s">
        <v>118</v>
      </c>
      <c r="C37" s="293">
        <f>ROUND(E37*D37*F34/10000,0)</f>
        <v>71</v>
      </c>
      <c r="D37" s="261">
        <f>'数据-汇总表'!E3</f>
        <v>35526.120000000024</v>
      </c>
      <c r="E37" s="293">
        <f>'数据-取费表'!B35</f>
        <v>200</v>
      </c>
      <c r="F37" s="303"/>
      <c r="G37" s="305" t="s">
        <v>119</v>
      </c>
    </row>
    <row r="38" spans="1:7" ht="13.5" customHeight="1">
      <c r="A38" s="951" t="s">
        <v>799</v>
      </c>
      <c r="B38" s="259" t="s">
        <v>63</v>
      </c>
      <c r="C38" s="264">
        <f>ROUND(C34*F38,0)</f>
        <v>16</v>
      </c>
      <c r="D38" s="264"/>
      <c r="E38" s="264"/>
      <c r="F38" s="303">
        <f>'数据-取费表'!B36</f>
        <v>1.4999999999999999E-2</v>
      </c>
      <c r="G38" s="263" t="s">
        <v>117</v>
      </c>
    </row>
    <row r="39" spans="1:7" s="258" customFormat="1" ht="13.5" customHeight="1">
      <c r="A39" s="948" t="s">
        <v>783</v>
      </c>
      <c r="B39" s="254" t="s">
        <v>104</v>
      </c>
      <c r="C39" s="276">
        <f>ROUND(C33*F20,0)</f>
        <v>24</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6</v>
      </c>
      <c r="D41" s="279">
        <f ca="1">C44</f>
        <v>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v>
      </c>
      <c r="D42" s="282"/>
      <c r="E42" s="282"/>
      <c r="F42" s="283"/>
      <c r="G42" s="3247" t="s">
        <v>121</v>
      </c>
    </row>
    <row r="43" spans="1:7" ht="13.5" customHeight="1">
      <c r="A43" s="951" t="s">
        <v>792</v>
      </c>
      <c r="B43" s="259" t="s">
        <v>1061</v>
      </c>
      <c r="C43" s="282">
        <f ca="1">ROUND(IF('数据-取费表'!B22&lt;=1,C39*F22*'数据-取费表'!B21/2,C39*(POWER((1+F22),'数据-取费表'!B21/2)-1)),0)</f>
        <v>0</v>
      </c>
      <c r="D43" s="282"/>
      <c r="E43" s="282"/>
      <c r="F43" s="283"/>
      <c r="G43" s="3248"/>
    </row>
    <row r="44" spans="1:7" ht="13.5" customHeight="1">
      <c r="A44" s="951" t="s">
        <v>793</v>
      </c>
      <c r="B44" s="259" t="s">
        <v>1063</v>
      </c>
      <c r="C44" s="282">
        <f ca="1">ROUND(IF('数据-取费表'!B22&lt;=1,C40*F22*'数据-取费表'!B21/2,C40*(POWER((1+F22),'数据-取费表'!B21/2)-1)),4)</f>
        <v>1E-4</v>
      </c>
      <c r="D44" s="282"/>
      <c r="E44" s="282"/>
      <c r="F44" s="283"/>
      <c r="G44" s="3249"/>
    </row>
    <row r="45" spans="1:7" s="258" customFormat="1" ht="13.5" customHeight="1">
      <c r="A45" s="948" t="s">
        <v>786</v>
      </c>
      <c r="B45" s="288" t="s">
        <v>112</v>
      </c>
      <c r="C45" s="289">
        <f>C46</f>
        <v>124</v>
      </c>
      <c r="D45" s="279">
        <f>C47</f>
        <v>1.5E-3</v>
      </c>
      <c r="E45" s="280" t="s">
        <v>129</v>
      </c>
      <c r="F45" s="290"/>
      <c r="G45" s="291" t="s">
        <v>1069</v>
      </c>
    </row>
    <row r="46" spans="1:7" s="258" customFormat="1" ht="13.5" customHeight="1">
      <c r="A46" s="951" t="s">
        <v>794</v>
      </c>
      <c r="B46" s="292" t="s">
        <v>1062</v>
      </c>
      <c r="C46" s="293">
        <f>ROUND((C33+C39)*F27,0)</f>
        <v>124</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1474</v>
      </c>
      <c r="D51" s="276"/>
      <c r="E51" s="276"/>
      <c r="F51" s="308"/>
      <c r="G51" s="278" t="s">
        <v>64</v>
      </c>
    </row>
    <row r="52" spans="1:7" s="252" customFormat="1" ht="16.5" thickBot="1">
      <c r="A52" s="309" t="s">
        <v>65</v>
      </c>
      <c r="B52" s="310"/>
      <c r="C52" s="311">
        <f ca="1">C31+C51</f>
        <v>25497</v>
      </c>
      <c r="D52" s="310"/>
      <c r="E52" s="310"/>
      <c r="F52" s="310"/>
      <c r="G52" s="312"/>
    </row>
    <row r="55" spans="1:7" ht="15">
      <c r="B55" s="314" t="s">
        <v>66</v>
      </c>
      <c r="C55" s="315"/>
    </row>
    <row r="56" spans="1:7">
      <c r="B56" s="317" t="s">
        <v>67</v>
      </c>
      <c r="C56" s="318">
        <f ca="1">ROUND(C51/C52,3)</f>
        <v>5.8000000000000003E-2</v>
      </c>
    </row>
    <row r="57" spans="1:7">
      <c r="B57" s="317" t="s">
        <v>68</v>
      </c>
      <c r="C57" s="319">
        <f ca="1">1-C56</f>
        <v>0.94199999999999995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7" t="s">
        <v>156</v>
      </c>
      <c r="B1" s="3387"/>
      <c r="C1" s="3387"/>
      <c r="D1" s="3387"/>
      <c r="E1" s="3387"/>
      <c r="F1" s="33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8" t="s">
        <v>169</v>
      </c>
      <c r="B2" s="3388"/>
      <c r="C2" s="3388"/>
      <c r="D2" s="3388"/>
      <c r="E2" s="3388"/>
      <c r="F2" s="33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7" t="s">
        <v>868</v>
      </c>
      <c r="B1" s="33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43601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1637</v>
      </c>
      <c r="B2" s="3059" t="s">
        <v>1638</v>
      </c>
      <c r="C2" s="3059" t="s">
        <v>1639</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1044" t="s">
        <v>1634</v>
      </c>
      <c r="E3" s="1044" t="s">
        <v>1640</v>
      </c>
      <c r="F3" s="1044" t="s">
        <v>1634</v>
      </c>
      <c r="G3" s="1044" t="s">
        <v>1635</v>
      </c>
      <c r="H3" s="1044" t="s">
        <v>1634</v>
      </c>
      <c r="I3" s="1044" t="s">
        <v>1635</v>
      </c>
    </row>
    <row r="4" spans="1:9" ht="75">
      <c r="A4" s="1972" t="str">
        <f>项目基本情况!S2</f>
        <v>湖北省武汉市东西湖区泾河街金北一路以北、吴新干线以东“佳兆业·悦府”居住项目局部出让国有建设用地使用权及在建建筑物房地产</v>
      </c>
      <c r="B4" s="1044">
        <f>项目基本情况!C17</f>
        <v>35526.120000000024</v>
      </c>
      <c r="C4" s="1044">
        <f>项目基本情况!C18</f>
        <v>0</v>
      </c>
      <c r="D4" s="1044">
        <f ca="1">结果表!D118</f>
        <v>23877</v>
      </c>
      <c r="E4" s="1044">
        <f ca="1">结果表!E118</f>
        <v>6721</v>
      </c>
      <c r="F4" s="1044">
        <f ca="1">结果表!F118</f>
        <v>1390</v>
      </c>
      <c r="G4" s="1044">
        <f ca="1">结果表!G118</f>
        <v>391</v>
      </c>
      <c r="H4" s="1044">
        <f ca="1">结果表!H118</f>
        <v>25267</v>
      </c>
      <c r="I4" s="1044">
        <f ca="1">结果表!I118</f>
        <v>7112</v>
      </c>
    </row>
    <row r="5" spans="1:9" ht="30" customHeight="1">
      <c r="A5" s="3060" t="s">
        <v>1636</v>
      </c>
      <c r="B5" s="3060"/>
      <c r="C5" s="3060"/>
      <c r="D5" s="3061" t="str">
        <f ca="1">结果表!D119</f>
        <v>贰亿叁仟捌佰柒拾柒万元整</v>
      </c>
      <c r="E5" s="3061"/>
      <c r="F5" s="3061" t="str">
        <f ca="1">结果表!F119</f>
        <v>壹仟叁佰玖拾万元整</v>
      </c>
      <c r="G5" s="3061"/>
      <c r="H5" s="3061" t="str">
        <f ca="1">结果表!H119</f>
        <v>贰亿伍仟贰佰陆拾柒万元整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1636</v>
      </c>
      <c r="B7" s="3060"/>
      <c r="C7" s="3060"/>
      <c r="D7" s="3063" t="str">
        <f>结果表!D121</f>
        <v>零元整</v>
      </c>
      <c r="E7" s="3064"/>
      <c r="F7" s="3064"/>
      <c r="G7" s="3064"/>
      <c r="H7" s="3064"/>
      <c r="I7" s="3065"/>
    </row>
    <row r="8" spans="1:9" ht="15.75">
      <c r="A8" s="3062" t="str">
        <f>结果表!A122</f>
        <v>房地产抵押价值</v>
      </c>
      <c r="B8" s="3062"/>
      <c r="C8" s="3062"/>
      <c r="D8" s="3062">
        <f ca="1">结果表!D122</f>
        <v>25267</v>
      </c>
      <c r="E8" s="3062"/>
      <c r="F8" s="3062"/>
      <c r="G8" s="3062"/>
      <c r="H8" s="3062"/>
      <c r="I8" s="3062"/>
    </row>
    <row r="9" spans="1:9" ht="15">
      <c r="A9" s="3060" t="s">
        <v>1636</v>
      </c>
      <c r="B9" s="3060"/>
      <c r="C9" s="3060"/>
      <c r="D9" s="3061" t="str">
        <f ca="1">结果表!D123</f>
        <v>贰亿伍仟贰佰陆拾柒万元整</v>
      </c>
      <c r="E9" s="3061"/>
      <c r="F9" s="3061"/>
      <c r="G9" s="3061"/>
      <c r="H9" s="3061"/>
      <c r="I9" s="3061"/>
    </row>
    <row r="10" spans="1:9" ht="15.75">
      <c r="A10" s="3062" t="str">
        <f>结果表!A124</f>
        <v/>
      </c>
      <c r="B10" s="3062"/>
      <c r="C10" s="3062"/>
      <c r="D10" s="3062" t="str">
        <f>结果表!D124</f>
        <v>——</v>
      </c>
      <c r="E10" s="3062"/>
      <c r="F10" s="3062"/>
      <c r="G10" s="3062"/>
      <c r="H10" s="3062"/>
      <c r="I10" s="3062"/>
    </row>
    <row r="11" spans="1:9" ht="15">
      <c r="A11" s="3060" t="s">
        <v>1636</v>
      </c>
      <c r="B11" s="3060"/>
      <c r="C11" s="3060"/>
      <c r="D11" s="3061" t="e">
        <f>结果表!D125</f>
        <v>#VALUE!</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1636</v>
      </c>
      <c r="B13" s="3066"/>
      <c r="C13" s="3066"/>
      <c r="D13" s="3067" t="e">
        <f>结果表!D127</f>
        <v>#VALUE!</v>
      </c>
      <c r="E13" s="3067"/>
      <c r="F13" s="3067"/>
      <c r="G13" s="3067"/>
      <c r="H13" s="3067"/>
      <c r="I13" s="3067"/>
    </row>
    <row r="14" spans="1:9" ht="15" thickTop="1">
      <c r="A14" s="3068" t="s">
        <v>1641</v>
      </c>
      <c r="B14" s="3068"/>
      <c r="C14" s="3068"/>
      <c r="D14" s="3068"/>
      <c r="E14" s="3068"/>
      <c r="F14" s="3068"/>
      <c r="G14" s="3068"/>
      <c r="H14" s="3068"/>
      <c r="I14" s="306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9" t="s">
        <v>1658</v>
      </c>
      <c r="B1" s="3069"/>
      <c r="C1" s="3069"/>
      <c r="D1" s="3069"/>
    </row>
    <row r="2" spans="1:4" ht="18">
      <c r="A2" s="3070" t="s">
        <v>1642</v>
      </c>
      <c r="B2" s="3070"/>
      <c r="C2" s="3070"/>
      <c r="D2" s="3070"/>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王鹏</v>
      </c>
      <c r="B5" s="1978">
        <f ca="1">项目基本情况!E4</f>
        <v>1120050019</v>
      </c>
      <c r="C5" s="1981"/>
      <c r="D5" s="1980" t="s">
        <v>1647</v>
      </c>
    </row>
    <row r="6" spans="1:4" ht="18">
      <c r="A6" s="3070" t="s">
        <v>1648</v>
      </c>
      <c r="B6" s="3070"/>
      <c r="C6" s="3070"/>
      <c r="D6" s="3070"/>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71" t="s">
        <v>1651</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2"/>
      <c r="C15" s="3072"/>
      <c r="D15" s="3072"/>
    </row>
    <row r="16" spans="1:4" ht="30" customHeight="1">
      <c r="A16" s="3075" t="s">
        <v>1652</v>
      </c>
      <c r="B16" s="3075"/>
      <c r="C16" s="3075"/>
      <c r="D16" s="3075"/>
    </row>
    <row r="17" spans="1:4" ht="144" customHeight="1">
      <c r="A17" s="3075" t="s">
        <v>1653</v>
      </c>
      <c r="B17" s="3075"/>
      <c r="C17" s="3075"/>
      <c r="D17" s="3075"/>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1654</v>
      </c>
      <c r="B22" s="3077"/>
      <c r="C22" s="3077"/>
      <c r="D22" s="3077"/>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83" t="s">
        <v>1665</v>
      </c>
      <c r="B15" s="3078" t="s">
        <v>136</v>
      </c>
      <c r="C15" s="3079"/>
    </row>
    <row r="16" spans="1:7" ht="13.5">
      <c r="A16" s="3084"/>
      <c r="B16" s="3078" t="s">
        <v>69</v>
      </c>
      <c r="C16" s="3079"/>
    </row>
    <row r="17" spans="1:3" ht="13.5">
      <c r="A17" s="3084"/>
      <c r="B17" s="3081" t="s">
        <v>1666</v>
      </c>
      <c r="C17" s="1999" t="s">
        <v>1665</v>
      </c>
    </row>
    <row r="18" spans="1:3" ht="13.5">
      <c r="A18" s="3084"/>
      <c r="B18" s="3081"/>
      <c r="C18" s="1999" t="s">
        <v>1667</v>
      </c>
    </row>
    <row r="19" spans="1:3" ht="13.5">
      <c r="A19" s="3084"/>
      <c r="B19" s="3081"/>
      <c r="C19" s="1999" t="s">
        <v>1668</v>
      </c>
    </row>
    <row r="20" spans="1:3" ht="13.5">
      <c r="A20" s="3085"/>
      <c r="B20" s="3080" t="s">
        <v>1669</v>
      </c>
      <c r="C20" s="3079"/>
    </row>
    <row r="21" spans="1:3" ht="13.5">
      <c r="A21" s="2000" t="s">
        <v>1670</v>
      </c>
      <c r="B21" s="2001"/>
      <c r="C21" s="2002"/>
    </row>
    <row r="22" spans="1:3" ht="13.5">
      <c r="A22" s="3082" t="s">
        <v>1671</v>
      </c>
      <c r="B22" s="3080" t="s">
        <v>1672</v>
      </c>
      <c r="C22" s="3079"/>
    </row>
    <row r="23" spans="1:3" ht="13.5">
      <c r="A23" s="3082"/>
      <c r="B23" s="3080" t="s">
        <v>1673</v>
      </c>
      <c r="C23" s="3079"/>
    </row>
    <row r="24" spans="1:3" ht="13.5">
      <c r="A24" s="3082"/>
      <c r="B24" s="3080" t="s">
        <v>1674</v>
      </c>
      <c r="C24" s="3079"/>
    </row>
    <row r="25" spans="1:3" ht="13.5">
      <c r="A25" s="3082"/>
      <c r="B25" s="3081" t="s">
        <v>1675</v>
      </c>
      <c r="C25" s="1999" t="s">
        <v>1676</v>
      </c>
    </row>
    <row r="26" spans="1:3" ht="13.5">
      <c r="A26" s="3082"/>
      <c r="B26" s="3081"/>
      <c r="C26" s="1999" t="s">
        <v>1677</v>
      </c>
    </row>
    <row r="27" spans="1:3" ht="13.5">
      <c r="A27" s="3082"/>
      <c r="B27" s="3081"/>
      <c r="C27" s="1999" t="s">
        <v>1678</v>
      </c>
    </row>
    <row r="28" spans="1:3" ht="13.5">
      <c r="A28" s="3082"/>
      <c r="B28" s="3081"/>
      <c r="C28" s="1999" t="s">
        <v>1679</v>
      </c>
    </row>
    <row r="29" spans="1:3" ht="13.5">
      <c r="A29" s="3082"/>
      <c r="B29" s="3081"/>
      <c r="C29" s="1999" t="s">
        <v>1680</v>
      </c>
    </row>
    <row r="30" spans="1:3" ht="13.5">
      <c r="A30" s="3082"/>
      <c r="B30" s="3081"/>
      <c r="C30" s="1999" t="s">
        <v>1681</v>
      </c>
    </row>
    <row r="31" spans="1:3" ht="13.5">
      <c r="A31" s="3082"/>
      <c r="B31" s="3081"/>
      <c r="C31" s="1999" t="s">
        <v>1682</v>
      </c>
    </row>
    <row r="32" spans="1:3" ht="13.5">
      <c r="A32" s="3082"/>
      <c r="B32" s="3081"/>
      <c r="C32" s="1999" t="s">
        <v>1683</v>
      </c>
    </row>
    <row r="33" spans="1:3" ht="13.5">
      <c r="A33" s="3082"/>
      <c r="B33" s="3081"/>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43613</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t="str">
        <f ca="1">IF(C10&lt;B2,"已过期",1120060040)</f>
        <v>已过期</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4">
        <v>43814</v>
      </c>
      <c r="D13" s="2347" t="s">
        <v>840</v>
      </c>
      <c r="E13" s="1022">
        <f ca="1">IF(F13&lt;B2,"已过期",2014110011)</f>
        <v>2014110011</v>
      </c>
      <c r="F13" s="1030">
        <v>49302</v>
      </c>
    </row>
    <row r="14" spans="1:6" ht="24" customHeight="1">
      <c r="A14" s="1701" t="s">
        <v>3040</v>
      </c>
      <c r="B14" s="1022">
        <f ca="1">IF(C14&lt;B2,"已过期",1120040230)</f>
        <v>1120040230</v>
      </c>
      <c r="C14" s="2344">
        <v>43835</v>
      </c>
      <c r="D14" s="2347" t="s">
        <v>3040</v>
      </c>
      <c r="E14" s="1022">
        <f ca="1">IF(F14&lt;B2,"已过期",98030020)</f>
        <v>98030020</v>
      </c>
      <c r="F14" s="1030">
        <v>47118</v>
      </c>
    </row>
    <row r="15" spans="1:6" ht="24" customHeight="1">
      <c r="A15" s="1702" t="s">
        <v>3041</v>
      </c>
      <c r="B15" s="1022">
        <f ca="1">IF(C15&lt;B2,"已过期",1120070085)</f>
        <v>1120070085</v>
      </c>
      <c r="C15" s="2344">
        <v>43814</v>
      </c>
      <c r="D15" s="2348" t="s">
        <v>3041</v>
      </c>
      <c r="E15" s="1022">
        <f ca="1">IF(F15&lt;B2,"已过期",2004110128)</f>
        <v>2004110128</v>
      </c>
      <c r="F15" s="1023">
        <v>47118</v>
      </c>
    </row>
    <row r="16" spans="1:6" ht="24" customHeight="1">
      <c r="A16" s="1701" t="s">
        <v>3042</v>
      </c>
      <c r="B16" s="1022">
        <f ca="1">IF(C16&lt;B2,"已过期",1120140022)</f>
        <v>1120140022</v>
      </c>
      <c r="C16" s="2926">
        <v>44029</v>
      </c>
      <c r="D16" s="2347" t="s">
        <v>3042</v>
      </c>
      <c r="E16" s="1022">
        <f ca="1">IF(F16&lt;B2,"已过期",2008110059)</f>
        <v>2008110059</v>
      </c>
      <c r="F16" s="1030">
        <v>47177</v>
      </c>
    </row>
    <row r="17" spans="1:7" ht="24" customHeight="1">
      <c r="A17" s="1701"/>
      <c r="B17" s="1022"/>
      <c r="C17" s="2344"/>
      <c r="D17" s="2347" t="s">
        <v>3043</v>
      </c>
      <c r="E17" s="1022">
        <f ca="1">IF(F17&lt;B2,"已过期",2014110076)</f>
        <v>2014110076</v>
      </c>
      <c r="F17" s="1030">
        <v>49302</v>
      </c>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841</v>
      </c>
      <c r="E21" s="1022">
        <f ca="1">IF(F21&lt;B2,"已过期",2011110090)</f>
        <v>2011110090</v>
      </c>
      <c r="F21" s="1030">
        <v>48302</v>
      </c>
    </row>
    <row r="22" spans="1:7" ht="24" customHeight="1">
      <c r="A22" s="1701" t="s">
        <v>842</v>
      </c>
      <c r="B22" s="1022">
        <f ca="1">IF(C22&lt;B2,"已过期",1120020033)</f>
        <v>1120020033</v>
      </c>
      <c r="C22" s="2926">
        <v>44339</v>
      </c>
      <c r="D22" s="2347" t="s">
        <v>842</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1329</v>
      </c>
      <c r="B24" s="1702" t="s">
        <v>1329</v>
      </c>
      <c r="C24" s="2345" t="s">
        <v>1329</v>
      </c>
      <c r="D24" s="2348" t="s">
        <v>1329</v>
      </c>
      <c r="E24" s="1702" t="s">
        <v>1329</v>
      </c>
      <c r="F24" s="1702" t="s">
        <v>1329</v>
      </c>
    </row>
    <row r="25" spans="1:7" ht="24" customHeight="1">
      <c r="A25" s="3086" t="s">
        <v>843</v>
      </c>
      <c r="B25" s="3086"/>
      <c r="C25" s="3086"/>
      <c r="D25" s="3086"/>
      <c r="E25" s="3086"/>
      <c r="F25" s="3086"/>
      <c r="G25" s="3086"/>
    </row>
    <row r="26" spans="1:7" s="1025" customFormat="1" ht="24" customHeight="1">
      <c r="A26" s="3087" t="s">
        <v>844</v>
      </c>
      <c r="B26" s="3087"/>
      <c r="C26" s="3088"/>
      <c r="D26" s="3089" t="s">
        <v>845</v>
      </c>
      <c r="E26" s="3087"/>
      <c r="F26" s="3087"/>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不动产权证书</vt:lpstr>
      <vt:lpstr>项目情况汇总</vt:lpstr>
      <vt:lpstr>楼盘表</vt:lpstr>
      <vt:lpstr>已投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楼盘表!Print_Titles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2019-05-28T08:06:40Z</dcterms:modified>
</cp:coreProperties>
</file>